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C:\Users\rjritchie\Desktop\"/>
    </mc:Choice>
  </mc:AlternateContent>
  <xr:revisionPtr revIDLastSave="0" documentId="8_{A4967E56-1642-4E19-8451-0C91BEDF32C5}" xr6:coauthVersionLast="44" xr6:coauthVersionMax="44" xr10:uidLastSave="{00000000-0000-0000-0000-000000000000}"/>
  <bookViews>
    <workbookView xWindow="-120" yWindow="-120" windowWidth="29040" windowHeight="15840" activeTab="2" xr2:uid="{00000000-000D-0000-FFFF-FFFF00000000}"/>
  </bookViews>
  <sheets>
    <sheet name="Monthly" sheetId="2" r:id="rId1"/>
    <sheet name="Weekly" sheetId="3" r:id="rId2"/>
    <sheet name="Blackstone Monthly" sheetId="4" r:id="rId3"/>
    <sheet name="Blackstone Weekly"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64" i="5" l="1"/>
  <c r="L57" i="5"/>
  <c r="L50" i="5"/>
  <c r="L43" i="5"/>
  <c r="L36" i="5"/>
  <c r="L29" i="5"/>
  <c r="L22" i="5"/>
  <c r="L15" i="5"/>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K64" i="5"/>
  <c r="K57" i="5"/>
  <c r="K50" i="5"/>
  <c r="K43" i="5"/>
  <c r="K36" i="5"/>
  <c r="K29" i="5"/>
  <c r="K22" i="5"/>
  <c r="K15" i="5"/>
  <c r="Z124" i="4"/>
  <c r="Z117" i="4"/>
  <c r="Z103" i="4"/>
  <c r="Z96" i="4"/>
  <c r="Z89" i="4"/>
  <c r="Z80" i="4"/>
  <c r="Z71" i="4"/>
  <c r="Z62" i="4"/>
  <c r="Z53" i="4"/>
  <c r="Z44" i="4"/>
  <c r="Z35" i="4"/>
  <c r="Z26" i="4"/>
  <c r="Z17" i="4"/>
  <c r="C17" i="4" l="1"/>
  <c r="D17" i="4"/>
  <c r="E17" i="4"/>
  <c r="F17" i="4"/>
  <c r="G17" i="4"/>
  <c r="H17" i="4"/>
  <c r="I17" i="4"/>
  <c r="J17" i="4"/>
  <c r="K17" i="4"/>
  <c r="L17" i="4"/>
  <c r="M17" i="4"/>
  <c r="N17" i="4"/>
  <c r="O17" i="4"/>
  <c r="P17" i="4"/>
  <c r="Q17" i="4"/>
  <c r="R17" i="4"/>
  <c r="S17" i="4"/>
  <c r="T17" i="4"/>
  <c r="U17" i="4"/>
  <c r="V17" i="4"/>
  <c r="W17" i="4"/>
  <c r="X17" i="4"/>
  <c r="Y17" i="4"/>
  <c r="C26" i="4"/>
  <c r="D26" i="4"/>
  <c r="E26" i="4"/>
  <c r="F26" i="4"/>
  <c r="G26" i="4"/>
  <c r="H26" i="4"/>
  <c r="I26" i="4"/>
  <c r="J26" i="4"/>
  <c r="K26" i="4"/>
  <c r="L26" i="4"/>
  <c r="M26" i="4"/>
  <c r="N26" i="4"/>
  <c r="O26" i="4"/>
  <c r="P26" i="4"/>
  <c r="Q26" i="4"/>
  <c r="R26" i="4"/>
  <c r="S26" i="4"/>
  <c r="T26" i="4"/>
  <c r="U26" i="4"/>
  <c r="V26" i="4"/>
  <c r="W26" i="4"/>
  <c r="X26" i="4"/>
  <c r="Y26" i="4"/>
  <c r="C35" i="4"/>
  <c r="D35" i="4"/>
  <c r="E35" i="4"/>
  <c r="F35" i="4"/>
  <c r="G35" i="4"/>
  <c r="H35" i="4"/>
  <c r="I35" i="4"/>
  <c r="J35" i="4"/>
  <c r="K35" i="4"/>
  <c r="L35" i="4"/>
  <c r="M35" i="4"/>
  <c r="N35" i="4"/>
  <c r="O35" i="4"/>
  <c r="P35" i="4"/>
  <c r="Q35" i="4"/>
  <c r="R35" i="4"/>
  <c r="S35" i="4"/>
  <c r="T35" i="4"/>
  <c r="U35" i="4"/>
  <c r="V35" i="4"/>
  <c r="W35" i="4"/>
  <c r="X35" i="4"/>
  <c r="Y35" i="4"/>
  <c r="C44" i="4"/>
  <c r="D44" i="4"/>
  <c r="E44" i="4"/>
  <c r="F44" i="4"/>
  <c r="G44" i="4"/>
  <c r="H44" i="4"/>
  <c r="I44" i="4"/>
  <c r="J44" i="4"/>
  <c r="K44" i="4"/>
  <c r="L44" i="4"/>
  <c r="M44" i="4"/>
  <c r="N44" i="4"/>
  <c r="O44" i="4"/>
  <c r="P44" i="4"/>
  <c r="Q44" i="4"/>
  <c r="R44" i="4"/>
  <c r="S44" i="4"/>
  <c r="T44" i="4"/>
  <c r="U44" i="4"/>
  <c r="V44" i="4"/>
  <c r="W44" i="4"/>
  <c r="X44" i="4"/>
  <c r="Y44" i="4"/>
  <c r="C53" i="4"/>
  <c r="D53" i="4"/>
  <c r="E53" i="4"/>
  <c r="F53" i="4"/>
  <c r="G53" i="4"/>
  <c r="H53" i="4"/>
  <c r="I53" i="4"/>
  <c r="J53" i="4"/>
  <c r="K53" i="4"/>
  <c r="L53" i="4"/>
  <c r="M53" i="4"/>
  <c r="N53" i="4"/>
  <c r="O53" i="4"/>
  <c r="P53" i="4"/>
  <c r="Q53" i="4"/>
  <c r="R53" i="4"/>
  <c r="S53" i="4"/>
  <c r="T53" i="4"/>
  <c r="U53" i="4"/>
  <c r="V53" i="4"/>
  <c r="W53" i="4"/>
  <c r="X53" i="4"/>
  <c r="Y53" i="4"/>
  <c r="C62" i="4"/>
  <c r="D62" i="4"/>
  <c r="E62" i="4"/>
  <c r="F62" i="4"/>
  <c r="G62" i="4"/>
  <c r="H62" i="4"/>
  <c r="I62" i="4"/>
  <c r="J62" i="4"/>
  <c r="K62" i="4"/>
  <c r="L62" i="4"/>
  <c r="M62" i="4"/>
  <c r="N62" i="4"/>
  <c r="O62" i="4"/>
  <c r="P62" i="4"/>
  <c r="Q62" i="4"/>
  <c r="R62" i="4"/>
  <c r="S62" i="4"/>
  <c r="T62" i="4"/>
  <c r="U62" i="4"/>
  <c r="V62" i="4"/>
  <c r="W62" i="4"/>
  <c r="X62" i="4"/>
  <c r="Y62" i="4"/>
  <c r="C71" i="4"/>
  <c r="D71" i="4"/>
  <c r="E71" i="4"/>
  <c r="F71" i="4"/>
  <c r="G71" i="4"/>
  <c r="H71" i="4"/>
  <c r="I71" i="4"/>
  <c r="J71" i="4"/>
  <c r="K71" i="4"/>
  <c r="L71" i="4"/>
  <c r="M71" i="4"/>
  <c r="N71" i="4"/>
  <c r="O71" i="4"/>
  <c r="P71" i="4"/>
  <c r="Q71" i="4"/>
  <c r="R71" i="4"/>
  <c r="S71" i="4"/>
  <c r="T71" i="4"/>
  <c r="U71" i="4"/>
  <c r="V71" i="4"/>
  <c r="W71" i="4"/>
  <c r="X71" i="4"/>
  <c r="Y71" i="4"/>
  <c r="C80" i="4"/>
  <c r="D80" i="4"/>
  <c r="E80" i="4"/>
  <c r="F80" i="4"/>
  <c r="G80" i="4"/>
  <c r="H80" i="4"/>
  <c r="I80" i="4"/>
  <c r="J80" i="4"/>
  <c r="K80" i="4"/>
  <c r="L80" i="4"/>
  <c r="M80" i="4"/>
  <c r="N80" i="4"/>
  <c r="O80" i="4"/>
  <c r="P80" i="4"/>
  <c r="Q80" i="4"/>
  <c r="R80" i="4"/>
  <c r="S80" i="4"/>
  <c r="T80" i="4"/>
  <c r="U80" i="4"/>
  <c r="V80" i="4"/>
  <c r="W80" i="4"/>
  <c r="X80" i="4"/>
  <c r="Y80" i="4"/>
  <c r="C89" i="4"/>
  <c r="D89" i="4"/>
  <c r="E89" i="4"/>
  <c r="F89" i="4"/>
  <c r="G89" i="4"/>
  <c r="H89" i="4"/>
  <c r="I89" i="4"/>
  <c r="J89" i="4"/>
  <c r="K89" i="4"/>
  <c r="L89" i="4"/>
  <c r="M89" i="4"/>
  <c r="N89" i="4"/>
  <c r="O89" i="4"/>
  <c r="P89" i="4"/>
  <c r="Q89" i="4"/>
  <c r="R89" i="4"/>
  <c r="S89" i="4"/>
  <c r="T89" i="4"/>
  <c r="U89" i="4"/>
  <c r="V89" i="4"/>
  <c r="W89" i="4"/>
  <c r="X89" i="4"/>
  <c r="Y89" i="4"/>
  <c r="C96" i="4"/>
  <c r="D96" i="4"/>
  <c r="E96" i="4"/>
  <c r="F96" i="4"/>
  <c r="G96" i="4"/>
  <c r="H96" i="4"/>
  <c r="I96" i="4"/>
  <c r="J96" i="4"/>
  <c r="K96" i="4"/>
  <c r="L96" i="4"/>
  <c r="M96" i="4"/>
  <c r="N96" i="4"/>
  <c r="O96" i="4"/>
  <c r="P96" i="4"/>
  <c r="Q96" i="4"/>
  <c r="R96" i="4"/>
  <c r="S96" i="4"/>
  <c r="T96" i="4"/>
  <c r="U96" i="4"/>
  <c r="V96" i="4"/>
  <c r="W96" i="4"/>
  <c r="X96" i="4"/>
  <c r="Y96" i="4"/>
  <c r="C117" i="4"/>
  <c r="C124" i="4"/>
  <c r="D124" i="4"/>
  <c r="E124" i="4"/>
  <c r="F124" i="4"/>
  <c r="G124" i="4"/>
  <c r="H124" i="4"/>
  <c r="I124" i="4"/>
  <c r="J124" i="4"/>
  <c r="K124" i="4"/>
  <c r="L124" i="4"/>
  <c r="M124" i="4"/>
  <c r="N124" i="4"/>
  <c r="O124" i="4"/>
  <c r="P124" i="4"/>
  <c r="Q124" i="4"/>
  <c r="R124" i="4"/>
  <c r="S124" i="4"/>
  <c r="T124" i="4"/>
  <c r="U124" i="4"/>
  <c r="V124" i="4"/>
  <c r="W124" i="4"/>
  <c r="X124" i="4"/>
  <c r="Y124" i="4"/>
  <c r="Z25" i="2"/>
  <c r="Z24" i="2"/>
  <c r="Z23" i="2"/>
  <c r="Z22" i="2"/>
  <c r="Z21" i="2"/>
  <c r="Z20" i="2"/>
  <c r="Z83" i="2"/>
  <c r="Z84" i="2"/>
  <c r="Z85" i="2"/>
  <c r="Z86" i="2"/>
  <c r="Z87" i="2"/>
  <c r="Z88" i="2"/>
  <c r="Z80" i="2"/>
  <c r="Z64" i="2"/>
  <c r="Z71" i="2" s="1"/>
  <c r="Z55" i="2"/>
  <c r="Z62" i="2" s="1"/>
  <c r="Z46" i="2"/>
  <c r="Z53" i="2" s="1"/>
  <c r="Z44" i="2"/>
  <c r="Z37" i="2"/>
  <c r="Z28" i="2"/>
  <c r="Z35" i="2" s="1"/>
  <c r="Z82" i="2" l="1"/>
  <c r="Z89" i="2" s="1"/>
  <c r="Z19" i="2"/>
  <c r="Z26" i="2" s="1"/>
  <c r="Z131" i="2"/>
  <c r="Z124" i="2"/>
  <c r="Z165" i="2"/>
  <c r="Z147" i="2"/>
  <c r="Z156" i="2"/>
  <c r="Z95" i="2"/>
  <c r="Z94" i="2"/>
  <c r="Z93" i="2"/>
  <c r="Z91" i="2"/>
  <c r="Z96" i="2" s="1"/>
  <c r="Z92" i="2"/>
  <c r="Z102" i="2" l="1"/>
  <c r="Z116" i="2" s="1"/>
  <c r="Z137" i="2" s="1"/>
  <c r="Z101" i="2"/>
  <c r="Z115" i="2" s="1"/>
  <c r="Z136" i="2" s="1"/>
  <c r="Z100" i="2"/>
  <c r="Z114" i="2" s="1"/>
  <c r="Z135" i="2" s="1"/>
  <c r="Z99" i="2"/>
  <c r="Z113" i="2" s="1"/>
  <c r="Z134" i="2" s="1"/>
  <c r="Z98" i="2"/>
  <c r="Z112" i="2" s="1"/>
  <c r="Z15" i="2"/>
  <c r="Z17" i="2" s="1"/>
  <c r="Z16" i="2"/>
  <c r="Z14" i="2"/>
  <c r="Z12" i="2"/>
  <c r="Z11" i="2"/>
  <c r="Z10" i="2"/>
  <c r="Z133" i="2" l="1"/>
  <c r="Z138" i="2" s="1"/>
  <c r="Z117" i="2"/>
  <c r="Z103" i="2"/>
  <c r="AW69" i="3"/>
  <c r="AW68" i="3"/>
  <c r="AW66" i="3"/>
  <c r="AW70" i="3"/>
  <c r="AW71"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127" i="3" l="1"/>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I64" i="5"/>
  <c r="I57" i="5"/>
  <c r="I50" i="5"/>
  <c r="I43" i="5"/>
  <c r="I36" i="5"/>
  <c r="I29" i="5"/>
  <c r="I22" i="5"/>
  <c r="I15" i="5"/>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K120" i="4"/>
  <c r="AL120" i="4"/>
  <c r="AM120" i="4"/>
  <c r="AN120" i="4"/>
  <c r="AO120" i="4"/>
  <c r="AP120" i="4"/>
  <c r="AQ120" i="4"/>
  <c r="AR120" i="4"/>
  <c r="AS120" i="4"/>
  <c r="AT120" i="4"/>
  <c r="AK121" i="4"/>
  <c r="AL121" i="4"/>
  <c r="AM121" i="4"/>
  <c r="AM124" i="4" s="1"/>
  <c r="AN121" i="4"/>
  <c r="AO121" i="4"/>
  <c r="AP121" i="4"/>
  <c r="AQ121" i="4"/>
  <c r="AR121" i="4"/>
  <c r="AS121" i="4"/>
  <c r="AT121" i="4"/>
  <c r="AK122" i="4"/>
  <c r="AL122" i="4"/>
  <c r="AM122" i="4"/>
  <c r="AN122" i="4"/>
  <c r="AO122" i="4"/>
  <c r="AP122" i="4"/>
  <c r="AQ122" i="4"/>
  <c r="AR122" i="4"/>
  <c r="AR124" i="4" s="1"/>
  <c r="AS122" i="4"/>
  <c r="AT122" i="4"/>
  <c r="AK123" i="4"/>
  <c r="AL123" i="4"/>
  <c r="AM123" i="4"/>
  <c r="AN123" i="4"/>
  <c r="AO123" i="4"/>
  <c r="AP123" i="4"/>
  <c r="AQ123" i="4"/>
  <c r="AR123" i="4"/>
  <c r="AS123" i="4"/>
  <c r="AT123" i="4"/>
  <c r="AL119" i="4"/>
  <c r="AM119" i="4"/>
  <c r="AN119" i="4"/>
  <c r="AO119" i="4"/>
  <c r="AP119" i="4"/>
  <c r="AQ119" i="4"/>
  <c r="AR119" i="4"/>
  <c r="AS119" i="4"/>
  <c r="AT119" i="4"/>
  <c r="AK113" i="4"/>
  <c r="AL113" i="4"/>
  <c r="AM113" i="4"/>
  <c r="AN113" i="4"/>
  <c r="AO113" i="4"/>
  <c r="AP113" i="4"/>
  <c r="AQ113" i="4"/>
  <c r="AR113" i="4"/>
  <c r="AS113" i="4"/>
  <c r="AT113" i="4"/>
  <c r="AK114" i="4"/>
  <c r="AL114" i="4"/>
  <c r="AL117" i="4" s="1"/>
  <c r="AM114" i="4"/>
  <c r="AN114" i="4"/>
  <c r="AO114" i="4"/>
  <c r="AP114" i="4"/>
  <c r="AQ114" i="4"/>
  <c r="AR114" i="4"/>
  <c r="AS114" i="4"/>
  <c r="AT114" i="4"/>
  <c r="AK115" i="4"/>
  <c r="AL115" i="4"/>
  <c r="AM115" i="4"/>
  <c r="AN115" i="4"/>
  <c r="AO115" i="4"/>
  <c r="AP115" i="4"/>
  <c r="AQ115" i="4"/>
  <c r="AR115" i="4"/>
  <c r="AS115" i="4"/>
  <c r="AT115" i="4"/>
  <c r="AK116" i="4"/>
  <c r="AL116" i="4"/>
  <c r="AM116" i="4"/>
  <c r="AN116" i="4"/>
  <c r="AO116" i="4"/>
  <c r="AP116" i="4"/>
  <c r="AQ116" i="4"/>
  <c r="AR116" i="4"/>
  <c r="AS116" i="4"/>
  <c r="AT116" i="4"/>
  <c r="AL112" i="4"/>
  <c r="AM112" i="4"/>
  <c r="AN112" i="4"/>
  <c r="AO112" i="4"/>
  <c r="AO117" i="4" s="1"/>
  <c r="AP112" i="4"/>
  <c r="AQ112" i="4"/>
  <c r="AR112" i="4"/>
  <c r="AS112" i="4"/>
  <c r="AT112" i="4"/>
  <c r="AK106" i="4"/>
  <c r="AL106" i="4"/>
  <c r="AM106" i="4"/>
  <c r="AN106" i="4"/>
  <c r="AO106" i="4"/>
  <c r="AP106" i="4"/>
  <c r="AQ106" i="4"/>
  <c r="AR106" i="4"/>
  <c r="AS106" i="4"/>
  <c r="AT106" i="4"/>
  <c r="AK107" i="4"/>
  <c r="AL107" i="4"/>
  <c r="AM107" i="4"/>
  <c r="AN107" i="4"/>
  <c r="AO107" i="4"/>
  <c r="AP107" i="4"/>
  <c r="AQ107" i="4"/>
  <c r="AR107" i="4"/>
  <c r="AS107" i="4"/>
  <c r="AT107" i="4"/>
  <c r="AK108" i="4"/>
  <c r="AL108" i="4"/>
  <c r="AM108" i="4"/>
  <c r="AN108" i="4"/>
  <c r="AO108" i="4"/>
  <c r="AP108" i="4"/>
  <c r="AQ108" i="4"/>
  <c r="AR108" i="4"/>
  <c r="AS108" i="4"/>
  <c r="AT108" i="4"/>
  <c r="AK109" i="4"/>
  <c r="AL109" i="4"/>
  <c r="AM109" i="4"/>
  <c r="AN109" i="4"/>
  <c r="AO109" i="4"/>
  <c r="AP109" i="4"/>
  <c r="AQ109" i="4"/>
  <c r="AR109" i="4"/>
  <c r="AS109" i="4"/>
  <c r="AT109" i="4"/>
  <c r="AL105" i="4"/>
  <c r="AM105" i="4"/>
  <c r="AN105" i="4"/>
  <c r="AO105" i="4"/>
  <c r="AP105" i="4"/>
  <c r="AQ105" i="4"/>
  <c r="AR105" i="4"/>
  <c r="AS105" i="4"/>
  <c r="AT105" i="4"/>
  <c r="AL102" i="4"/>
  <c r="AM102" i="4"/>
  <c r="AM103" i="4" s="1"/>
  <c r="AN102" i="4"/>
  <c r="AO102" i="4"/>
  <c r="AP102" i="4"/>
  <c r="AQ102" i="4"/>
  <c r="AR102" i="4"/>
  <c r="AS102" i="4"/>
  <c r="AT102" i="4"/>
  <c r="AL101" i="4"/>
  <c r="AM101" i="4"/>
  <c r="AN101" i="4"/>
  <c r="AO101" i="4"/>
  <c r="AP101" i="4"/>
  <c r="AQ101" i="4"/>
  <c r="AR101" i="4"/>
  <c r="AS101" i="4"/>
  <c r="AT101" i="4"/>
  <c r="AL100" i="4"/>
  <c r="AM100" i="4"/>
  <c r="AN100" i="4"/>
  <c r="AO100" i="4"/>
  <c r="AP100" i="4"/>
  <c r="AQ100" i="4"/>
  <c r="AR100" i="4"/>
  <c r="AS100" i="4"/>
  <c r="AT100" i="4"/>
  <c r="AL99" i="4"/>
  <c r="AM99" i="4"/>
  <c r="AN99" i="4"/>
  <c r="AO99" i="4"/>
  <c r="AP99" i="4"/>
  <c r="AQ99" i="4"/>
  <c r="AR99" i="4"/>
  <c r="AS99" i="4"/>
  <c r="AT99" i="4"/>
  <c r="AL98" i="4"/>
  <c r="AM98" i="4"/>
  <c r="AN98" i="4"/>
  <c r="AO98" i="4"/>
  <c r="AP98" i="4"/>
  <c r="AQ98" i="4"/>
  <c r="AR98" i="4"/>
  <c r="AS98" i="4"/>
  <c r="AT98" i="4"/>
  <c r="AL95" i="4"/>
  <c r="AM95" i="4"/>
  <c r="AN95" i="4"/>
  <c r="AO95" i="4"/>
  <c r="AP95" i="4"/>
  <c r="AQ95" i="4"/>
  <c r="AR95" i="4"/>
  <c r="AS95" i="4"/>
  <c r="AT95" i="4"/>
  <c r="AL94" i="4"/>
  <c r="AM94" i="4"/>
  <c r="AN94" i="4"/>
  <c r="AO94" i="4"/>
  <c r="AO96" i="4" s="1"/>
  <c r="AP94" i="4"/>
  <c r="AQ94" i="4"/>
  <c r="AR94" i="4"/>
  <c r="AS94" i="4"/>
  <c r="AT94" i="4"/>
  <c r="AL93" i="4"/>
  <c r="AM93" i="4"/>
  <c r="AN93" i="4"/>
  <c r="AN96" i="4" s="1"/>
  <c r="AO93" i="4"/>
  <c r="AP93" i="4"/>
  <c r="AQ93" i="4"/>
  <c r="AR93" i="4"/>
  <c r="AS93" i="4"/>
  <c r="AT93" i="4"/>
  <c r="AL92" i="4"/>
  <c r="AM92" i="4"/>
  <c r="AM96" i="4" s="1"/>
  <c r="AN92" i="4"/>
  <c r="AO92" i="4"/>
  <c r="AP92" i="4"/>
  <c r="AQ92" i="4"/>
  <c r="AR92" i="4"/>
  <c r="AS92" i="4"/>
  <c r="AT92" i="4"/>
  <c r="AL91" i="4"/>
  <c r="AL96" i="4" s="1"/>
  <c r="AM91" i="4"/>
  <c r="AN91" i="4"/>
  <c r="AO91" i="4"/>
  <c r="AP91" i="4"/>
  <c r="AQ91" i="4"/>
  <c r="AR91" i="4"/>
  <c r="AS91" i="4"/>
  <c r="AT91" i="4"/>
  <c r="AT96" i="4" s="1"/>
  <c r="AL88" i="4"/>
  <c r="AM88" i="4"/>
  <c r="AN88" i="4"/>
  <c r="AO88" i="4"/>
  <c r="AP88" i="4"/>
  <c r="AQ88" i="4"/>
  <c r="AR88" i="4"/>
  <c r="AS88" i="4"/>
  <c r="AT88" i="4"/>
  <c r="AL87" i="4"/>
  <c r="AM87" i="4"/>
  <c r="AN87" i="4"/>
  <c r="AO87" i="4"/>
  <c r="AP87" i="4"/>
  <c r="AQ87" i="4"/>
  <c r="AR87" i="4"/>
  <c r="AS87" i="4"/>
  <c r="AT87" i="4"/>
  <c r="AL86" i="4"/>
  <c r="AM86" i="4"/>
  <c r="AN86" i="4"/>
  <c r="AO86" i="4"/>
  <c r="AP86" i="4"/>
  <c r="AQ86" i="4"/>
  <c r="AR86" i="4"/>
  <c r="AS86" i="4"/>
  <c r="AT86" i="4"/>
  <c r="AL85" i="4"/>
  <c r="AM85" i="4"/>
  <c r="AN85" i="4"/>
  <c r="AO85" i="4"/>
  <c r="AP85" i="4"/>
  <c r="AQ85" i="4"/>
  <c r="AR85" i="4"/>
  <c r="AS85" i="4"/>
  <c r="AT85" i="4"/>
  <c r="AL84" i="4"/>
  <c r="AM84" i="4"/>
  <c r="AN84" i="4"/>
  <c r="AO84" i="4"/>
  <c r="AP84" i="4"/>
  <c r="AQ84" i="4"/>
  <c r="AR84" i="4"/>
  <c r="AS84" i="4"/>
  <c r="AT84" i="4"/>
  <c r="AL83" i="4"/>
  <c r="AM83" i="4"/>
  <c r="AN83" i="4"/>
  <c r="AO83" i="4"/>
  <c r="AP83" i="4"/>
  <c r="AQ83" i="4"/>
  <c r="AR83" i="4"/>
  <c r="AS83" i="4"/>
  <c r="AT83" i="4"/>
  <c r="AL82" i="4"/>
  <c r="AM82" i="4"/>
  <c r="AN82" i="4"/>
  <c r="AO82" i="4"/>
  <c r="AP82" i="4"/>
  <c r="AQ82" i="4"/>
  <c r="AR82" i="4"/>
  <c r="AS82" i="4"/>
  <c r="AT82" i="4"/>
  <c r="AL79" i="4"/>
  <c r="AL80" i="4" s="1"/>
  <c r="AM79" i="4"/>
  <c r="AN79" i="4"/>
  <c r="AO79" i="4"/>
  <c r="AP79" i="4"/>
  <c r="AQ79" i="4"/>
  <c r="AR79" i="4"/>
  <c r="AS79" i="4"/>
  <c r="AT79" i="4"/>
  <c r="AL78" i="4"/>
  <c r="AM78" i="4"/>
  <c r="AN78" i="4"/>
  <c r="AO78" i="4"/>
  <c r="AP78" i="4"/>
  <c r="AQ78" i="4"/>
  <c r="AR78" i="4"/>
  <c r="AS78" i="4"/>
  <c r="AT78" i="4"/>
  <c r="AL77" i="4"/>
  <c r="AM77" i="4"/>
  <c r="AN77" i="4"/>
  <c r="AO77" i="4"/>
  <c r="AP77" i="4"/>
  <c r="AQ77" i="4"/>
  <c r="AR77" i="4"/>
  <c r="AS77" i="4"/>
  <c r="AT77" i="4"/>
  <c r="AL76" i="4"/>
  <c r="AM76" i="4"/>
  <c r="AN76" i="4"/>
  <c r="AO76" i="4"/>
  <c r="AP76" i="4"/>
  <c r="AQ76" i="4"/>
  <c r="AR76" i="4"/>
  <c r="AS76" i="4"/>
  <c r="AT76" i="4"/>
  <c r="AL75" i="4"/>
  <c r="AM75" i="4"/>
  <c r="AN75" i="4"/>
  <c r="AO75" i="4"/>
  <c r="AP75" i="4"/>
  <c r="AQ75" i="4"/>
  <c r="AR75" i="4"/>
  <c r="AS75" i="4"/>
  <c r="AT75" i="4"/>
  <c r="AL74" i="4"/>
  <c r="AM74" i="4"/>
  <c r="AN74" i="4"/>
  <c r="AO74" i="4"/>
  <c r="AO80" i="4" s="1"/>
  <c r="AP74" i="4"/>
  <c r="AQ74" i="4"/>
  <c r="AR74" i="4"/>
  <c r="AS74" i="4"/>
  <c r="AT74" i="4"/>
  <c r="AL73" i="4"/>
  <c r="AM73" i="4"/>
  <c r="AM80" i="4" s="1"/>
  <c r="AN73" i="4"/>
  <c r="AN80" i="4" s="1"/>
  <c r="AO73" i="4"/>
  <c r="AP73" i="4"/>
  <c r="AQ73" i="4"/>
  <c r="AR73" i="4"/>
  <c r="AS73" i="4"/>
  <c r="AT73" i="4"/>
  <c r="AL70" i="4"/>
  <c r="AM70" i="4"/>
  <c r="AM71" i="4" s="1"/>
  <c r="AN70" i="4"/>
  <c r="AO70" i="4"/>
  <c r="AP70" i="4"/>
  <c r="AQ70" i="4"/>
  <c r="AR70" i="4"/>
  <c r="AS70" i="4"/>
  <c r="AT70" i="4"/>
  <c r="AL69" i="4"/>
  <c r="AM69" i="4"/>
  <c r="AN69" i="4"/>
  <c r="AO69" i="4"/>
  <c r="AP69" i="4"/>
  <c r="AQ69" i="4"/>
  <c r="AR69" i="4"/>
  <c r="AS69" i="4"/>
  <c r="AT69" i="4"/>
  <c r="AT71" i="4" s="1"/>
  <c r="AL68" i="4"/>
  <c r="AM68" i="4"/>
  <c r="AN68" i="4"/>
  <c r="AO68" i="4"/>
  <c r="AP68" i="4"/>
  <c r="AQ68" i="4"/>
  <c r="AR68" i="4"/>
  <c r="AS68" i="4"/>
  <c r="AT68" i="4"/>
  <c r="AL67" i="4"/>
  <c r="AM67" i="4"/>
  <c r="AN67" i="4"/>
  <c r="AO67" i="4"/>
  <c r="AP67" i="4"/>
  <c r="AQ67" i="4"/>
  <c r="AR67" i="4"/>
  <c r="AS67" i="4"/>
  <c r="AT67" i="4"/>
  <c r="AL66" i="4"/>
  <c r="AM66" i="4"/>
  <c r="AN66" i="4"/>
  <c r="AO66" i="4"/>
  <c r="AP66" i="4"/>
  <c r="AQ66" i="4"/>
  <c r="AR66" i="4"/>
  <c r="AS66" i="4"/>
  <c r="AT66" i="4"/>
  <c r="AL65" i="4"/>
  <c r="AL71" i="4" s="1"/>
  <c r="AM65" i="4"/>
  <c r="AN65" i="4"/>
  <c r="AO65" i="4"/>
  <c r="AP65" i="4"/>
  <c r="AQ65" i="4"/>
  <c r="AR65" i="4"/>
  <c r="AS65" i="4"/>
  <c r="AT65" i="4"/>
  <c r="AL64" i="4"/>
  <c r="AM64" i="4"/>
  <c r="AN64" i="4"/>
  <c r="AO64" i="4"/>
  <c r="AP64" i="4"/>
  <c r="AQ64" i="4"/>
  <c r="AR64" i="4"/>
  <c r="AS64" i="4"/>
  <c r="AT64" i="4"/>
  <c r="AL61" i="4"/>
  <c r="AM61" i="4"/>
  <c r="AM62" i="4" s="1"/>
  <c r="AN61" i="4"/>
  <c r="AO61" i="4"/>
  <c r="AP61" i="4"/>
  <c r="AQ61" i="4"/>
  <c r="AR61" i="4"/>
  <c r="AS61" i="4"/>
  <c r="AT61" i="4"/>
  <c r="AL60" i="4"/>
  <c r="AL62" i="4" s="1"/>
  <c r="AM60" i="4"/>
  <c r="AN60" i="4"/>
  <c r="AO60" i="4"/>
  <c r="AP60" i="4"/>
  <c r="AQ60" i="4"/>
  <c r="AR60" i="4"/>
  <c r="AS60" i="4"/>
  <c r="AT60" i="4"/>
  <c r="AT62" i="4" s="1"/>
  <c r="AL59" i="4"/>
  <c r="AM59" i="4"/>
  <c r="AN59" i="4"/>
  <c r="AO59" i="4"/>
  <c r="AP59" i="4"/>
  <c r="AQ59" i="4"/>
  <c r="AR59" i="4"/>
  <c r="AS59" i="4"/>
  <c r="AS62" i="4" s="1"/>
  <c r="AT59" i="4"/>
  <c r="AL58" i="4"/>
  <c r="AM58" i="4"/>
  <c r="AN58" i="4"/>
  <c r="AO58" i="4"/>
  <c r="AP58" i="4"/>
  <c r="AQ58" i="4"/>
  <c r="AR58" i="4"/>
  <c r="AS58" i="4"/>
  <c r="AT58" i="4"/>
  <c r="AL57" i="4"/>
  <c r="AM57" i="4"/>
  <c r="AN57" i="4"/>
  <c r="AO57" i="4"/>
  <c r="AP57" i="4"/>
  <c r="AQ57" i="4"/>
  <c r="AQ62" i="4" s="1"/>
  <c r="AR57" i="4"/>
  <c r="AS57" i="4"/>
  <c r="AT57" i="4"/>
  <c r="AL56" i="4"/>
  <c r="AM56" i="4"/>
  <c r="AN56" i="4"/>
  <c r="AO56" i="4"/>
  <c r="AP56" i="4"/>
  <c r="AQ56" i="4"/>
  <c r="AR56" i="4"/>
  <c r="AS56" i="4"/>
  <c r="AT56" i="4"/>
  <c r="AL55" i="4"/>
  <c r="AM55" i="4"/>
  <c r="AN55" i="4"/>
  <c r="AN62" i="4" s="1"/>
  <c r="AO55" i="4"/>
  <c r="AO62" i="4" s="1"/>
  <c r="AP55" i="4"/>
  <c r="AQ55" i="4"/>
  <c r="AR55" i="4"/>
  <c r="AS55" i="4"/>
  <c r="AT55" i="4"/>
  <c r="AL52" i="4"/>
  <c r="AM52" i="4"/>
  <c r="AN52" i="4"/>
  <c r="AO52" i="4"/>
  <c r="AP52" i="4"/>
  <c r="AQ52" i="4"/>
  <c r="AR52" i="4"/>
  <c r="AS52" i="4"/>
  <c r="AT52" i="4"/>
  <c r="AL51" i="4"/>
  <c r="AM51" i="4"/>
  <c r="AN51" i="4"/>
  <c r="AO51" i="4"/>
  <c r="AP51" i="4"/>
  <c r="AQ51" i="4"/>
  <c r="AR51" i="4"/>
  <c r="AS51" i="4"/>
  <c r="AT51" i="4"/>
  <c r="AL50" i="4"/>
  <c r="AM50" i="4"/>
  <c r="AN50" i="4"/>
  <c r="AO50" i="4"/>
  <c r="AP50" i="4"/>
  <c r="AQ50" i="4"/>
  <c r="AR50" i="4"/>
  <c r="AS50" i="4"/>
  <c r="AT50" i="4"/>
  <c r="AL49" i="4"/>
  <c r="AM49" i="4"/>
  <c r="AN49" i="4"/>
  <c r="AO49" i="4"/>
  <c r="AP49" i="4"/>
  <c r="AQ49" i="4"/>
  <c r="AR49" i="4"/>
  <c r="AS49" i="4"/>
  <c r="AT49" i="4"/>
  <c r="AL48" i="4"/>
  <c r="AM48" i="4"/>
  <c r="AN48" i="4"/>
  <c r="AO48" i="4"/>
  <c r="AP48" i="4"/>
  <c r="AQ48" i="4"/>
  <c r="AR48" i="4"/>
  <c r="AS48" i="4"/>
  <c r="AT48" i="4"/>
  <c r="AL47" i="4"/>
  <c r="AM47" i="4"/>
  <c r="AN47" i="4"/>
  <c r="AO47" i="4"/>
  <c r="AP47" i="4"/>
  <c r="AQ47" i="4"/>
  <c r="AR47" i="4"/>
  <c r="AS47" i="4"/>
  <c r="AT47" i="4"/>
  <c r="AL46" i="4"/>
  <c r="AM46" i="4"/>
  <c r="AN46" i="4"/>
  <c r="AO46" i="4"/>
  <c r="AP46" i="4"/>
  <c r="AQ46" i="4"/>
  <c r="AR46" i="4"/>
  <c r="AS46" i="4"/>
  <c r="AT46" i="4"/>
  <c r="AL43" i="4"/>
  <c r="AM43" i="4"/>
  <c r="AN43" i="4"/>
  <c r="AO43" i="4"/>
  <c r="AO44" i="4" s="1"/>
  <c r="AP43" i="4"/>
  <c r="AQ43" i="4"/>
  <c r="AR43" i="4"/>
  <c r="AS43" i="4"/>
  <c r="AT43" i="4"/>
  <c r="AL42" i="4"/>
  <c r="AM42" i="4"/>
  <c r="AN42" i="4"/>
  <c r="AO42" i="4"/>
  <c r="AP42" i="4"/>
  <c r="AQ42" i="4"/>
  <c r="AR42" i="4"/>
  <c r="AS42" i="4"/>
  <c r="AT42" i="4"/>
  <c r="AL41" i="4"/>
  <c r="AM41" i="4"/>
  <c r="AN41" i="4"/>
  <c r="AO41" i="4"/>
  <c r="AP41" i="4"/>
  <c r="AQ41" i="4"/>
  <c r="AR41" i="4"/>
  <c r="AS41" i="4"/>
  <c r="AT41" i="4"/>
  <c r="AL40" i="4"/>
  <c r="AM40" i="4"/>
  <c r="AN40" i="4"/>
  <c r="AO40" i="4"/>
  <c r="AP40" i="4"/>
  <c r="AQ40" i="4"/>
  <c r="AR40" i="4"/>
  <c r="AS40" i="4"/>
  <c r="AT40" i="4"/>
  <c r="AL39" i="4"/>
  <c r="AM39" i="4"/>
  <c r="AN39" i="4"/>
  <c r="AO39" i="4"/>
  <c r="AP39" i="4"/>
  <c r="AQ39" i="4"/>
  <c r="AR39" i="4"/>
  <c r="AS39" i="4"/>
  <c r="AT39" i="4"/>
  <c r="AL38" i="4"/>
  <c r="AM38" i="4"/>
  <c r="AN38" i="4"/>
  <c r="AO38" i="4"/>
  <c r="AP38" i="4"/>
  <c r="AQ38" i="4"/>
  <c r="AR38" i="4"/>
  <c r="AS38" i="4"/>
  <c r="AT38" i="4"/>
  <c r="AL37" i="4"/>
  <c r="AM37" i="4"/>
  <c r="AN37" i="4"/>
  <c r="AO37" i="4"/>
  <c r="AP37" i="4"/>
  <c r="AQ37" i="4"/>
  <c r="AR37" i="4"/>
  <c r="AS37" i="4"/>
  <c r="AT37" i="4"/>
  <c r="AL34" i="4"/>
  <c r="AM34" i="4"/>
  <c r="AN34" i="4"/>
  <c r="AO34" i="4"/>
  <c r="AP34" i="4"/>
  <c r="AQ34" i="4"/>
  <c r="AR34" i="4"/>
  <c r="AS34" i="4"/>
  <c r="AT34" i="4"/>
  <c r="AL33" i="4"/>
  <c r="AM33" i="4"/>
  <c r="AN33" i="4"/>
  <c r="AO33" i="4"/>
  <c r="AP33" i="4"/>
  <c r="AQ33" i="4"/>
  <c r="AR33" i="4"/>
  <c r="AS33" i="4"/>
  <c r="AT33" i="4"/>
  <c r="AL32" i="4"/>
  <c r="AM32" i="4"/>
  <c r="AN32" i="4"/>
  <c r="AO32" i="4"/>
  <c r="AP32" i="4"/>
  <c r="AQ32" i="4"/>
  <c r="AR32" i="4"/>
  <c r="AS32" i="4"/>
  <c r="AT32" i="4"/>
  <c r="AL31" i="4"/>
  <c r="AM31" i="4"/>
  <c r="AN31" i="4"/>
  <c r="AO31" i="4"/>
  <c r="AP31" i="4"/>
  <c r="AQ31" i="4"/>
  <c r="AR31" i="4"/>
  <c r="AS31" i="4"/>
  <c r="AT31" i="4"/>
  <c r="AL30" i="4"/>
  <c r="AL35" i="4" s="1"/>
  <c r="AM30" i="4"/>
  <c r="AN30" i="4"/>
  <c r="AO30" i="4"/>
  <c r="AP30" i="4"/>
  <c r="AQ30" i="4"/>
  <c r="AR30" i="4"/>
  <c r="AS30" i="4"/>
  <c r="AT30" i="4"/>
  <c r="AT35" i="4" s="1"/>
  <c r="AL29" i="4"/>
  <c r="AM29" i="4"/>
  <c r="AN29" i="4"/>
  <c r="AO29" i="4"/>
  <c r="AP29" i="4"/>
  <c r="AQ29" i="4"/>
  <c r="AR29" i="4"/>
  <c r="AS29" i="4"/>
  <c r="AT29" i="4"/>
  <c r="AL28" i="4"/>
  <c r="AM28" i="4"/>
  <c r="AN28" i="4"/>
  <c r="AO28" i="4"/>
  <c r="AP28" i="4"/>
  <c r="AQ28" i="4"/>
  <c r="AR28" i="4"/>
  <c r="AS28" i="4"/>
  <c r="AT28" i="4"/>
  <c r="AL25" i="4"/>
  <c r="AM25" i="4"/>
  <c r="AN25" i="4"/>
  <c r="AO25" i="4"/>
  <c r="AP25" i="4"/>
  <c r="AQ25" i="4"/>
  <c r="AR25" i="4"/>
  <c r="AS25" i="4"/>
  <c r="AT25" i="4"/>
  <c r="AL24" i="4"/>
  <c r="AM24" i="4"/>
  <c r="AN24" i="4"/>
  <c r="AO24" i="4"/>
  <c r="AP24" i="4"/>
  <c r="AQ24" i="4"/>
  <c r="AR24" i="4"/>
  <c r="AS24" i="4"/>
  <c r="AT24" i="4"/>
  <c r="AL23" i="4"/>
  <c r="AM23" i="4"/>
  <c r="AN23" i="4"/>
  <c r="AO23" i="4"/>
  <c r="AP23" i="4"/>
  <c r="AQ23" i="4"/>
  <c r="AR23" i="4"/>
  <c r="AS23" i="4"/>
  <c r="AT23" i="4"/>
  <c r="AL22" i="4"/>
  <c r="AM22" i="4"/>
  <c r="AN22" i="4"/>
  <c r="AO22" i="4"/>
  <c r="AP22" i="4"/>
  <c r="AQ22" i="4"/>
  <c r="AR22" i="4"/>
  <c r="AS22" i="4"/>
  <c r="AT22" i="4"/>
  <c r="AL21" i="4"/>
  <c r="AM21" i="4"/>
  <c r="AM26" i="4" s="1"/>
  <c r="AN21" i="4"/>
  <c r="AO21" i="4"/>
  <c r="AP21" i="4"/>
  <c r="AQ21" i="4"/>
  <c r="AR21" i="4"/>
  <c r="AS21" i="4"/>
  <c r="AT21" i="4"/>
  <c r="AL20" i="4"/>
  <c r="AL26" i="4" s="1"/>
  <c r="AM20" i="4"/>
  <c r="AN20" i="4"/>
  <c r="AO20" i="4"/>
  <c r="AP20" i="4"/>
  <c r="AQ20" i="4"/>
  <c r="AR20" i="4"/>
  <c r="AS20" i="4"/>
  <c r="AT20" i="4"/>
  <c r="AT26" i="4" s="1"/>
  <c r="AL19" i="4"/>
  <c r="AM19" i="4"/>
  <c r="AN19" i="4"/>
  <c r="AO19" i="4"/>
  <c r="AO26" i="4" s="1"/>
  <c r="AP19" i="4"/>
  <c r="AQ19" i="4"/>
  <c r="AR19" i="4"/>
  <c r="AS19" i="4"/>
  <c r="AT19" i="4"/>
  <c r="AK119" i="4"/>
  <c r="AK112" i="4"/>
  <c r="AK105" i="4"/>
  <c r="AK99" i="4"/>
  <c r="AK100" i="4"/>
  <c r="AK101" i="4"/>
  <c r="AK102" i="4"/>
  <c r="AK98" i="4"/>
  <c r="AK92" i="4"/>
  <c r="AK93" i="4"/>
  <c r="AK94" i="4"/>
  <c r="AK95" i="4"/>
  <c r="AK91" i="4"/>
  <c r="AK83" i="4"/>
  <c r="AK84" i="4"/>
  <c r="AK85" i="4"/>
  <c r="AK86" i="4"/>
  <c r="AK87" i="4"/>
  <c r="AK88" i="4"/>
  <c r="AK82" i="4"/>
  <c r="AK74" i="4"/>
  <c r="AK75" i="4"/>
  <c r="AK76" i="4"/>
  <c r="AK77" i="4"/>
  <c r="AK78" i="4"/>
  <c r="AK79" i="4"/>
  <c r="AK73" i="4"/>
  <c r="AK65" i="4"/>
  <c r="AK66" i="4"/>
  <c r="AK67" i="4"/>
  <c r="AK68" i="4"/>
  <c r="AK69" i="4"/>
  <c r="AK70" i="4"/>
  <c r="AK64" i="4"/>
  <c r="AK56" i="4"/>
  <c r="AK57" i="4"/>
  <c r="AK58" i="4"/>
  <c r="AK59" i="4"/>
  <c r="AK60" i="4"/>
  <c r="AK61" i="4"/>
  <c r="AK55" i="4"/>
  <c r="AK47" i="4"/>
  <c r="AK48" i="4"/>
  <c r="AK49" i="4"/>
  <c r="AK50" i="4"/>
  <c r="AK51" i="4"/>
  <c r="AK52" i="4"/>
  <c r="AK46" i="4"/>
  <c r="AK38" i="4"/>
  <c r="AK39" i="4"/>
  <c r="AK40" i="4"/>
  <c r="AK41" i="4"/>
  <c r="AK42" i="4"/>
  <c r="AK43" i="4"/>
  <c r="AK37" i="4"/>
  <c r="AK29" i="4"/>
  <c r="AK30" i="4"/>
  <c r="AK31" i="4"/>
  <c r="AK32" i="4"/>
  <c r="AK33" i="4"/>
  <c r="AK34" i="4"/>
  <c r="AK28" i="4"/>
  <c r="AK35" i="4" s="1"/>
  <c r="AK20" i="4"/>
  <c r="AK26" i="4" s="1"/>
  <c r="AK21" i="4"/>
  <c r="AK22" i="4"/>
  <c r="AK23" i="4"/>
  <c r="AK24" i="4"/>
  <c r="AK25" i="4"/>
  <c r="AK96" i="4"/>
  <c r="AK19" i="4"/>
  <c r="AO16" i="4"/>
  <c r="AT11" i="4"/>
  <c r="AT12" i="4"/>
  <c r="AT13" i="4"/>
  <c r="AT14" i="4"/>
  <c r="AT15" i="4"/>
  <c r="AT16" i="4"/>
  <c r="AT17" i="4" s="1"/>
  <c r="AS11" i="4"/>
  <c r="AS12" i="4"/>
  <c r="AS13" i="4"/>
  <c r="AS14" i="4"/>
  <c r="AS15" i="4"/>
  <c r="AS16" i="4"/>
  <c r="AR11" i="4"/>
  <c r="AR12" i="4"/>
  <c r="AR13" i="4"/>
  <c r="AR14" i="4"/>
  <c r="AR15" i="4"/>
  <c r="AR16" i="4"/>
  <c r="AQ11" i="4"/>
  <c r="AQ12" i="4"/>
  <c r="AQ13" i="4"/>
  <c r="AQ14" i="4"/>
  <c r="AQ15" i="4"/>
  <c r="AQ16" i="4"/>
  <c r="AP11" i="4"/>
  <c r="AP12" i="4"/>
  <c r="AP13" i="4"/>
  <c r="AP14" i="4"/>
  <c r="AP15" i="4"/>
  <c r="AP16" i="4"/>
  <c r="AO11" i="4"/>
  <c r="AO12" i="4"/>
  <c r="AO13" i="4"/>
  <c r="AO14" i="4"/>
  <c r="AO15" i="4"/>
  <c r="AN11" i="4"/>
  <c r="AN12" i="4"/>
  <c r="AN13" i="4"/>
  <c r="AN14" i="4"/>
  <c r="AN15" i="4"/>
  <c r="AN16" i="4"/>
  <c r="AM11" i="4"/>
  <c r="AM12" i="4"/>
  <c r="AM13" i="4"/>
  <c r="AM14" i="4"/>
  <c r="AM15" i="4"/>
  <c r="AM16" i="4"/>
  <c r="AL11" i="4"/>
  <c r="AL12" i="4"/>
  <c r="AL13" i="4"/>
  <c r="AL14" i="4"/>
  <c r="AL15" i="4"/>
  <c r="AL16" i="4"/>
  <c r="AK11" i="4"/>
  <c r="AK12" i="4"/>
  <c r="AK13" i="4"/>
  <c r="AK14" i="4"/>
  <c r="AK15" i="4"/>
  <c r="AK16" i="4"/>
  <c r="AL10" i="4"/>
  <c r="AL17" i="4" s="1"/>
  <c r="AM10" i="4"/>
  <c r="AN10" i="4"/>
  <c r="AO10" i="4"/>
  <c r="AP10" i="4"/>
  <c r="AQ10" i="4"/>
  <c r="AR10" i="4"/>
  <c r="AS10" i="4"/>
  <c r="AT10" i="4"/>
  <c r="AK10" i="4"/>
  <c r="AK17" i="4" s="1"/>
  <c r="AD10" i="2"/>
  <c r="AT110" i="4"/>
  <c r="AS110" i="4"/>
  <c r="AR110" i="4"/>
  <c r="AN89" i="4"/>
  <c r="H64" i="5"/>
  <c r="H57" i="5"/>
  <c r="H50" i="5"/>
  <c r="H43" i="5"/>
  <c r="H36" i="5"/>
  <c r="H29" i="5"/>
  <c r="H22" i="5"/>
  <c r="H15" i="5"/>
  <c r="AK71" i="4" l="1"/>
  <c r="AT80" i="4"/>
  <c r="AL89" i="4"/>
  <c r="AO103" i="4"/>
  <c r="AP103" i="4"/>
  <c r="AP80" i="4"/>
  <c r="AP17" i="4"/>
  <c r="AK89" i="4"/>
  <c r="AO35" i="4"/>
  <c r="AN44" i="4"/>
  <c r="AK53" i="4"/>
  <c r="AN26" i="4"/>
  <c r="AN35" i="4"/>
  <c r="AL53" i="4"/>
  <c r="AR62" i="4"/>
  <c r="AS124" i="4"/>
  <c r="AT124" i="4"/>
  <c r="AL124" i="4"/>
  <c r="AK110" i="4"/>
  <c r="AK44" i="4"/>
  <c r="AK62" i="4"/>
  <c r="AK80" i="4"/>
  <c r="AP62" i="4"/>
  <c r="AQ117" i="4"/>
  <c r="AL103" i="4"/>
  <c r="AS17" i="4"/>
  <c r="AM17" i="4"/>
  <c r="AT44" i="4"/>
  <c r="AN110" i="4"/>
  <c r="AM110" i="4"/>
  <c r="AO110" i="4"/>
  <c r="AR117" i="4"/>
  <c r="AL110" i="4"/>
  <c r="AN124" i="4"/>
  <c r="AP124" i="4"/>
  <c r="AM44" i="4"/>
  <c r="AL44" i="4"/>
  <c r="AR17" i="4"/>
  <c r="AN17" i="4"/>
  <c r="AO17" i="4"/>
  <c r="AO53" i="4"/>
  <c r="AT89" i="4"/>
  <c r="AT117" i="4"/>
  <c r="AN117" i="4"/>
  <c r="AM53" i="4"/>
  <c r="AN53" i="4"/>
  <c r="AN103" i="4"/>
  <c r="AS117" i="4"/>
  <c r="AM117" i="4"/>
  <c r="AO124" i="4"/>
  <c r="AQ124" i="4"/>
  <c r="AP117" i="4"/>
  <c r="AP110" i="4"/>
  <c r="AQ110" i="4"/>
  <c r="AS103" i="4"/>
  <c r="AR103" i="4"/>
  <c r="AT103" i="4"/>
  <c r="AQ103" i="4"/>
  <c r="AP96" i="4"/>
  <c r="AR96" i="4"/>
  <c r="AS96" i="4"/>
  <c r="AQ96" i="4"/>
  <c r="AO89" i="4"/>
  <c r="AQ89" i="4"/>
  <c r="AS89" i="4"/>
  <c r="AR89" i="4"/>
  <c r="AP89" i="4"/>
  <c r="AM89" i="4"/>
  <c r="AQ80" i="4"/>
  <c r="AR80" i="4"/>
  <c r="AS80" i="4"/>
  <c r="AP71" i="4"/>
  <c r="AO71" i="4"/>
  <c r="AN71" i="4"/>
  <c r="AQ71" i="4"/>
  <c r="AS71" i="4"/>
  <c r="AR71" i="4"/>
  <c r="AT53" i="4"/>
  <c r="AS53" i="4"/>
  <c r="AR53" i="4"/>
  <c r="AP53" i="4"/>
  <c r="AQ53" i="4"/>
  <c r="AR44" i="4"/>
  <c r="AP44" i="4"/>
  <c r="AS44" i="4"/>
  <c r="AQ44" i="4"/>
  <c r="AP35" i="4"/>
  <c r="AS35" i="4"/>
  <c r="AR35" i="4"/>
  <c r="AQ35" i="4"/>
  <c r="AM35" i="4"/>
  <c r="AS26" i="4"/>
  <c r="AP26" i="4"/>
  <c r="AQ26" i="4"/>
  <c r="AR26" i="4"/>
  <c r="AK124" i="4"/>
  <c r="AK117" i="4"/>
  <c r="AK103" i="4"/>
  <c r="AQ17" i="4"/>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N159" i="2"/>
  <c r="AN160" i="2"/>
  <c r="AN161" i="2"/>
  <c r="AN162" i="2"/>
  <c r="AN163" i="2"/>
  <c r="AN164" i="2"/>
  <c r="AN158" i="2"/>
  <c r="AN165" i="2" s="1"/>
  <c r="AN150" i="2"/>
  <c r="AN151" i="2"/>
  <c r="AN152" i="2"/>
  <c r="AN153" i="2"/>
  <c r="AN154" i="2"/>
  <c r="AN155" i="2"/>
  <c r="AN149" i="2"/>
  <c r="AN156" i="2" s="1"/>
  <c r="AN141" i="2"/>
  <c r="AN142" i="2"/>
  <c r="AN143" i="2"/>
  <c r="AN144" i="2"/>
  <c r="AN145" i="2"/>
  <c r="AN146" i="2"/>
  <c r="AN140" i="2"/>
  <c r="AN147" i="2" s="1"/>
  <c r="AN127" i="2"/>
  <c r="AN128" i="2"/>
  <c r="AN129" i="2"/>
  <c r="AN130" i="2"/>
  <c r="AN126" i="2"/>
  <c r="AN131" i="2" s="1"/>
  <c r="AN124" i="2"/>
  <c r="AN120" i="2"/>
  <c r="AN121" i="2"/>
  <c r="AN122" i="2"/>
  <c r="AN123" i="2"/>
  <c r="AN119" i="2"/>
  <c r="AN106" i="2"/>
  <c r="AN107" i="2"/>
  <c r="AN108" i="2"/>
  <c r="AN109" i="2"/>
  <c r="AN105" i="2"/>
  <c r="AN74" i="2"/>
  <c r="AN75" i="2"/>
  <c r="AN76" i="2"/>
  <c r="AN77" i="2"/>
  <c r="AN78" i="2"/>
  <c r="AN79" i="2"/>
  <c r="AN73" i="2"/>
  <c r="AN80" i="2" s="1"/>
  <c r="AN65" i="2"/>
  <c r="AN66" i="2"/>
  <c r="AN67" i="2"/>
  <c r="AN68" i="2"/>
  <c r="AN69" i="2"/>
  <c r="AN70" i="2"/>
  <c r="AN64" i="2"/>
  <c r="AN71" i="2" s="1"/>
  <c r="AN56" i="2"/>
  <c r="AN57" i="2"/>
  <c r="AN58" i="2"/>
  <c r="AN59" i="2"/>
  <c r="AN60" i="2"/>
  <c r="AN61" i="2"/>
  <c r="AN55" i="2"/>
  <c r="AN62" i="2" s="1"/>
  <c r="AN47" i="2"/>
  <c r="AN48" i="2"/>
  <c r="AN49" i="2"/>
  <c r="AN50" i="2"/>
  <c r="AN51" i="2"/>
  <c r="AN52" i="2"/>
  <c r="AN46" i="2"/>
  <c r="AN53" i="2" s="1"/>
  <c r="AN38" i="2"/>
  <c r="AN39" i="2"/>
  <c r="AN40" i="2"/>
  <c r="AN41" i="2"/>
  <c r="AN42" i="2"/>
  <c r="AN43" i="2"/>
  <c r="AN37" i="2"/>
  <c r="AN44" i="2" s="1"/>
  <c r="AN29" i="2"/>
  <c r="AN30" i="2"/>
  <c r="AN31" i="2"/>
  <c r="AN32" i="2"/>
  <c r="AN33" i="2"/>
  <c r="AN34" i="2"/>
  <c r="AN28" i="2"/>
  <c r="AN35" i="2" s="1"/>
  <c r="AN13" i="2"/>
  <c r="G64" i="5"/>
  <c r="G57" i="5"/>
  <c r="G50" i="5"/>
  <c r="G43" i="5"/>
  <c r="G36" i="5"/>
  <c r="G29" i="5"/>
  <c r="G22" i="5"/>
  <c r="G15" i="5"/>
  <c r="Y165" i="2" l="1"/>
  <c r="Y156" i="2"/>
  <c r="Y147" i="2" l="1"/>
  <c r="Y124" i="2"/>
  <c r="Y131" i="2"/>
  <c r="Y25" i="2"/>
  <c r="Y24" i="2"/>
  <c r="Y22" i="2"/>
  <c r="AN22" i="2" s="1"/>
  <c r="Y23" i="2"/>
  <c r="Y21" i="2"/>
  <c r="Y20" i="2"/>
  <c r="AN20" i="2" s="1"/>
  <c r="Y19" i="2"/>
  <c r="Y91" i="2" l="1"/>
  <c r="AN91" i="2" s="1"/>
  <c r="Y95" i="2"/>
  <c r="AN95" i="2" s="1"/>
  <c r="Y94" i="2"/>
  <c r="AN94" i="2" s="1"/>
  <c r="Y93" i="2"/>
  <c r="AN93" i="2" s="1"/>
  <c r="Y92" i="2"/>
  <c r="AN92" i="2" s="1"/>
  <c r="Y96" i="2" l="1"/>
  <c r="AN96" i="2"/>
  <c r="Y102" i="2"/>
  <c r="Y101" i="2"/>
  <c r="Y100" i="2"/>
  <c r="Y99" i="2"/>
  <c r="Y98" i="2"/>
  <c r="Y84" i="2"/>
  <c r="Y85" i="2"/>
  <c r="AN85" i="2" s="1"/>
  <c r="Y86" i="2"/>
  <c r="Y87" i="2"/>
  <c r="Y88" i="2"/>
  <c r="Y83" i="2"/>
  <c r="AN83" i="2" s="1"/>
  <c r="Y82" i="2"/>
  <c r="Y80" i="2"/>
  <c r="Y71" i="2"/>
  <c r="Y62" i="2"/>
  <c r="Y53" i="2"/>
  <c r="Y44" i="2"/>
  <c r="Y35" i="2"/>
  <c r="Y16" i="2"/>
  <c r="AN16" i="2" s="1"/>
  <c r="Y15" i="2"/>
  <c r="AN15" i="2" s="1"/>
  <c r="Y14" i="2"/>
  <c r="AN14" i="2" s="1"/>
  <c r="Y12" i="2"/>
  <c r="AN12" i="2" s="1"/>
  <c r="Y11" i="2"/>
  <c r="AN11" i="2" s="1"/>
  <c r="Y10" i="2"/>
  <c r="AN10" i="2" s="1"/>
  <c r="Y17" i="2" l="1"/>
  <c r="AN101" i="2"/>
  <c r="Y115" i="2"/>
  <c r="Y136" i="2" s="1"/>
  <c r="AN17" i="2"/>
  <c r="AN102" i="2"/>
  <c r="Y116" i="2"/>
  <c r="Y137" i="2" s="1"/>
  <c r="AN99" i="2"/>
  <c r="Y113" i="2"/>
  <c r="Y134" i="2" s="1"/>
  <c r="Y103" i="2"/>
  <c r="AN100" i="2"/>
  <c r="Y114" i="2"/>
  <c r="Y135" i="2" s="1"/>
  <c r="AN98" i="2"/>
  <c r="Y112" i="2"/>
  <c r="Y89" i="2"/>
  <c r="Y26"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Y133" i="2" l="1"/>
  <c r="Y138" i="2" s="1"/>
  <c r="Y117" i="2"/>
  <c r="AN103" i="2"/>
  <c r="AS127" i="3"/>
  <c r="AS71" i="3"/>
  <c r="AS99" i="3"/>
  <c r="AS64" i="3"/>
  <c r="AS15" i="3"/>
  <c r="F64" i="5"/>
  <c r="F57" i="5"/>
  <c r="F50" i="5"/>
  <c r="F43" i="5"/>
  <c r="F36" i="5"/>
  <c r="F29" i="5"/>
  <c r="F22" i="5"/>
  <c r="F15" i="5"/>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86" i="5"/>
  <c r="A93" i="5" s="1"/>
  <c r="A100" i="5" s="1"/>
  <c r="A107" i="5" s="1"/>
  <c r="A114" i="5" s="1"/>
  <c r="A121" i="5" s="1"/>
  <c r="A128" i="5" s="1"/>
  <c r="C78" i="5"/>
  <c r="C71" i="5"/>
  <c r="E64" i="5"/>
  <c r="D64" i="5"/>
  <c r="C64" i="5"/>
  <c r="E57" i="5"/>
  <c r="D57" i="5"/>
  <c r="C57" i="5"/>
  <c r="E50" i="5"/>
  <c r="D50" i="5"/>
  <c r="C50" i="5"/>
  <c r="E43" i="5"/>
  <c r="D43" i="5"/>
  <c r="C43" i="5"/>
  <c r="E36" i="5"/>
  <c r="D36" i="5"/>
  <c r="C36" i="5"/>
  <c r="E29" i="5"/>
  <c r="D29" i="5"/>
  <c r="C29" i="5"/>
  <c r="E22" i="5"/>
  <c r="D22" i="5"/>
  <c r="C22" i="5"/>
  <c r="A16" i="5"/>
  <c r="A23" i="5" s="1"/>
  <c r="A30" i="5" s="1"/>
  <c r="A37" i="5" s="1"/>
  <c r="A44" i="5" s="1"/>
  <c r="A51" i="5" s="1"/>
  <c r="A58" i="5" s="1"/>
  <c r="A65" i="5" s="1"/>
  <c r="A72" i="5" s="1"/>
  <c r="E15" i="5"/>
  <c r="D15" i="5"/>
  <c r="C15" i="5"/>
  <c r="A18" i="4"/>
  <c r="A27" i="4" s="1"/>
  <c r="A36" i="4" s="1"/>
  <c r="A45" i="4" s="1"/>
  <c r="A54" i="4" s="1"/>
  <c r="A63" i="4" s="1"/>
  <c r="A72" i="4" s="1"/>
  <c r="A81" i="4" s="1"/>
  <c r="A90" i="4" s="1"/>
  <c r="A97" i="4" s="1"/>
  <c r="A104" i="4" s="1"/>
  <c r="A111" i="4" s="1"/>
  <c r="A118" i="4" s="1"/>
  <c r="A125" i="4" s="1"/>
  <c r="A132" i="4" s="1"/>
  <c r="A139" i="4" s="1"/>
  <c r="A148" i="4" s="1"/>
  <c r="A157" i="4" s="1"/>
  <c r="AQ122" i="3" l="1"/>
  <c r="AQ70" i="3"/>
  <c r="AQ69" i="3"/>
  <c r="AQ68" i="3"/>
  <c r="AQ67" i="3"/>
  <c r="AQ66" i="3"/>
  <c r="AQ13" i="3"/>
  <c r="AQ12" i="3"/>
  <c r="AQ11" i="3"/>
  <c r="AQ10" i="3"/>
  <c r="AQ120" i="3"/>
  <c r="AQ113" i="3"/>
  <c r="AQ106" i="3"/>
  <c r="AQ98" i="3"/>
  <c r="AQ97" i="3"/>
  <c r="AQ96" i="3"/>
  <c r="AQ95" i="3"/>
  <c r="AQ94" i="3"/>
  <c r="AQ92" i="3"/>
  <c r="AQ85" i="3"/>
  <c r="AQ78" i="3"/>
  <c r="AQ71"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5" i="2"/>
  <c r="X24" i="2"/>
  <c r="X23" i="2"/>
  <c r="X22" i="2"/>
  <c r="X21" i="2"/>
  <c r="X20" i="2"/>
  <c r="X19" i="2"/>
  <c r="X102" i="2" l="1"/>
  <c r="X101" i="2"/>
  <c r="X100" i="2"/>
  <c r="X99" i="2"/>
  <c r="X98" i="2"/>
  <c r="X95" i="2" l="1"/>
  <c r="X94" i="2"/>
  <c r="X93" i="2"/>
  <c r="X92" i="2"/>
  <c r="X91" i="2"/>
  <c r="X15" i="2" l="1"/>
  <c r="X14" i="2"/>
  <c r="X12" i="2"/>
  <c r="X11" i="2"/>
  <c r="X10" i="2"/>
  <c r="AM164" i="2" l="1"/>
  <c r="AM163" i="2"/>
  <c r="AM162" i="2"/>
  <c r="AM161" i="2"/>
  <c r="AM160" i="2"/>
  <c r="AM159" i="2"/>
  <c r="AM158" i="2"/>
  <c r="AM155" i="2"/>
  <c r="AM154" i="2"/>
  <c r="AM153" i="2"/>
  <c r="AM152" i="2"/>
  <c r="AM151" i="2"/>
  <c r="AM150" i="2"/>
  <c r="AM149" i="2"/>
  <c r="AM146" i="2"/>
  <c r="AM145" i="2"/>
  <c r="AM144" i="2"/>
  <c r="AM143" i="2"/>
  <c r="AM142" i="2"/>
  <c r="AM141" i="2"/>
  <c r="AM140" i="2"/>
  <c r="AM130" i="2"/>
  <c r="AM129" i="2"/>
  <c r="AM128" i="2"/>
  <c r="AM127" i="2"/>
  <c r="AM126" i="2"/>
  <c r="AM123" i="2"/>
  <c r="AM122" i="2"/>
  <c r="AM121" i="2"/>
  <c r="AM120" i="2"/>
  <c r="AM119" i="2"/>
  <c r="AM109" i="2"/>
  <c r="AM108" i="2"/>
  <c r="AM107" i="2"/>
  <c r="AM106" i="2"/>
  <c r="AM105" i="2"/>
  <c r="AM102" i="2"/>
  <c r="AM101" i="2"/>
  <c r="AM100" i="2"/>
  <c r="AM99" i="2"/>
  <c r="AM98" i="2"/>
  <c r="AM95" i="2"/>
  <c r="AM94" i="2"/>
  <c r="AM93" i="2"/>
  <c r="AM92" i="2"/>
  <c r="AM91" i="2"/>
  <c r="AM79" i="2"/>
  <c r="AM78" i="2"/>
  <c r="AM77" i="2"/>
  <c r="AM76" i="2"/>
  <c r="AM75" i="2"/>
  <c r="AM74" i="2"/>
  <c r="AM73" i="2"/>
  <c r="AM70" i="2"/>
  <c r="AM69" i="2"/>
  <c r="AM68" i="2"/>
  <c r="AM67" i="2"/>
  <c r="AM66" i="2"/>
  <c r="AM65" i="2"/>
  <c r="AM64" i="2"/>
  <c r="AM61" i="2"/>
  <c r="AM60" i="2"/>
  <c r="AM59" i="2"/>
  <c r="AM58" i="2"/>
  <c r="AM57" i="2"/>
  <c r="AM56" i="2"/>
  <c r="AM55" i="2"/>
  <c r="AM52" i="2"/>
  <c r="AM51" i="2"/>
  <c r="AM50" i="2"/>
  <c r="AM49" i="2"/>
  <c r="AM48" i="2"/>
  <c r="AM47" i="2"/>
  <c r="AM46" i="2"/>
  <c r="AM43" i="2"/>
  <c r="AM42" i="2"/>
  <c r="AM41" i="2"/>
  <c r="AM40" i="2"/>
  <c r="AM39" i="2"/>
  <c r="AM38" i="2"/>
  <c r="AM37" i="2"/>
  <c r="AM34" i="2"/>
  <c r="AM33" i="2"/>
  <c r="AM32" i="2"/>
  <c r="AM31" i="2"/>
  <c r="AM30" i="2"/>
  <c r="AM29" i="2"/>
  <c r="AM28" i="2"/>
  <c r="AM22" i="2"/>
  <c r="AM20" i="2"/>
  <c r="AM16" i="2"/>
  <c r="AM15" i="2"/>
  <c r="AM14" i="2"/>
  <c r="AM13" i="2"/>
  <c r="AM12" i="2"/>
  <c r="AM11" i="2"/>
  <c r="AM10" i="2"/>
  <c r="X165" i="2"/>
  <c r="X156" i="2"/>
  <c r="X147" i="2"/>
  <c r="X131" i="2"/>
  <c r="X124" i="2"/>
  <c r="X115" i="2"/>
  <c r="X136" i="2" s="1"/>
  <c r="X114" i="2"/>
  <c r="X135" i="2" s="1"/>
  <c r="X113" i="2"/>
  <c r="X134" i="2" s="1"/>
  <c r="X116" i="2"/>
  <c r="X137" i="2" s="1"/>
  <c r="X112" i="2"/>
  <c r="X96" i="2"/>
  <c r="X88" i="2"/>
  <c r="X87" i="2"/>
  <c r="X86" i="2"/>
  <c r="X85" i="2"/>
  <c r="AM85" i="2" s="1"/>
  <c r="X84" i="2"/>
  <c r="X83" i="2"/>
  <c r="AM83" i="2" s="1"/>
  <c r="X82" i="2"/>
  <c r="X80" i="2"/>
  <c r="X71" i="2"/>
  <c r="X62" i="2"/>
  <c r="X53" i="2"/>
  <c r="X44" i="2"/>
  <c r="X35" i="2"/>
  <c r="X26" i="2"/>
  <c r="X17" i="2"/>
  <c r="AO124" i="3"/>
  <c r="AO122" i="3"/>
  <c r="AO70" i="3"/>
  <c r="AO69" i="3"/>
  <c r="AO68" i="3"/>
  <c r="AO67" i="3"/>
  <c r="AO66" i="3"/>
  <c r="AM165" i="2" l="1"/>
  <c r="AM156" i="2"/>
  <c r="AM147" i="2"/>
  <c r="AM71" i="2"/>
  <c r="AM35" i="2"/>
  <c r="AM131" i="2"/>
  <c r="AM103" i="2"/>
  <c r="AM96" i="2"/>
  <c r="AM17" i="2"/>
  <c r="AM124" i="2"/>
  <c r="AM80" i="2"/>
  <c r="AM62" i="2"/>
  <c r="X89" i="2"/>
  <c r="AM53" i="2"/>
  <c r="AM44" i="2"/>
  <c r="X133" i="2"/>
  <c r="X117" i="2"/>
  <c r="X103"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38" i="2" l="1"/>
  <c r="AO99" i="3"/>
  <c r="AO64" i="3"/>
  <c r="AO15" i="3"/>
  <c r="AN125" i="3"/>
  <c r="AN124" i="3"/>
  <c r="AN127" i="3" s="1"/>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71" i="3" l="1"/>
  <c r="AN15" i="3"/>
  <c r="AN99" i="3"/>
  <c r="AN64" i="3"/>
  <c r="AM125" i="3"/>
  <c r="AM124" i="3"/>
  <c r="AM122" i="3"/>
  <c r="AM71" i="3"/>
  <c r="AM70" i="3"/>
  <c r="AM69" i="3"/>
  <c r="AM68" i="3"/>
  <c r="AM67" i="3"/>
  <c r="AM66" i="3"/>
  <c r="AM14" i="3"/>
  <c r="AM13" i="3"/>
  <c r="AM12" i="3"/>
  <c r="AM11" i="3"/>
  <c r="AM10" i="3"/>
  <c r="AM127" i="3" l="1"/>
  <c r="AM120" i="3"/>
  <c r="AM113" i="3"/>
  <c r="AM106" i="3"/>
  <c r="AM98" i="3"/>
  <c r="AM97" i="3"/>
  <c r="AM96" i="3"/>
  <c r="AM95" i="3"/>
  <c r="AM94" i="3"/>
  <c r="AM92" i="3"/>
  <c r="AM85" i="3"/>
  <c r="AM78" i="3"/>
  <c r="AM63" i="3"/>
  <c r="AM62" i="3"/>
  <c r="AM61" i="3"/>
  <c r="AM60" i="3"/>
  <c r="AM59" i="3"/>
  <c r="AM57" i="3"/>
  <c r="AM50" i="3"/>
  <c r="AM43" i="3"/>
  <c r="AM36" i="3"/>
  <c r="AM29" i="3"/>
  <c r="AM22" i="3"/>
  <c r="AM15" i="3"/>
  <c r="AL159" i="2"/>
  <c r="AL160" i="2"/>
  <c r="AL161" i="2"/>
  <c r="AK159" i="2"/>
  <c r="AK160" i="2"/>
  <c r="AK161" i="2"/>
  <c r="AJ159" i="2"/>
  <c r="AJ160" i="2"/>
  <c r="AJ161" i="2"/>
  <c r="AI159" i="2"/>
  <c r="AI160" i="2"/>
  <c r="AI161" i="2"/>
  <c r="AH159" i="2"/>
  <c r="AH160" i="2"/>
  <c r="AH161" i="2"/>
  <c r="AG159" i="2"/>
  <c r="AG160" i="2"/>
  <c r="AG161" i="2"/>
  <c r="AF159" i="2"/>
  <c r="AF160" i="2"/>
  <c r="AF161" i="2"/>
  <c r="AE159" i="2"/>
  <c r="AE160" i="2"/>
  <c r="AE161" i="2"/>
  <c r="AD159" i="2"/>
  <c r="AD160" i="2"/>
  <c r="AD161" i="2"/>
  <c r="AL150" i="2"/>
  <c r="AL151" i="2"/>
  <c r="AL152" i="2"/>
  <c r="AK150" i="2"/>
  <c r="AK151" i="2"/>
  <c r="AK152" i="2"/>
  <c r="AJ150" i="2"/>
  <c r="AJ151" i="2"/>
  <c r="AJ152" i="2"/>
  <c r="AI150" i="2"/>
  <c r="AI151" i="2"/>
  <c r="AI152" i="2"/>
  <c r="AH150" i="2"/>
  <c r="AH151" i="2"/>
  <c r="AH152" i="2"/>
  <c r="AG150" i="2"/>
  <c r="AG151" i="2"/>
  <c r="AG152" i="2"/>
  <c r="AF150" i="2"/>
  <c r="AF151" i="2"/>
  <c r="AF152" i="2"/>
  <c r="AE150" i="2"/>
  <c r="AE151" i="2"/>
  <c r="AE152" i="2"/>
  <c r="AD150" i="2"/>
  <c r="AD151" i="2"/>
  <c r="AD152" i="2"/>
  <c r="AL141" i="2"/>
  <c r="AL142" i="2"/>
  <c r="AL143" i="2"/>
  <c r="AK141" i="2"/>
  <c r="AK142" i="2"/>
  <c r="AK143" i="2"/>
  <c r="AJ141" i="2"/>
  <c r="AJ142" i="2"/>
  <c r="AJ143" i="2"/>
  <c r="AI141" i="2"/>
  <c r="AI142" i="2"/>
  <c r="AI143" i="2"/>
  <c r="AH141" i="2"/>
  <c r="AH142" i="2"/>
  <c r="AH143" i="2"/>
  <c r="AG141" i="2"/>
  <c r="AG142" i="2"/>
  <c r="AG143" i="2"/>
  <c r="AF141" i="2"/>
  <c r="AF142" i="2"/>
  <c r="AF143" i="2"/>
  <c r="AE141" i="2"/>
  <c r="AE142" i="2"/>
  <c r="AE143" i="2"/>
  <c r="AD141" i="2"/>
  <c r="AD142" i="2"/>
  <c r="AD143" i="2"/>
  <c r="AK83" i="2"/>
  <c r="AK85" i="2"/>
  <c r="AJ83" i="2"/>
  <c r="AJ85" i="2"/>
  <c r="AI83" i="2"/>
  <c r="AI85" i="2"/>
  <c r="AH83" i="2"/>
  <c r="AH85" i="2"/>
  <c r="AG83" i="2"/>
  <c r="AG85" i="2"/>
  <c r="AF83" i="2"/>
  <c r="AF85" i="2"/>
  <c r="AE83" i="2"/>
  <c r="AE85" i="2"/>
  <c r="AD83" i="2"/>
  <c r="AD85" i="2"/>
  <c r="AL74" i="2"/>
  <c r="AL75" i="2"/>
  <c r="AL76" i="2"/>
  <c r="AK74" i="2"/>
  <c r="AK75" i="2"/>
  <c r="AK76" i="2"/>
  <c r="AJ74" i="2"/>
  <c r="AJ75" i="2"/>
  <c r="AJ76" i="2"/>
  <c r="AI74" i="2"/>
  <c r="AI75" i="2"/>
  <c r="AI76" i="2"/>
  <c r="AH74" i="2"/>
  <c r="AH75" i="2"/>
  <c r="AH76" i="2"/>
  <c r="AG74" i="2"/>
  <c r="AG75" i="2"/>
  <c r="AG76" i="2"/>
  <c r="AF74" i="2"/>
  <c r="AF75" i="2"/>
  <c r="AF76" i="2"/>
  <c r="AE74" i="2"/>
  <c r="AE75" i="2"/>
  <c r="AE76" i="2"/>
  <c r="AD74" i="2"/>
  <c r="AD75" i="2"/>
  <c r="AD76" i="2"/>
  <c r="AL65" i="2"/>
  <c r="AL66" i="2"/>
  <c r="AL67" i="2"/>
  <c r="AK65" i="2"/>
  <c r="AK66" i="2"/>
  <c r="AK67" i="2"/>
  <c r="AJ65" i="2"/>
  <c r="AJ66" i="2"/>
  <c r="AJ67" i="2"/>
  <c r="AI65" i="2"/>
  <c r="AI66" i="2"/>
  <c r="AI67" i="2"/>
  <c r="AH65" i="2"/>
  <c r="AH66" i="2"/>
  <c r="AH67" i="2"/>
  <c r="AG65" i="2"/>
  <c r="AG66" i="2"/>
  <c r="AG67" i="2"/>
  <c r="AF65" i="2"/>
  <c r="AF66" i="2"/>
  <c r="AF67" i="2"/>
  <c r="AE65" i="2"/>
  <c r="AE66" i="2"/>
  <c r="AE67" i="2"/>
  <c r="AD65" i="2"/>
  <c r="AD66" i="2"/>
  <c r="AD67" i="2"/>
  <c r="AL56" i="2"/>
  <c r="AL57" i="2"/>
  <c r="AL58" i="2"/>
  <c r="AK56" i="2"/>
  <c r="AK57" i="2"/>
  <c r="AK58" i="2"/>
  <c r="AJ56" i="2"/>
  <c r="AJ57" i="2"/>
  <c r="AJ58" i="2"/>
  <c r="AI56" i="2"/>
  <c r="AI57" i="2"/>
  <c r="AI58" i="2"/>
  <c r="AH56" i="2"/>
  <c r="AH57" i="2"/>
  <c r="AH58" i="2"/>
  <c r="AG56" i="2"/>
  <c r="AG57" i="2"/>
  <c r="AG58" i="2"/>
  <c r="AF56" i="2"/>
  <c r="AF57" i="2"/>
  <c r="AF58" i="2"/>
  <c r="AE56" i="2"/>
  <c r="AE57" i="2"/>
  <c r="AE58" i="2"/>
  <c r="AD56" i="2"/>
  <c r="AD57" i="2"/>
  <c r="AD58" i="2"/>
  <c r="AD59" i="2"/>
  <c r="AL47" i="2"/>
  <c r="AL48" i="2"/>
  <c r="AL49" i="2"/>
  <c r="AK47" i="2"/>
  <c r="AK48" i="2"/>
  <c r="AK49" i="2"/>
  <c r="AJ47" i="2"/>
  <c r="AJ48" i="2"/>
  <c r="AJ49" i="2"/>
  <c r="AI47" i="2"/>
  <c r="AI48" i="2"/>
  <c r="AI49" i="2"/>
  <c r="AH47" i="2"/>
  <c r="AH48" i="2"/>
  <c r="AH49" i="2"/>
  <c r="AG47" i="2"/>
  <c r="AG48" i="2"/>
  <c r="AG49" i="2"/>
  <c r="AF47" i="2"/>
  <c r="AF48" i="2"/>
  <c r="AF49" i="2"/>
  <c r="AE47" i="2"/>
  <c r="AE48" i="2"/>
  <c r="AE49" i="2"/>
  <c r="AD47" i="2"/>
  <c r="AD48" i="2"/>
  <c r="AD49" i="2"/>
  <c r="AL38" i="2"/>
  <c r="AL39" i="2"/>
  <c r="AL40" i="2"/>
  <c r="AK38" i="2"/>
  <c r="AK39" i="2"/>
  <c r="AK40" i="2"/>
  <c r="AJ38" i="2"/>
  <c r="AJ39" i="2"/>
  <c r="AJ40" i="2"/>
  <c r="AI38" i="2"/>
  <c r="AI39" i="2"/>
  <c r="AI40" i="2"/>
  <c r="AH38" i="2"/>
  <c r="AH39" i="2"/>
  <c r="AH40" i="2"/>
  <c r="AG38" i="2"/>
  <c r="AG39" i="2"/>
  <c r="AG40" i="2"/>
  <c r="AF38" i="2"/>
  <c r="AF39" i="2"/>
  <c r="AF40" i="2"/>
  <c r="AE38" i="2"/>
  <c r="AE39" i="2"/>
  <c r="AE40" i="2"/>
  <c r="AD38" i="2"/>
  <c r="AD39" i="2"/>
  <c r="AD40" i="2"/>
  <c r="AL29" i="2"/>
  <c r="AL30" i="2"/>
  <c r="AL31" i="2"/>
  <c r="AK29" i="2"/>
  <c r="AK30" i="2"/>
  <c r="AK31" i="2"/>
  <c r="AJ29" i="2"/>
  <c r="AJ30" i="2"/>
  <c r="AJ31" i="2"/>
  <c r="AI29" i="2"/>
  <c r="AI30" i="2"/>
  <c r="AI31" i="2"/>
  <c r="AH29" i="2"/>
  <c r="AH30" i="2"/>
  <c r="AH31" i="2"/>
  <c r="AG29" i="2"/>
  <c r="AG30" i="2"/>
  <c r="AG31" i="2"/>
  <c r="AF29" i="2"/>
  <c r="AF30" i="2"/>
  <c r="AF31" i="2"/>
  <c r="AE29" i="2"/>
  <c r="AE30" i="2"/>
  <c r="AE31" i="2"/>
  <c r="AD29" i="2"/>
  <c r="AD30" i="2"/>
  <c r="AD31" i="2"/>
  <c r="AK20" i="2"/>
  <c r="AK22" i="2"/>
  <c r="AJ20" i="2"/>
  <c r="AJ22" i="2"/>
  <c r="AI20" i="2"/>
  <c r="AI22" i="2"/>
  <c r="AH20" i="2"/>
  <c r="AH22" i="2"/>
  <c r="AG20" i="2"/>
  <c r="AG22" i="2"/>
  <c r="AF20" i="2"/>
  <c r="AF22" i="2"/>
  <c r="AE20" i="2"/>
  <c r="AE22" i="2"/>
  <c r="AD20" i="2"/>
  <c r="AD22" i="2"/>
  <c r="AL13" i="2"/>
  <c r="AK11" i="2"/>
  <c r="AK13" i="2"/>
  <c r="AJ11" i="2"/>
  <c r="AJ13" i="2"/>
  <c r="AI11" i="2"/>
  <c r="AI13" i="2"/>
  <c r="AH11" i="2"/>
  <c r="AH13" i="2"/>
  <c r="AG11" i="2"/>
  <c r="AG13" i="2"/>
  <c r="AF11" i="2"/>
  <c r="AF13" i="2"/>
  <c r="AE11" i="2"/>
  <c r="AE13" i="2"/>
  <c r="AD11" i="2"/>
  <c r="AD12" i="2"/>
  <c r="AD13" i="2"/>
  <c r="W22" i="2"/>
  <c r="AL22" i="2" s="1"/>
  <c r="W20" i="2"/>
  <c r="AL20" i="2" s="1"/>
  <c r="W83" i="2"/>
  <c r="AL83" i="2" s="1"/>
  <c r="W85" i="2"/>
  <c r="AL85" i="2" s="1"/>
  <c r="W11" i="2"/>
  <c r="AL11" i="2" s="1"/>
  <c r="W10"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L164" i="2"/>
  <c r="AL163" i="2"/>
  <c r="AL162" i="2"/>
  <c r="AL158" i="2"/>
  <c r="AL155" i="2"/>
  <c r="AL154" i="2"/>
  <c r="AL153" i="2"/>
  <c r="AL149" i="2"/>
  <c r="AL146" i="2"/>
  <c r="AL145" i="2"/>
  <c r="AL144" i="2"/>
  <c r="AL140" i="2"/>
  <c r="AL130" i="2"/>
  <c r="AL129" i="2"/>
  <c r="AL128" i="2"/>
  <c r="AL127" i="2"/>
  <c r="AL126" i="2"/>
  <c r="AL123" i="2"/>
  <c r="AL122" i="2"/>
  <c r="AL121" i="2"/>
  <c r="AL120" i="2"/>
  <c r="AL119" i="2"/>
  <c r="AL109" i="2"/>
  <c r="AL108" i="2"/>
  <c r="AL107" i="2"/>
  <c r="AL106" i="2"/>
  <c r="AL105" i="2"/>
  <c r="AL101" i="2"/>
  <c r="AL79" i="2"/>
  <c r="AL78" i="2"/>
  <c r="AL77" i="2"/>
  <c r="AL73" i="2"/>
  <c r="AL70" i="2"/>
  <c r="AL69" i="2"/>
  <c r="AL68" i="2"/>
  <c r="AL64" i="2"/>
  <c r="AL61" i="2"/>
  <c r="AL60" i="2"/>
  <c r="AL59" i="2"/>
  <c r="AL55" i="2"/>
  <c r="AL52" i="2"/>
  <c r="AL51" i="2"/>
  <c r="AL50" i="2"/>
  <c r="AL46" i="2"/>
  <c r="AL43" i="2"/>
  <c r="AL42" i="2"/>
  <c r="AL41" i="2"/>
  <c r="AL37" i="2"/>
  <c r="AL34" i="2"/>
  <c r="AL33" i="2"/>
  <c r="AL32" i="2"/>
  <c r="AL28" i="2"/>
  <c r="AL10" i="2"/>
  <c r="W100" i="2"/>
  <c r="AL100" i="2" s="1"/>
  <c r="W102" i="2"/>
  <c r="AL102" i="2" s="1"/>
  <c r="W101" i="2"/>
  <c r="AL165" i="2" l="1"/>
  <c r="AL156" i="2"/>
  <c r="AL147" i="2"/>
  <c r="AL124" i="2"/>
  <c r="AL131" i="2"/>
  <c r="AL80" i="2"/>
  <c r="AL71" i="2"/>
  <c r="AL62" i="2"/>
  <c r="AL53" i="2"/>
  <c r="AL44" i="2"/>
  <c r="AL35" i="2"/>
  <c r="W95" i="2"/>
  <c r="AL95" i="2" s="1"/>
  <c r="W94" i="2"/>
  <c r="AL94" i="2" s="1"/>
  <c r="W93" i="2"/>
  <c r="AL93" i="2" s="1"/>
  <c r="W98" i="2"/>
  <c r="AL98" i="2" s="1"/>
  <c r="AL103" i="2" s="1"/>
  <c r="W99" i="2"/>
  <c r="AL99" i="2" s="1"/>
  <c r="W92" i="2"/>
  <c r="AL92" i="2" s="1"/>
  <c r="W91" i="2"/>
  <c r="AL91" i="2" s="1"/>
  <c r="AL96" i="2" l="1"/>
  <c r="W25" i="2"/>
  <c r="W24" i="2"/>
  <c r="W23" i="2"/>
  <c r="W21" i="2"/>
  <c r="W19" i="2"/>
  <c r="W16" i="2"/>
  <c r="AL16" i="2" s="1"/>
  <c r="W15" i="2"/>
  <c r="AL15" i="2" s="1"/>
  <c r="W14" i="2"/>
  <c r="AL14" i="2" s="1"/>
  <c r="W12" i="2"/>
  <c r="AL12" i="2" l="1"/>
  <c r="AL17" i="2" s="1"/>
  <c r="W17" i="2"/>
  <c r="W26" i="2"/>
  <c r="W165" i="2"/>
  <c r="W156" i="2"/>
  <c r="W147" i="2"/>
  <c r="W131" i="2"/>
  <c r="W124" i="2"/>
  <c r="W115" i="2"/>
  <c r="W136" i="2" s="1"/>
  <c r="W114" i="2"/>
  <c r="W135" i="2" s="1"/>
  <c r="W113" i="2"/>
  <c r="W134" i="2" s="1"/>
  <c r="W112" i="2"/>
  <c r="W116" i="2"/>
  <c r="W137" i="2" s="1"/>
  <c r="W103" i="2"/>
  <c r="W96" i="2"/>
  <c r="W88" i="2"/>
  <c r="W87" i="2"/>
  <c r="W86" i="2"/>
  <c r="W84" i="2"/>
  <c r="W82" i="2"/>
  <c r="W80" i="2"/>
  <c r="W71" i="2"/>
  <c r="W62" i="2"/>
  <c r="W53" i="2"/>
  <c r="W44" i="2"/>
  <c r="W35" i="2"/>
  <c r="AD14" i="2"/>
  <c r="AD15" i="2"/>
  <c r="AD16" i="2"/>
  <c r="AD28" i="2"/>
  <c r="AD32" i="2"/>
  <c r="AD33" i="2"/>
  <c r="AD34" i="2"/>
  <c r="AD37" i="2"/>
  <c r="AD41" i="2"/>
  <c r="AD42" i="2"/>
  <c r="AD43" i="2"/>
  <c r="AD46" i="2"/>
  <c r="AD50" i="2"/>
  <c r="AD51" i="2"/>
  <c r="AD52" i="2"/>
  <c r="AD55" i="2"/>
  <c r="AD60" i="2"/>
  <c r="AD61" i="2"/>
  <c r="AD64" i="2"/>
  <c r="AD68" i="2"/>
  <c r="AD69" i="2"/>
  <c r="AD70" i="2"/>
  <c r="AD73" i="2"/>
  <c r="AD77" i="2"/>
  <c r="AD78" i="2"/>
  <c r="AD79" i="2"/>
  <c r="AD91" i="2"/>
  <c r="AD92" i="2"/>
  <c r="AD93" i="2"/>
  <c r="AD94" i="2"/>
  <c r="AD95" i="2"/>
  <c r="AD98" i="2"/>
  <c r="AD99" i="2"/>
  <c r="AD100" i="2"/>
  <c r="AD101" i="2"/>
  <c r="AD102" i="2"/>
  <c r="AD105" i="2"/>
  <c r="AD106" i="2"/>
  <c r="AD107" i="2"/>
  <c r="AD108" i="2"/>
  <c r="AD109" i="2"/>
  <c r="AD119" i="2"/>
  <c r="AD120" i="2"/>
  <c r="AD121" i="2"/>
  <c r="AD122" i="2"/>
  <c r="AD123" i="2"/>
  <c r="AD126" i="2"/>
  <c r="AD127" i="2"/>
  <c r="AD128" i="2"/>
  <c r="AD129" i="2"/>
  <c r="AD130" i="2"/>
  <c r="AD140" i="2"/>
  <c r="AD144" i="2"/>
  <c r="AD145" i="2"/>
  <c r="AD146" i="2"/>
  <c r="AD149" i="2"/>
  <c r="AD153" i="2"/>
  <c r="AD154" i="2"/>
  <c r="AD155" i="2"/>
  <c r="AD158" i="2"/>
  <c r="AD162" i="2"/>
  <c r="AD163" i="2"/>
  <c r="AD164"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89" i="2" l="1"/>
  <c r="AD156" i="2"/>
  <c r="W117" i="2"/>
  <c r="W133" i="2"/>
  <c r="W138" i="2" s="1"/>
  <c r="AD44" i="2"/>
  <c r="AD71" i="2"/>
  <c r="AD103" i="2"/>
  <c r="AD131" i="2"/>
  <c r="AD53" i="2"/>
  <c r="AD165" i="2"/>
  <c r="AD80" i="2"/>
  <c r="AD110" i="2"/>
  <c r="AD96" i="2"/>
  <c r="AD62" i="2"/>
  <c r="AD35" i="2"/>
  <c r="AD147" i="2"/>
  <c r="AD124" i="2"/>
  <c r="AD17"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7" i="3" s="1"/>
  <c r="AG122" i="3"/>
  <c r="AG120" i="3"/>
  <c r="AG113" i="3"/>
  <c r="AG106" i="3"/>
  <c r="AG95" i="3"/>
  <c r="AG96" i="3"/>
  <c r="AG97" i="3"/>
  <c r="AG98" i="3"/>
  <c r="AG99" i="3" s="1"/>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71" i="3" l="1"/>
  <c r="AG15" i="3"/>
  <c r="AF14" i="3"/>
  <c r="AF13" i="3"/>
  <c r="AF12" i="3"/>
  <c r="AF11" i="3"/>
  <c r="AF10" i="3"/>
  <c r="AF127"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K162" i="2"/>
  <c r="AK163" i="2"/>
  <c r="AK164" i="2"/>
  <c r="AK158" i="2"/>
  <c r="AK165" i="2" s="1"/>
  <c r="AK153" i="2"/>
  <c r="AK154" i="2"/>
  <c r="AK155" i="2"/>
  <c r="AK149" i="2"/>
  <c r="AK144" i="2"/>
  <c r="AK145" i="2"/>
  <c r="AK146" i="2"/>
  <c r="AK140" i="2"/>
  <c r="AK127" i="2"/>
  <c r="AK128" i="2"/>
  <c r="AK129" i="2"/>
  <c r="AK130" i="2"/>
  <c r="AK126" i="2"/>
  <c r="AK120" i="2"/>
  <c r="AK121" i="2"/>
  <c r="AK122" i="2"/>
  <c r="AK123" i="2"/>
  <c r="AK119" i="2"/>
  <c r="AK106" i="2"/>
  <c r="AK107" i="2"/>
  <c r="AK108" i="2"/>
  <c r="AK109" i="2"/>
  <c r="AK105" i="2"/>
  <c r="V147" i="2"/>
  <c r="AK156" i="2" l="1"/>
  <c r="AK124" i="2"/>
  <c r="AK131" i="2"/>
  <c r="AK147" i="2"/>
  <c r="AF15" i="3"/>
  <c r="AF71" i="3"/>
  <c r="AF99" i="3"/>
  <c r="V165" i="2"/>
  <c r="V156" i="2"/>
  <c r="V131" i="2" l="1"/>
  <c r="V124" i="2"/>
  <c r="V98" i="2"/>
  <c r="AK98" i="2" s="1"/>
  <c r="V102" i="2"/>
  <c r="AK102" i="2" s="1"/>
  <c r="V101" i="2"/>
  <c r="AK101" i="2" s="1"/>
  <c r="V100" i="2"/>
  <c r="AK100" i="2" s="1"/>
  <c r="V99" i="2"/>
  <c r="AK99" i="2" s="1"/>
  <c r="V95" i="2"/>
  <c r="AK95" i="2" s="1"/>
  <c r="V94" i="2"/>
  <c r="AK94" i="2" s="1"/>
  <c r="V93" i="2"/>
  <c r="AK93" i="2" s="1"/>
  <c r="V92" i="2"/>
  <c r="AK92" i="2" s="1"/>
  <c r="V91" i="2"/>
  <c r="AK91" i="2" s="1"/>
  <c r="V116" i="2" l="1"/>
  <c r="V137" i="2" s="1"/>
  <c r="AK103" i="2"/>
  <c r="V115" i="2"/>
  <c r="V136" i="2" s="1"/>
  <c r="V112" i="2"/>
  <c r="V133" i="2" s="1"/>
  <c r="V114" i="2"/>
  <c r="V135" i="2" s="1"/>
  <c r="V113" i="2"/>
  <c r="V134" i="2" s="1"/>
  <c r="AK96" i="2"/>
  <c r="V103" i="2"/>
  <c r="V96" i="2"/>
  <c r="AK77" i="2"/>
  <c r="AK78" i="2"/>
  <c r="AK79" i="2"/>
  <c r="AK73" i="2"/>
  <c r="AK68" i="2"/>
  <c r="AK69" i="2"/>
  <c r="AK70" i="2"/>
  <c r="AK64" i="2"/>
  <c r="AK59" i="2"/>
  <c r="AK60" i="2"/>
  <c r="AK61" i="2"/>
  <c r="AK55" i="2"/>
  <c r="AK50" i="2"/>
  <c r="AK51" i="2"/>
  <c r="AK52" i="2"/>
  <c r="AK46" i="2"/>
  <c r="AK41" i="2"/>
  <c r="AK42" i="2"/>
  <c r="AK43" i="2"/>
  <c r="AK37" i="2"/>
  <c r="AK32" i="2"/>
  <c r="AK33" i="2"/>
  <c r="AK34" i="2"/>
  <c r="AK28" i="2"/>
  <c r="V84" i="2"/>
  <c r="V86" i="2"/>
  <c r="V87" i="2"/>
  <c r="V88" i="2"/>
  <c r="V82" i="2"/>
  <c r="V80" i="2"/>
  <c r="V71" i="2"/>
  <c r="V62" i="2"/>
  <c r="V16" i="2"/>
  <c r="AK16" i="2" s="1"/>
  <c r="V15" i="2"/>
  <c r="AK15" i="2" s="1"/>
  <c r="V14" i="2"/>
  <c r="AK14" i="2" s="1"/>
  <c r="V12" i="2"/>
  <c r="AK12" i="2" s="1"/>
  <c r="V10" i="2"/>
  <c r="AK10" i="2" s="1"/>
  <c r="V89" i="2" l="1"/>
  <c r="V138" i="2"/>
  <c r="AK71" i="2"/>
  <c r="AK62" i="2"/>
  <c r="AK53" i="2"/>
  <c r="AK35" i="2"/>
  <c r="AK17" i="2"/>
  <c r="AK80" i="2"/>
  <c r="AK44" i="2"/>
  <c r="V117" i="2"/>
  <c r="V25" i="2"/>
  <c r="V24" i="2"/>
  <c r="V23" i="2"/>
  <c r="V21" i="2"/>
  <c r="V19" i="2"/>
  <c r="V53" i="2"/>
  <c r="V17" i="2"/>
  <c r="V44" i="2"/>
  <c r="V35" i="2"/>
  <c r="V26"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J99" i="2"/>
  <c r="AJ100" i="2"/>
  <c r="AJ101" i="2"/>
  <c r="AJ102" i="2"/>
  <c r="AJ98" i="2"/>
  <c r="AI55" i="2"/>
  <c r="AJ103" i="2" l="1"/>
  <c r="AD123" i="3"/>
  <c r="AD122" i="3"/>
  <c r="AB134" i="3"/>
  <c r="AD134" i="3"/>
  <c r="AD66" i="3" l="1"/>
  <c r="AD71" i="3" s="1"/>
  <c r="AD70" i="3"/>
  <c r="AD69" i="3"/>
  <c r="AD68" i="3"/>
  <c r="AD67" i="3"/>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C99" i="3" s="1"/>
  <c r="AA97" i="3"/>
  <c r="AA99" i="3" s="1"/>
  <c r="AB97" i="3"/>
  <c r="AC97" i="3"/>
  <c r="AA98" i="3"/>
  <c r="AB98" i="3"/>
  <c r="AC98" i="3"/>
  <c r="AA94" i="3"/>
  <c r="AB94" i="3"/>
  <c r="AB99" i="3" s="1"/>
  <c r="AC92" i="3"/>
  <c r="AC85" i="3"/>
  <c r="AC78" i="3"/>
  <c r="AC69" i="3"/>
  <c r="AC68" i="3"/>
  <c r="AC67" i="3"/>
  <c r="AC66" i="3"/>
  <c r="AC71" i="3" l="1"/>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113" i="2" l="1"/>
  <c r="U114" i="2"/>
  <c r="U115" i="2"/>
  <c r="U116" i="2"/>
  <c r="U112" i="2"/>
  <c r="U117" i="2" l="1"/>
  <c r="U95" i="2"/>
  <c r="U94" i="2"/>
  <c r="U93" i="2"/>
  <c r="U92" i="2"/>
  <c r="U91" i="2"/>
  <c r="U16" i="2" l="1"/>
  <c r="U15" i="2"/>
  <c r="U10" i="2"/>
  <c r="U14" i="2"/>
  <c r="U12" i="2"/>
  <c r="AJ12" i="2" s="1"/>
  <c r="U25" i="2" l="1"/>
  <c r="U24" i="2"/>
  <c r="U23" i="2"/>
  <c r="U21" i="2"/>
  <c r="U19" i="2"/>
  <c r="AA125" i="3" l="1"/>
  <c r="AA124" i="3"/>
  <c r="AA123" i="3"/>
  <c r="AA122" i="3"/>
  <c r="AA78" i="3"/>
  <c r="Z78" i="3"/>
  <c r="AA68" i="3"/>
  <c r="AA66" i="3"/>
  <c r="AA70" i="3"/>
  <c r="AA69" i="3"/>
  <c r="AA71" i="3" s="1"/>
  <c r="AA67" i="3"/>
  <c r="U103" i="2"/>
  <c r="AA14" i="3"/>
  <c r="AA13" i="3"/>
  <c r="AA12" i="3"/>
  <c r="AA11" i="3"/>
  <c r="AA10" i="3"/>
  <c r="AA127" i="3" l="1"/>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Z99" i="3" s="1"/>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X71" i="3" l="1"/>
  <c r="Z64" i="3"/>
  <c r="Y99" i="3"/>
  <c r="Y64" i="3"/>
  <c r="X99" i="3"/>
  <c r="X15" i="3"/>
  <c r="X64" i="3"/>
  <c r="AS73" i="2"/>
  <c r="AS72" i="2"/>
  <c r="AR73" i="2"/>
  <c r="AR72" i="2"/>
  <c r="T98" i="2"/>
  <c r="T100" i="2"/>
  <c r="T102" i="2"/>
  <c r="T101" i="2"/>
  <c r="T99" i="2"/>
  <c r="T95" i="2"/>
  <c r="T94" i="2"/>
  <c r="T93" i="2"/>
  <c r="T92" i="2"/>
  <c r="T91" i="2"/>
  <c r="AT72" i="2" l="1"/>
  <c r="AU72" i="2" s="1"/>
  <c r="AT73" i="2"/>
  <c r="AU73" i="2" s="1"/>
  <c r="T25" i="2"/>
  <c r="T24" i="2"/>
  <c r="T23" i="2"/>
  <c r="T21" i="2"/>
  <c r="T19" i="2"/>
  <c r="T16" i="2"/>
  <c r="T15" i="2"/>
  <c r="T14" i="2"/>
  <c r="T12" i="2"/>
  <c r="AI12" i="2" s="1"/>
  <c r="T10" i="2"/>
  <c r="W125" i="3" l="1"/>
  <c r="W124" i="3"/>
  <c r="W123" i="3"/>
  <c r="W122" i="3"/>
  <c r="W127" i="3" s="1"/>
  <c r="W78" i="3"/>
  <c r="W68" i="3"/>
  <c r="W66" i="3"/>
  <c r="W71" i="3" s="1"/>
  <c r="W70" i="3"/>
  <c r="W69" i="3"/>
  <c r="W67" i="3"/>
  <c r="W92" i="3" l="1"/>
  <c r="W85" i="3"/>
  <c r="W95" i="3"/>
  <c r="W96" i="3"/>
  <c r="W97" i="3"/>
  <c r="W98" i="3"/>
  <c r="W94" i="3"/>
  <c r="W120" i="3"/>
  <c r="W113" i="3"/>
  <c r="W106" i="3"/>
  <c r="W14" i="3"/>
  <c r="W13" i="3"/>
  <c r="W12" i="3"/>
  <c r="W11" i="3"/>
  <c r="W10" i="3"/>
  <c r="W60" i="3"/>
  <c r="W61" i="3"/>
  <c r="W62" i="3"/>
  <c r="W63" i="3"/>
  <c r="W59" i="3"/>
  <c r="W57" i="3"/>
  <c r="W50" i="3"/>
  <c r="W43" i="3"/>
  <c r="W64" i="3" s="1"/>
  <c r="W29" i="3"/>
  <c r="W22" i="3"/>
  <c r="W99" i="3" l="1"/>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AS69" i="2" l="1"/>
  <c r="AS68" i="2"/>
  <c r="AR69" i="2"/>
  <c r="AR68" i="2"/>
  <c r="AR63" i="2"/>
  <c r="S95" i="2"/>
  <c r="S94" i="2"/>
  <c r="S93" i="2"/>
  <c r="S91" i="2"/>
  <c r="S92" i="2"/>
  <c r="AT68" i="2" l="1"/>
  <c r="AU68" i="2" s="1"/>
  <c r="AT69" i="2"/>
  <c r="AU69" i="2" s="1"/>
  <c r="S102" i="2"/>
  <c r="S101" i="2"/>
  <c r="S100" i="2"/>
  <c r="S99" i="2"/>
  <c r="S98" i="2"/>
  <c r="S16" i="2"/>
  <c r="S15" i="2"/>
  <c r="S14" i="2"/>
  <c r="S12" i="2"/>
  <c r="AH12" i="2" s="1"/>
  <c r="S10" i="2"/>
  <c r="S25" i="2" l="1"/>
  <c r="S24" i="2"/>
  <c r="S23" i="2"/>
  <c r="S21" i="2"/>
  <c r="S19" i="2"/>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S63" i="2" l="1"/>
  <c r="AT63" i="2" s="1"/>
  <c r="AU63" i="2" s="1"/>
  <c r="AS62" i="2"/>
  <c r="AR62" i="2"/>
  <c r="AR57" i="2"/>
  <c r="R91" i="2"/>
  <c r="R95" i="2"/>
  <c r="R94" i="2"/>
  <c r="R93" i="2"/>
  <c r="R92" i="2"/>
  <c r="AT62" i="2" l="1"/>
  <c r="AU62" i="2" s="1"/>
  <c r="R102" i="2"/>
  <c r="R101" i="2"/>
  <c r="R100" i="2"/>
  <c r="R99" i="2"/>
  <c r="R98" i="2"/>
  <c r="R16" i="2"/>
  <c r="R15" i="2"/>
  <c r="R14" i="2"/>
  <c r="R12" i="2"/>
  <c r="AG12" i="2" s="1"/>
  <c r="R10" i="2"/>
  <c r="R25" i="2" l="1"/>
  <c r="R24" i="2"/>
  <c r="R23" i="2"/>
  <c r="R21" i="2"/>
  <c r="R19"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S59" i="2" l="1"/>
  <c r="AR59" i="2"/>
  <c r="AS57" i="2"/>
  <c r="AT57" i="2" s="1"/>
  <c r="AU57" i="2" s="1"/>
  <c r="AT59" i="2" l="1"/>
  <c r="AU59" i="2" s="1"/>
  <c r="J68" i="3" l="1"/>
  <c r="J67" i="3"/>
  <c r="J66" i="3"/>
  <c r="J70" i="3"/>
  <c r="J69" i="3"/>
  <c r="J14" i="3"/>
  <c r="J13" i="3"/>
  <c r="J12" i="3"/>
  <c r="J11" i="3"/>
  <c r="J10" i="3"/>
  <c r="Q16" i="2" l="1"/>
  <c r="Q15" i="2"/>
  <c r="Q14" i="2"/>
  <c r="Q12" i="2"/>
  <c r="AF12" i="2" s="1"/>
  <c r="Q10" i="2"/>
  <c r="Q25" i="2" l="1"/>
  <c r="Q24" i="2"/>
  <c r="Q23" i="2"/>
  <c r="Q21" i="2"/>
  <c r="Q19" i="2"/>
  <c r="Q95" i="2"/>
  <c r="Q94" i="2"/>
  <c r="Q93" i="2"/>
  <c r="Q92" i="2"/>
  <c r="Q91" i="2"/>
  <c r="Q102" i="2" l="1"/>
  <c r="Q101" i="2"/>
  <c r="Q100" i="2"/>
  <c r="Q99" i="2"/>
  <c r="Q98"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102" i="2" l="1"/>
  <c r="P101" i="2"/>
  <c r="P100" i="2"/>
  <c r="P99" i="2"/>
  <c r="P98" i="2"/>
  <c r="P95" i="2" l="1"/>
  <c r="P94" i="2"/>
  <c r="P93" i="2"/>
  <c r="P92" i="2"/>
  <c r="P91" i="2"/>
  <c r="P24" i="2" l="1"/>
  <c r="P23" i="2"/>
  <c r="P21" i="2"/>
  <c r="P19" i="2"/>
  <c r="P25" i="2"/>
  <c r="P10" i="2"/>
  <c r="P14" i="2"/>
  <c r="P16" i="2"/>
  <c r="P15" i="2"/>
  <c r="P12" i="2"/>
  <c r="AE12" i="2" s="1"/>
  <c r="F13" i="3" l="1"/>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35" i="2"/>
  <c r="L17" i="2"/>
  <c r="K17" i="2"/>
  <c r="J17" i="2"/>
  <c r="I17" i="2"/>
  <c r="H17" i="2"/>
  <c r="G17" i="2"/>
  <c r="F17" i="2"/>
  <c r="E17" i="2"/>
  <c r="D17" i="2"/>
  <c r="C17" i="2"/>
  <c r="C127" i="3" l="1"/>
  <c r="C120" i="3"/>
  <c r="C113" i="3"/>
  <c r="C106" i="3"/>
  <c r="C92" i="3"/>
  <c r="C85" i="3"/>
  <c r="C78" i="3"/>
  <c r="C57" i="3"/>
  <c r="C50" i="3"/>
  <c r="C43" i="3"/>
  <c r="C36" i="3"/>
  <c r="C29" i="3"/>
  <c r="C22" i="3"/>
  <c r="D124"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5" i="2"/>
  <c r="AM25" i="2" s="1"/>
  <c r="L24" i="2"/>
  <c r="AM24" i="2" s="1"/>
  <c r="L23" i="2"/>
  <c r="AM23" i="2" s="1"/>
  <c r="L21" i="2"/>
  <c r="AM21" i="2" s="1"/>
  <c r="L19" i="2"/>
  <c r="AM19" i="2" s="1"/>
  <c r="K25" i="2"/>
  <c r="AL25" i="2" s="1"/>
  <c r="K24" i="2"/>
  <c r="AL24" i="2" s="1"/>
  <c r="K23" i="2"/>
  <c r="AL23" i="2" s="1"/>
  <c r="K21" i="2"/>
  <c r="AL21" i="2" s="1"/>
  <c r="K19" i="2"/>
  <c r="AL19" i="2" s="1"/>
  <c r="J25" i="2"/>
  <c r="AK25" i="2" s="1"/>
  <c r="J24" i="2"/>
  <c r="AK24" i="2" s="1"/>
  <c r="J23" i="2"/>
  <c r="AK23" i="2" s="1"/>
  <c r="J21" i="2"/>
  <c r="AK21" i="2" s="1"/>
  <c r="J19" i="2"/>
  <c r="AK19" i="2" s="1"/>
  <c r="I25" i="2"/>
  <c r="I24" i="2"/>
  <c r="I23" i="2"/>
  <c r="I21" i="2"/>
  <c r="AJ21" i="2" s="1"/>
  <c r="I19" i="2"/>
  <c r="H25" i="2"/>
  <c r="H24" i="2"/>
  <c r="H23" i="2"/>
  <c r="H21" i="2"/>
  <c r="AI21" i="2" s="1"/>
  <c r="H19" i="2"/>
  <c r="G25" i="2"/>
  <c r="G24" i="2"/>
  <c r="G23" i="2"/>
  <c r="G21" i="2"/>
  <c r="AH21" i="2" s="1"/>
  <c r="G19" i="2"/>
  <c r="F25" i="2"/>
  <c r="F24" i="2"/>
  <c r="F23" i="2"/>
  <c r="F21" i="2"/>
  <c r="AG21" i="2" s="1"/>
  <c r="F19" i="2"/>
  <c r="E24" i="2"/>
  <c r="E23" i="2"/>
  <c r="E21" i="2"/>
  <c r="AF21" i="2" s="1"/>
  <c r="E19" i="2"/>
  <c r="E25" i="2"/>
  <c r="D25" i="2"/>
  <c r="D24" i="2"/>
  <c r="D23" i="2"/>
  <c r="D21" i="2"/>
  <c r="AE21" i="2" s="1"/>
  <c r="D19" i="2"/>
  <c r="C25" i="2"/>
  <c r="C24" i="2"/>
  <c r="C23" i="2"/>
  <c r="C21" i="2"/>
  <c r="C19" i="2"/>
  <c r="AM26" i="2" l="1"/>
  <c r="AL26" i="2"/>
  <c r="AK26"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5" i="2"/>
  <c r="AD25" i="2" s="1"/>
  <c r="O24" i="2"/>
  <c r="AD24" i="2" s="1"/>
  <c r="O23" i="2"/>
  <c r="AD23" i="2" s="1"/>
  <c r="O21" i="2"/>
  <c r="AD21" i="2" s="1"/>
  <c r="O19" i="2"/>
  <c r="AD19" i="2" s="1"/>
  <c r="N25" i="2"/>
  <c r="N24" i="2"/>
  <c r="N23" i="2"/>
  <c r="N21" i="2"/>
  <c r="N19" i="2"/>
  <c r="M25" i="2"/>
  <c r="AN25" i="2" s="1"/>
  <c r="M24" i="2"/>
  <c r="AN24" i="2" s="1"/>
  <c r="M23" i="2"/>
  <c r="AN23" i="2" s="1"/>
  <c r="M21" i="2"/>
  <c r="AN21" i="2" s="1"/>
  <c r="M19" i="2"/>
  <c r="AN19" i="2" s="1"/>
  <c r="AN26" i="2" s="1"/>
  <c r="AD26" i="2" l="1"/>
  <c r="G99" i="3"/>
  <c r="R99" i="3"/>
  <c r="E99" i="3"/>
  <c r="P99" i="3"/>
  <c r="F99" i="3"/>
  <c r="D99" i="3"/>
  <c r="H99" i="3"/>
  <c r="H84" i="2"/>
  <c r="G84" i="2"/>
  <c r="H82" i="2"/>
  <c r="U88" i="2" l="1"/>
  <c r="D88" i="2"/>
  <c r="E88" i="2"/>
  <c r="F88" i="2"/>
  <c r="G88" i="2"/>
  <c r="H88" i="2"/>
  <c r="I88" i="2"/>
  <c r="J88" i="2"/>
  <c r="AK88" i="2" s="1"/>
  <c r="K88" i="2"/>
  <c r="AL88" i="2" s="1"/>
  <c r="L88" i="2"/>
  <c r="AM88" i="2" s="1"/>
  <c r="M88" i="2"/>
  <c r="AN88" i="2" s="1"/>
  <c r="N88" i="2"/>
  <c r="O88" i="2"/>
  <c r="P88" i="2"/>
  <c r="Q88" i="2"/>
  <c r="R88" i="2"/>
  <c r="S88" i="2"/>
  <c r="T88" i="2"/>
  <c r="D87" i="2"/>
  <c r="E87" i="2"/>
  <c r="F87" i="2"/>
  <c r="G87" i="2"/>
  <c r="H87" i="2"/>
  <c r="I87" i="2"/>
  <c r="J87" i="2"/>
  <c r="AK87" i="2" s="1"/>
  <c r="K87" i="2"/>
  <c r="AL87" i="2" s="1"/>
  <c r="L87" i="2"/>
  <c r="AM87" i="2" s="1"/>
  <c r="M87" i="2"/>
  <c r="AN87" i="2" s="1"/>
  <c r="N87" i="2"/>
  <c r="O87" i="2"/>
  <c r="P87" i="2"/>
  <c r="Q87" i="2"/>
  <c r="R87" i="2"/>
  <c r="S87" i="2"/>
  <c r="T87" i="2"/>
  <c r="U87" i="2"/>
  <c r="D86" i="2"/>
  <c r="E86" i="2"/>
  <c r="F86" i="2"/>
  <c r="G86" i="2"/>
  <c r="H86" i="2"/>
  <c r="I86" i="2"/>
  <c r="J86" i="2"/>
  <c r="AK86" i="2" s="1"/>
  <c r="K86" i="2"/>
  <c r="AL86" i="2" s="1"/>
  <c r="L86" i="2"/>
  <c r="AM86" i="2" s="1"/>
  <c r="M86" i="2"/>
  <c r="AN86" i="2" s="1"/>
  <c r="N86" i="2"/>
  <c r="O86" i="2"/>
  <c r="AD86" i="2" s="1"/>
  <c r="P86" i="2"/>
  <c r="Q86" i="2"/>
  <c r="R86" i="2"/>
  <c r="S86" i="2"/>
  <c r="T86" i="2"/>
  <c r="U86" i="2"/>
  <c r="C88" i="2"/>
  <c r="C87" i="2"/>
  <c r="C86" i="2"/>
  <c r="D84" i="2"/>
  <c r="E84" i="2"/>
  <c r="F84" i="2"/>
  <c r="I84" i="2"/>
  <c r="AJ84" i="2" s="1"/>
  <c r="J84" i="2"/>
  <c r="AK84" i="2" s="1"/>
  <c r="K84" i="2"/>
  <c r="AL84" i="2" s="1"/>
  <c r="L84" i="2"/>
  <c r="AM84" i="2" s="1"/>
  <c r="M84" i="2"/>
  <c r="AN84" i="2" s="1"/>
  <c r="N84" i="2"/>
  <c r="O84" i="2"/>
  <c r="AD84" i="2" s="1"/>
  <c r="P84" i="2"/>
  <c r="Q84" i="2"/>
  <c r="R84" i="2"/>
  <c r="S84" i="2"/>
  <c r="AH84" i="2" s="1"/>
  <c r="T84" i="2"/>
  <c r="AI84" i="2" s="1"/>
  <c r="U84" i="2"/>
  <c r="C84" i="2"/>
  <c r="D82" i="2"/>
  <c r="C82" i="2"/>
  <c r="F82" i="2"/>
  <c r="G82" i="2"/>
  <c r="I82" i="2"/>
  <c r="J82" i="2"/>
  <c r="AK82" i="2" s="1"/>
  <c r="AK89" i="2" s="1"/>
  <c r="K82" i="2"/>
  <c r="AL82" i="2" s="1"/>
  <c r="L82" i="2"/>
  <c r="AM82" i="2" s="1"/>
  <c r="M82" i="2"/>
  <c r="AN82" i="2" s="1"/>
  <c r="N82" i="2"/>
  <c r="O82" i="2"/>
  <c r="AD82" i="2" s="1"/>
  <c r="P82" i="2"/>
  <c r="Q82" i="2"/>
  <c r="R82" i="2"/>
  <c r="S82" i="2"/>
  <c r="T82" i="2"/>
  <c r="U82" i="2"/>
  <c r="E82" i="2"/>
  <c r="AN89" i="2" l="1"/>
  <c r="AM89" i="2"/>
  <c r="AG84" i="2"/>
  <c r="AF84" i="2"/>
  <c r="AE84" i="2"/>
  <c r="AL89" i="2"/>
  <c r="AD88" i="2"/>
  <c r="AD87" i="2"/>
  <c r="N96" i="2"/>
  <c r="M96" i="2"/>
  <c r="AD89" i="2" l="1"/>
  <c r="I96" i="2"/>
  <c r="D96" i="2" l="1"/>
  <c r="AE106" i="2" l="1"/>
  <c r="AF106" i="2"/>
  <c r="AG106" i="2"/>
  <c r="AH106" i="2"/>
  <c r="AI106" i="2"/>
  <c r="AJ106" i="2"/>
  <c r="AE107" i="2"/>
  <c r="AF107" i="2"/>
  <c r="AG107" i="2"/>
  <c r="AH107" i="2"/>
  <c r="AI107" i="2"/>
  <c r="AJ107" i="2"/>
  <c r="AE108" i="2"/>
  <c r="AF108" i="2"/>
  <c r="AG108" i="2"/>
  <c r="AH108" i="2"/>
  <c r="AI108" i="2"/>
  <c r="AJ108" i="2"/>
  <c r="AE109" i="2"/>
  <c r="AF109" i="2"/>
  <c r="AG109" i="2"/>
  <c r="AH109" i="2"/>
  <c r="AI109" i="2"/>
  <c r="AJ109" i="2"/>
  <c r="AJ105" i="2"/>
  <c r="AI105" i="2"/>
  <c r="AH105" i="2"/>
  <c r="AG105" i="2"/>
  <c r="AF105" i="2"/>
  <c r="AE105" i="2"/>
  <c r="AE99" i="2"/>
  <c r="AF99" i="2"/>
  <c r="AG99" i="2"/>
  <c r="AH99" i="2"/>
  <c r="AI99" i="2"/>
  <c r="AE100" i="2"/>
  <c r="AF100" i="2"/>
  <c r="AG100" i="2"/>
  <c r="AH100" i="2"/>
  <c r="AI100" i="2"/>
  <c r="AE101" i="2"/>
  <c r="AF101" i="2"/>
  <c r="AG101" i="2"/>
  <c r="AH101" i="2"/>
  <c r="AI101" i="2"/>
  <c r="AE102" i="2"/>
  <c r="AF102" i="2"/>
  <c r="AG102" i="2"/>
  <c r="AH102" i="2"/>
  <c r="AI102" i="2"/>
  <c r="AI98" i="2"/>
  <c r="AH98" i="2"/>
  <c r="AG98" i="2"/>
  <c r="AF98" i="2"/>
  <c r="AE98" i="2"/>
  <c r="AE92" i="2"/>
  <c r="AF92" i="2"/>
  <c r="AG92" i="2"/>
  <c r="AH92" i="2"/>
  <c r="AI92" i="2"/>
  <c r="AJ92" i="2"/>
  <c r="AE93" i="2"/>
  <c r="AF93" i="2"/>
  <c r="AG93" i="2"/>
  <c r="AH93" i="2"/>
  <c r="AI93" i="2"/>
  <c r="AJ93" i="2"/>
  <c r="AE94" i="2"/>
  <c r="AF94" i="2"/>
  <c r="AG94" i="2"/>
  <c r="AH94" i="2"/>
  <c r="AI94" i="2"/>
  <c r="AJ94" i="2"/>
  <c r="AE95" i="2"/>
  <c r="AF95" i="2"/>
  <c r="AG95" i="2"/>
  <c r="AH95" i="2"/>
  <c r="AI95" i="2"/>
  <c r="AJ95" i="2"/>
  <c r="AJ91" i="2"/>
  <c r="AI91" i="2"/>
  <c r="AH91" i="2"/>
  <c r="AG91" i="2"/>
  <c r="AF91" i="2"/>
  <c r="AE91" i="2"/>
  <c r="AE86" i="2"/>
  <c r="AF86" i="2"/>
  <c r="AG86" i="2"/>
  <c r="AH86" i="2"/>
  <c r="AI86" i="2"/>
  <c r="AJ86" i="2"/>
  <c r="AE87" i="2"/>
  <c r="AF87" i="2"/>
  <c r="AG87" i="2"/>
  <c r="AH87" i="2"/>
  <c r="AI87" i="2"/>
  <c r="AJ87" i="2"/>
  <c r="AE88" i="2"/>
  <c r="AF88" i="2"/>
  <c r="AG88" i="2"/>
  <c r="AH88" i="2"/>
  <c r="AI88" i="2"/>
  <c r="AJ88" i="2"/>
  <c r="AJ82" i="2"/>
  <c r="AI82" i="2"/>
  <c r="AH82" i="2"/>
  <c r="AG82" i="2"/>
  <c r="AF82" i="2"/>
  <c r="AE82" i="2"/>
  <c r="AE77" i="2"/>
  <c r="AF77" i="2"/>
  <c r="AG77" i="2"/>
  <c r="AH77" i="2"/>
  <c r="AI77" i="2"/>
  <c r="AJ77" i="2"/>
  <c r="AE78" i="2"/>
  <c r="AF78" i="2"/>
  <c r="AG78" i="2"/>
  <c r="AH78" i="2"/>
  <c r="AI78" i="2"/>
  <c r="AJ78" i="2"/>
  <c r="AE79" i="2"/>
  <c r="AF79" i="2"/>
  <c r="AG79" i="2"/>
  <c r="AH79" i="2"/>
  <c r="AI79" i="2"/>
  <c r="AJ79" i="2"/>
  <c r="AJ73" i="2"/>
  <c r="AI73" i="2"/>
  <c r="AH73" i="2"/>
  <c r="AG73" i="2"/>
  <c r="AF73" i="2"/>
  <c r="AE73" i="2"/>
  <c r="AE68" i="2"/>
  <c r="AF68" i="2"/>
  <c r="AG68" i="2"/>
  <c r="AH68" i="2"/>
  <c r="AI68" i="2"/>
  <c r="AJ68" i="2"/>
  <c r="AE69" i="2"/>
  <c r="AF69" i="2"/>
  <c r="AG69" i="2"/>
  <c r="AH69" i="2"/>
  <c r="AI69" i="2"/>
  <c r="AJ69" i="2"/>
  <c r="AE70" i="2"/>
  <c r="AF70" i="2"/>
  <c r="AG70" i="2"/>
  <c r="AH70" i="2"/>
  <c r="AI70" i="2"/>
  <c r="AJ70" i="2"/>
  <c r="AJ64" i="2"/>
  <c r="AI64" i="2"/>
  <c r="AH64" i="2"/>
  <c r="AG64" i="2"/>
  <c r="AF64" i="2"/>
  <c r="AE64" i="2"/>
  <c r="AE59" i="2"/>
  <c r="AF59" i="2"/>
  <c r="AG59" i="2"/>
  <c r="AH59" i="2"/>
  <c r="AI59" i="2"/>
  <c r="AJ59" i="2"/>
  <c r="AE60" i="2"/>
  <c r="AF60" i="2"/>
  <c r="AG60" i="2"/>
  <c r="AH60" i="2"/>
  <c r="AI60" i="2"/>
  <c r="AJ60" i="2"/>
  <c r="AE61" i="2"/>
  <c r="AF61" i="2"/>
  <c r="AG61" i="2"/>
  <c r="AH61" i="2"/>
  <c r="AI61" i="2"/>
  <c r="AJ61" i="2"/>
  <c r="AJ55" i="2"/>
  <c r="AH55" i="2"/>
  <c r="AG55" i="2"/>
  <c r="AF55" i="2"/>
  <c r="AE55" i="2"/>
  <c r="AE50" i="2"/>
  <c r="AF50" i="2"/>
  <c r="AG50" i="2"/>
  <c r="AH50" i="2"/>
  <c r="AI50" i="2"/>
  <c r="AJ50" i="2"/>
  <c r="AE51" i="2"/>
  <c r="AF51" i="2"/>
  <c r="AG51" i="2"/>
  <c r="AH51" i="2"/>
  <c r="AI51" i="2"/>
  <c r="AJ51" i="2"/>
  <c r="AE52" i="2"/>
  <c r="AF52" i="2"/>
  <c r="AG52" i="2"/>
  <c r="AH52" i="2"/>
  <c r="AI52" i="2"/>
  <c r="AJ52" i="2"/>
  <c r="AJ46" i="2"/>
  <c r="AI46" i="2"/>
  <c r="AH46" i="2"/>
  <c r="AG46" i="2"/>
  <c r="AF46" i="2"/>
  <c r="AE46" i="2"/>
  <c r="AE41" i="2"/>
  <c r="AF41" i="2"/>
  <c r="AG41" i="2"/>
  <c r="AH41" i="2"/>
  <c r="AI41" i="2"/>
  <c r="AJ41" i="2"/>
  <c r="AE42" i="2"/>
  <c r="AF42" i="2"/>
  <c r="AG42" i="2"/>
  <c r="AH42" i="2"/>
  <c r="AI42" i="2"/>
  <c r="AJ42" i="2"/>
  <c r="AE43" i="2"/>
  <c r="AF43" i="2"/>
  <c r="AG43" i="2"/>
  <c r="AH43" i="2"/>
  <c r="AI43" i="2"/>
  <c r="AJ43" i="2"/>
  <c r="AJ37" i="2"/>
  <c r="AI37" i="2"/>
  <c r="AH37" i="2"/>
  <c r="AG37" i="2"/>
  <c r="AF37" i="2"/>
  <c r="AE37" i="2"/>
  <c r="AE32" i="2"/>
  <c r="AF32" i="2"/>
  <c r="AG32" i="2"/>
  <c r="AH32" i="2"/>
  <c r="AI32" i="2"/>
  <c r="AJ32" i="2"/>
  <c r="AE33" i="2"/>
  <c r="AF33" i="2"/>
  <c r="AG33" i="2"/>
  <c r="AH33" i="2"/>
  <c r="AI33" i="2"/>
  <c r="AJ33" i="2"/>
  <c r="AE34" i="2"/>
  <c r="AF34" i="2"/>
  <c r="AG34" i="2"/>
  <c r="AH34" i="2"/>
  <c r="AI34" i="2"/>
  <c r="AJ34" i="2"/>
  <c r="AJ28" i="2"/>
  <c r="AI28" i="2"/>
  <c r="AH28" i="2"/>
  <c r="AG28" i="2"/>
  <c r="AF28" i="2"/>
  <c r="AE28" i="2"/>
  <c r="E35" i="2"/>
  <c r="F35" i="2"/>
  <c r="G35" i="2"/>
  <c r="H35" i="2"/>
  <c r="I35" i="2"/>
  <c r="J35" i="2"/>
  <c r="K35" i="2"/>
  <c r="L35" i="2"/>
  <c r="M35" i="2"/>
  <c r="N35" i="2"/>
  <c r="O35" i="2"/>
  <c r="P35" i="2"/>
  <c r="Q35" i="2"/>
  <c r="R35" i="2"/>
  <c r="S35" i="2"/>
  <c r="T35" i="2"/>
  <c r="U35" i="2"/>
  <c r="E44" i="2"/>
  <c r="F44" i="2"/>
  <c r="G44" i="2"/>
  <c r="H44" i="2"/>
  <c r="I44" i="2"/>
  <c r="J44" i="2"/>
  <c r="K44" i="2"/>
  <c r="L44" i="2"/>
  <c r="M44" i="2"/>
  <c r="N44" i="2"/>
  <c r="O44" i="2"/>
  <c r="P44" i="2"/>
  <c r="Q44" i="2"/>
  <c r="R44" i="2"/>
  <c r="S44" i="2"/>
  <c r="T44" i="2"/>
  <c r="U44" i="2"/>
  <c r="E53" i="2"/>
  <c r="F53" i="2"/>
  <c r="G53" i="2"/>
  <c r="H53" i="2"/>
  <c r="I53" i="2"/>
  <c r="J53" i="2"/>
  <c r="K53" i="2"/>
  <c r="L53" i="2"/>
  <c r="M53" i="2"/>
  <c r="N53" i="2"/>
  <c r="O53" i="2"/>
  <c r="P53" i="2"/>
  <c r="Q53" i="2"/>
  <c r="R53" i="2"/>
  <c r="S53" i="2"/>
  <c r="T53" i="2"/>
  <c r="U53" i="2"/>
  <c r="E62" i="2"/>
  <c r="F62" i="2"/>
  <c r="G62" i="2"/>
  <c r="H62" i="2"/>
  <c r="H71" i="2" s="1"/>
  <c r="I62" i="2"/>
  <c r="J62" i="2"/>
  <c r="K62" i="2"/>
  <c r="L62" i="2"/>
  <c r="M62" i="2"/>
  <c r="N62" i="2"/>
  <c r="O62" i="2"/>
  <c r="P62" i="2"/>
  <c r="Q62" i="2"/>
  <c r="R62" i="2"/>
  <c r="S62" i="2"/>
  <c r="T62" i="2"/>
  <c r="U62" i="2"/>
  <c r="E71" i="2"/>
  <c r="F71" i="2"/>
  <c r="G71" i="2"/>
  <c r="I71" i="2"/>
  <c r="J71" i="2"/>
  <c r="K71" i="2"/>
  <c r="L71" i="2"/>
  <c r="M71" i="2"/>
  <c r="N71" i="2"/>
  <c r="O71" i="2"/>
  <c r="P71" i="2"/>
  <c r="Q71" i="2"/>
  <c r="R71" i="2"/>
  <c r="S71" i="2"/>
  <c r="T71" i="2"/>
  <c r="U71" i="2"/>
  <c r="E80" i="2"/>
  <c r="F80" i="2"/>
  <c r="G80" i="2"/>
  <c r="H80" i="2"/>
  <c r="I80" i="2"/>
  <c r="J80" i="2"/>
  <c r="K80" i="2"/>
  <c r="L80" i="2"/>
  <c r="M80" i="2"/>
  <c r="N80" i="2"/>
  <c r="O80" i="2"/>
  <c r="P80" i="2"/>
  <c r="Q80" i="2"/>
  <c r="R80" i="2"/>
  <c r="S80" i="2"/>
  <c r="T80" i="2"/>
  <c r="U80" i="2"/>
  <c r="E89" i="2"/>
  <c r="F89" i="2"/>
  <c r="G89" i="2"/>
  <c r="H89" i="2"/>
  <c r="I89" i="2"/>
  <c r="J89" i="2"/>
  <c r="K89" i="2"/>
  <c r="L89" i="2"/>
  <c r="M89" i="2"/>
  <c r="N89" i="2"/>
  <c r="O89" i="2"/>
  <c r="P89" i="2"/>
  <c r="Q89" i="2"/>
  <c r="R89" i="2"/>
  <c r="S89" i="2"/>
  <c r="T89" i="2"/>
  <c r="U89" i="2"/>
  <c r="E96" i="2"/>
  <c r="F96" i="2"/>
  <c r="G96" i="2"/>
  <c r="H96" i="2"/>
  <c r="J96" i="2"/>
  <c r="K96" i="2"/>
  <c r="L96" i="2"/>
  <c r="O96" i="2"/>
  <c r="P96" i="2"/>
  <c r="Q96" i="2"/>
  <c r="R96" i="2"/>
  <c r="S96" i="2"/>
  <c r="T96" i="2"/>
  <c r="U96" i="2"/>
  <c r="E103" i="2"/>
  <c r="F103" i="2"/>
  <c r="G103" i="2"/>
  <c r="H103" i="2"/>
  <c r="I103" i="2"/>
  <c r="J103" i="2"/>
  <c r="K103" i="2"/>
  <c r="L103" i="2"/>
  <c r="M103" i="2"/>
  <c r="N103" i="2"/>
  <c r="O103" i="2"/>
  <c r="P103" i="2"/>
  <c r="Q103" i="2"/>
  <c r="R103" i="2"/>
  <c r="S103" i="2"/>
  <c r="T103" i="2"/>
  <c r="E110" i="2"/>
  <c r="F110" i="2"/>
  <c r="G110" i="2"/>
  <c r="H110" i="2"/>
  <c r="I110" i="2"/>
  <c r="J110" i="2"/>
  <c r="AK110" i="2" s="1"/>
  <c r="K110" i="2"/>
  <c r="AL110" i="2" s="1"/>
  <c r="L110" i="2"/>
  <c r="AM110" i="2" s="1"/>
  <c r="M110" i="2"/>
  <c r="AN110" i="2" s="1"/>
  <c r="N110" i="2"/>
  <c r="O110" i="2"/>
  <c r="P110" i="2"/>
  <c r="Q110" i="2"/>
  <c r="R110" i="2"/>
  <c r="S110" i="2"/>
  <c r="T110" i="2"/>
  <c r="U110" i="2"/>
  <c r="D35" i="2"/>
  <c r="D44" i="2"/>
  <c r="D53" i="2"/>
  <c r="D62" i="2"/>
  <c r="D71" i="2"/>
  <c r="D80" i="2"/>
  <c r="D89" i="2"/>
  <c r="D103" i="2"/>
  <c r="D110" i="2"/>
  <c r="C110" i="2"/>
  <c r="C103" i="2"/>
  <c r="C96" i="2"/>
  <c r="C89" i="2"/>
  <c r="C80" i="2"/>
  <c r="C71" i="2"/>
  <c r="C62" i="2"/>
  <c r="C53" i="2"/>
  <c r="C44" i="2"/>
  <c r="AF19" i="2"/>
  <c r="AG19" i="2"/>
  <c r="AH19" i="2"/>
  <c r="AI19" i="2"/>
  <c r="AJ19" i="2"/>
  <c r="AF23" i="2"/>
  <c r="AG23" i="2"/>
  <c r="AH23" i="2"/>
  <c r="AI23" i="2"/>
  <c r="AJ23" i="2"/>
  <c r="AF24" i="2"/>
  <c r="AG24" i="2"/>
  <c r="AH24" i="2"/>
  <c r="AI24" i="2"/>
  <c r="AJ24" i="2"/>
  <c r="AF25" i="2"/>
  <c r="AG25" i="2"/>
  <c r="AH25" i="2"/>
  <c r="AI25" i="2"/>
  <c r="AJ25" i="2"/>
  <c r="AE19" i="2"/>
  <c r="AE23" i="2"/>
  <c r="AE24" i="2"/>
  <c r="AE25" i="2"/>
  <c r="E26" i="2"/>
  <c r="F26" i="2"/>
  <c r="G26" i="2"/>
  <c r="H26" i="2"/>
  <c r="I26" i="2"/>
  <c r="J26" i="2"/>
  <c r="K26" i="2"/>
  <c r="L26" i="2"/>
  <c r="M26" i="2"/>
  <c r="N26" i="2"/>
  <c r="O26" i="2"/>
  <c r="P26" i="2"/>
  <c r="Q26" i="2"/>
  <c r="R26" i="2"/>
  <c r="S26" i="2"/>
  <c r="T26" i="2"/>
  <c r="U26" i="2"/>
  <c r="D26" i="2"/>
  <c r="C26" i="2"/>
  <c r="AF10" i="2"/>
  <c r="AG10" i="2"/>
  <c r="AH10" i="2"/>
  <c r="AI10" i="2"/>
  <c r="AJ10" i="2"/>
  <c r="AF14" i="2"/>
  <c r="AG14" i="2"/>
  <c r="AH14" i="2"/>
  <c r="AI14" i="2"/>
  <c r="AJ14" i="2"/>
  <c r="AF15" i="2"/>
  <c r="AG15" i="2"/>
  <c r="AH15" i="2"/>
  <c r="AI15" i="2"/>
  <c r="AJ15" i="2"/>
  <c r="AF16" i="2"/>
  <c r="AG16" i="2"/>
  <c r="AH16" i="2"/>
  <c r="AI16" i="2"/>
  <c r="AJ16" i="2"/>
  <c r="AE10" i="2"/>
  <c r="AE14" i="2"/>
  <c r="AE15" i="2"/>
  <c r="AE16" i="2"/>
  <c r="M17" i="2"/>
  <c r="N17" i="2"/>
  <c r="O17" i="2"/>
  <c r="P17" i="2"/>
  <c r="Q17" i="2"/>
  <c r="R17" i="2"/>
  <c r="S17" i="2"/>
  <c r="T17" i="2"/>
  <c r="U17" i="2"/>
  <c r="AF158" i="2"/>
  <c r="AG158" i="2"/>
  <c r="AH158" i="2"/>
  <c r="AI158" i="2"/>
  <c r="AJ158" i="2"/>
  <c r="AF162" i="2"/>
  <c r="AG162" i="2"/>
  <c r="AH162" i="2"/>
  <c r="AI162" i="2"/>
  <c r="AJ162" i="2"/>
  <c r="AF163" i="2"/>
  <c r="AG163" i="2"/>
  <c r="AH163" i="2"/>
  <c r="AI163" i="2"/>
  <c r="AJ163" i="2"/>
  <c r="AF164" i="2"/>
  <c r="AG164" i="2"/>
  <c r="AH164" i="2"/>
  <c r="AI164" i="2"/>
  <c r="AJ164" i="2"/>
  <c r="AE158" i="2"/>
  <c r="AE162" i="2"/>
  <c r="AE163" i="2"/>
  <c r="AE164" i="2"/>
  <c r="E165" i="2"/>
  <c r="F165" i="2"/>
  <c r="G165" i="2"/>
  <c r="H165" i="2"/>
  <c r="I165" i="2"/>
  <c r="J165" i="2"/>
  <c r="K165" i="2"/>
  <c r="L165" i="2"/>
  <c r="M165" i="2"/>
  <c r="N165" i="2"/>
  <c r="O165" i="2"/>
  <c r="P165" i="2"/>
  <c r="Q165" i="2"/>
  <c r="R165" i="2"/>
  <c r="S165" i="2"/>
  <c r="T165" i="2"/>
  <c r="U165" i="2"/>
  <c r="D165" i="2"/>
  <c r="C165" i="2"/>
  <c r="AF149" i="2"/>
  <c r="AG149" i="2"/>
  <c r="AH149" i="2"/>
  <c r="AI149" i="2"/>
  <c r="AJ149" i="2"/>
  <c r="AF153" i="2"/>
  <c r="AG153" i="2"/>
  <c r="AH153" i="2"/>
  <c r="AI153" i="2"/>
  <c r="AJ153" i="2"/>
  <c r="AF154" i="2"/>
  <c r="AG154" i="2"/>
  <c r="AH154" i="2"/>
  <c r="AI154" i="2"/>
  <c r="AJ154" i="2"/>
  <c r="AF155" i="2"/>
  <c r="AG155" i="2"/>
  <c r="AH155" i="2"/>
  <c r="AI155" i="2"/>
  <c r="AJ155" i="2"/>
  <c r="AE149" i="2"/>
  <c r="AE153" i="2"/>
  <c r="AE154" i="2"/>
  <c r="AE155" i="2"/>
  <c r="E156" i="2"/>
  <c r="F156" i="2"/>
  <c r="G156" i="2"/>
  <c r="H156" i="2"/>
  <c r="I156" i="2"/>
  <c r="J156" i="2"/>
  <c r="K156" i="2"/>
  <c r="L156" i="2"/>
  <c r="M156" i="2"/>
  <c r="N156" i="2"/>
  <c r="O156" i="2"/>
  <c r="P156" i="2"/>
  <c r="Q156" i="2"/>
  <c r="R156" i="2"/>
  <c r="S156" i="2"/>
  <c r="T156" i="2"/>
  <c r="U156" i="2"/>
  <c r="D156" i="2"/>
  <c r="C156" i="2"/>
  <c r="AF140" i="2"/>
  <c r="AG140" i="2"/>
  <c r="AH140" i="2"/>
  <c r="AI140" i="2"/>
  <c r="AJ140" i="2"/>
  <c r="AF144" i="2"/>
  <c r="AG144" i="2"/>
  <c r="AH144" i="2"/>
  <c r="AI144" i="2"/>
  <c r="AJ144" i="2"/>
  <c r="AF145" i="2"/>
  <c r="AG145" i="2"/>
  <c r="AH145" i="2"/>
  <c r="AI145" i="2"/>
  <c r="AJ145" i="2"/>
  <c r="AF146" i="2"/>
  <c r="AG146" i="2"/>
  <c r="AH146" i="2"/>
  <c r="AI146" i="2"/>
  <c r="AJ146" i="2"/>
  <c r="AE140" i="2"/>
  <c r="AE144" i="2"/>
  <c r="AE145" i="2"/>
  <c r="AE146" i="2"/>
  <c r="G147" i="2"/>
  <c r="H147" i="2"/>
  <c r="I147" i="2"/>
  <c r="J147" i="2"/>
  <c r="K147" i="2"/>
  <c r="L147" i="2"/>
  <c r="M147" i="2"/>
  <c r="N147" i="2"/>
  <c r="O147" i="2"/>
  <c r="P147" i="2"/>
  <c r="Q147" i="2"/>
  <c r="R147" i="2"/>
  <c r="S147" i="2"/>
  <c r="T147" i="2"/>
  <c r="U147" i="2"/>
  <c r="E147" i="2"/>
  <c r="F147" i="2"/>
  <c r="D147" i="2"/>
  <c r="C147" i="2"/>
  <c r="AF126" i="2"/>
  <c r="AG126" i="2"/>
  <c r="AH126" i="2"/>
  <c r="AI126" i="2"/>
  <c r="AJ126" i="2"/>
  <c r="AF127" i="2"/>
  <c r="AG127" i="2"/>
  <c r="AH127" i="2"/>
  <c r="AI127" i="2"/>
  <c r="AJ127" i="2"/>
  <c r="AF128" i="2"/>
  <c r="AG128" i="2"/>
  <c r="AH128" i="2"/>
  <c r="AI128" i="2"/>
  <c r="AJ128" i="2"/>
  <c r="AF129" i="2"/>
  <c r="AG129" i="2"/>
  <c r="AH129" i="2"/>
  <c r="AI129" i="2"/>
  <c r="AJ129" i="2"/>
  <c r="AF130" i="2"/>
  <c r="AG130" i="2"/>
  <c r="AH130" i="2"/>
  <c r="AI130" i="2"/>
  <c r="AJ130" i="2"/>
  <c r="AE126" i="2"/>
  <c r="AE127" i="2"/>
  <c r="AE128" i="2"/>
  <c r="AE129" i="2"/>
  <c r="AE130" i="2"/>
  <c r="E131" i="2"/>
  <c r="F131" i="2"/>
  <c r="G131" i="2"/>
  <c r="H131" i="2"/>
  <c r="I131" i="2"/>
  <c r="J131" i="2"/>
  <c r="K131" i="2"/>
  <c r="L131" i="2"/>
  <c r="M131" i="2"/>
  <c r="N131" i="2"/>
  <c r="O131" i="2"/>
  <c r="P131" i="2"/>
  <c r="Q131" i="2"/>
  <c r="R131" i="2"/>
  <c r="S131" i="2"/>
  <c r="T131" i="2"/>
  <c r="U131" i="2"/>
  <c r="D131" i="2"/>
  <c r="C131" i="2"/>
  <c r="AE119" i="2"/>
  <c r="AF119" i="2"/>
  <c r="AG119" i="2"/>
  <c r="AH119" i="2"/>
  <c r="AI119" i="2"/>
  <c r="AJ119" i="2"/>
  <c r="AE120" i="2"/>
  <c r="AF120" i="2"/>
  <c r="AG120" i="2"/>
  <c r="AH120" i="2"/>
  <c r="AI120" i="2"/>
  <c r="AJ120" i="2"/>
  <c r="AE121" i="2"/>
  <c r="AF121" i="2"/>
  <c r="AG121" i="2"/>
  <c r="AH121" i="2"/>
  <c r="AI121" i="2"/>
  <c r="AJ121" i="2"/>
  <c r="AE122" i="2"/>
  <c r="AF122" i="2"/>
  <c r="AG122" i="2"/>
  <c r="AH122" i="2"/>
  <c r="AI122" i="2"/>
  <c r="AJ122" i="2"/>
  <c r="AE123" i="2"/>
  <c r="AF123" i="2"/>
  <c r="AG123" i="2"/>
  <c r="AH123" i="2"/>
  <c r="AI123" i="2"/>
  <c r="AJ123" i="2"/>
  <c r="E124" i="2"/>
  <c r="F124" i="2"/>
  <c r="G124" i="2"/>
  <c r="H124" i="2"/>
  <c r="I124" i="2"/>
  <c r="J124" i="2"/>
  <c r="K124" i="2"/>
  <c r="L124" i="2"/>
  <c r="M124" i="2"/>
  <c r="N124" i="2"/>
  <c r="O124" i="2"/>
  <c r="P124" i="2"/>
  <c r="Q124" i="2"/>
  <c r="R124" i="2"/>
  <c r="S124" i="2"/>
  <c r="T124" i="2"/>
  <c r="U124" i="2"/>
  <c r="C124" i="2"/>
  <c r="D112" i="2"/>
  <c r="D133" i="2" s="1"/>
  <c r="E112" i="2"/>
  <c r="E133" i="2" s="1"/>
  <c r="F112" i="2"/>
  <c r="F133" i="2" s="1"/>
  <c r="G112" i="2"/>
  <c r="G133" i="2" s="1"/>
  <c r="H112" i="2"/>
  <c r="I112" i="2"/>
  <c r="I133" i="2" s="1"/>
  <c r="J112" i="2"/>
  <c r="AK112" i="2" s="1"/>
  <c r="K112" i="2"/>
  <c r="L112" i="2"/>
  <c r="M112" i="2"/>
  <c r="N112" i="2"/>
  <c r="N133" i="2" s="1"/>
  <c r="O112" i="2"/>
  <c r="P112" i="2"/>
  <c r="P133" i="2" s="1"/>
  <c r="Q112" i="2"/>
  <c r="Q133" i="2" s="1"/>
  <c r="R112" i="2"/>
  <c r="S112" i="2"/>
  <c r="S133" i="2" s="1"/>
  <c r="T112" i="2"/>
  <c r="T133" i="2" s="1"/>
  <c r="U133" i="2"/>
  <c r="D113" i="2"/>
  <c r="E113" i="2"/>
  <c r="E134" i="2" s="1"/>
  <c r="F113" i="2"/>
  <c r="G113" i="2"/>
  <c r="H113" i="2"/>
  <c r="H134" i="2" s="1"/>
  <c r="I113" i="2"/>
  <c r="I134" i="2" s="1"/>
  <c r="J113" i="2"/>
  <c r="K113" i="2"/>
  <c r="L113" i="2"/>
  <c r="M113" i="2"/>
  <c r="N113" i="2"/>
  <c r="N134" i="2" s="1"/>
  <c r="O113" i="2"/>
  <c r="P113" i="2"/>
  <c r="P134" i="2" s="1"/>
  <c r="Q113" i="2"/>
  <c r="Q134" i="2" s="1"/>
  <c r="R113" i="2"/>
  <c r="R134" i="2" s="1"/>
  <c r="S113" i="2"/>
  <c r="S134" i="2" s="1"/>
  <c r="T113" i="2"/>
  <c r="T134" i="2" s="1"/>
  <c r="U134" i="2"/>
  <c r="D114" i="2"/>
  <c r="D135" i="2" s="1"/>
  <c r="E114" i="2"/>
  <c r="E135" i="2" s="1"/>
  <c r="F114" i="2"/>
  <c r="G114" i="2"/>
  <c r="G135" i="2" s="1"/>
  <c r="H114" i="2"/>
  <c r="H135" i="2" s="1"/>
  <c r="I114" i="2"/>
  <c r="AJ114" i="2" s="1"/>
  <c r="J114" i="2"/>
  <c r="K114" i="2"/>
  <c r="L114" i="2"/>
  <c r="AM114" i="2" s="1"/>
  <c r="M114" i="2"/>
  <c r="N114" i="2"/>
  <c r="N135" i="2" s="1"/>
  <c r="O114" i="2"/>
  <c r="P114" i="2"/>
  <c r="P135" i="2" s="1"/>
  <c r="Q114" i="2"/>
  <c r="Q135" i="2" s="1"/>
  <c r="R114" i="2"/>
  <c r="R135" i="2" s="1"/>
  <c r="S114" i="2"/>
  <c r="S135" i="2" s="1"/>
  <c r="T114" i="2"/>
  <c r="U135" i="2"/>
  <c r="D115" i="2"/>
  <c r="D136" i="2" s="1"/>
  <c r="E115" i="2"/>
  <c r="E136" i="2" s="1"/>
  <c r="F115" i="2"/>
  <c r="F136" i="2" s="1"/>
  <c r="G115" i="2"/>
  <c r="G136" i="2" s="1"/>
  <c r="H115" i="2"/>
  <c r="H136" i="2" s="1"/>
  <c r="I115" i="2"/>
  <c r="J115" i="2"/>
  <c r="K115" i="2"/>
  <c r="L115" i="2"/>
  <c r="M115" i="2"/>
  <c r="N115" i="2"/>
  <c r="N136" i="2" s="1"/>
  <c r="O115" i="2"/>
  <c r="P115" i="2"/>
  <c r="P136" i="2" s="1"/>
  <c r="Q115" i="2"/>
  <c r="Q136" i="2" s="1"/>
  <c r="R115" i="2"/>
  <c r="R136" i="2" s="1"/>
  <c r="S115" i="2"/>
  <c r="S136" i="2" s="1"/>
  <c r="T115" i="2"/>
  <c r="T136" i="2" s="1"/>
  <c r="U136" i="2"/>
  <c r="D116" i="2"/>
  <c r="D137" i="2" s="1"/>
  <c r="E116" i="2"/>
  <c r="E137" i="2" s="1"/>
  <c r="F116" i="2"/>
  <c r="F137" i="2" s="1"/>
  <c r="G116" i="2"/>
  <c r="G137" i="2" s="1"/>
  <c r="H116" i="2"/>
  <c r="I116" i="2"/>
  <c r="I137" i="2" s="1"/>
  <c r="J116" i="2"/>
  <c r="K116" i="2"/>
  <c r="L116" i="2"/>
  <c r="M116" i="2"/>
  <c r="N116" i="2"/>
  <c r="N137" i="2" s="1"/>
  <c r="O116" i="2"/>
  <c r="P116" i="2"/>
  <c r="Q116" i="2"/>
  <c r="Q137" i="2" s="1"/>
  <c r="R116" i="2"/>
  <c r="R137" i="2" s="1"/>
  <c r="S116" i="2"/>
  <c r="S137" i="2" s="1"/>
  <c r="T116" i="2"/>
  <c r="T137" i="2" s="1"/>
  <c r="U137" i="2"/>
  <c r="C113" i="2"/>
  <c r="C134" i="2" s="1"/>
  <c r="C114" i="2"/>
  <c r="C115" i="2"/>
  <c r="C136" i="2" s="1"/>
  <c r="C116" i="2"/>
  <c r="C137" i="2" s="1"/>
  <c r="C112" i="2"/>
  <c r="C133" i="2" s="1"/>
  <c r="M135" i="2" l="1"/>
  <c r="AN135" i="2" s="1"/>
  <c r="AN114" i="2"/>
  <c r="M134" i="2"/>
  <c r="AN134" i="2" s="1"/>
  <c r="AN113" i="2"/>
  <c r="M133" i="2"/>
  <c r="AN133" i="2" s="1"/>
  <c r="AN112" i="2"/>
  <c r="M137" i="2"/>
  <c r="AN137" i="2" s="1"/>
  <c r="AN116" i="2"/>
  <c r="M136" i="2"/>
  <c r="AN136" i="2" s="1"/>
  <c r="AN115" i="2"/>
  <c r="AD114" i="2"/>
  <c r="L134" i="2"/>
  <c r="AM134" i="2" s="1"/>
  <c r="AM113" i="2"/>
  <c r="L137" i="2"/>
  <c r="AM137" i="2" s="1"/>
  <c r="AM116" i="2"/>
  <c r="L133" i="2"/>
  <c r="AM133" i="2" s="1"/>
  <c r="AM112" i="2"/>
  <c r="L136" i="2"/>
  <c r="AM136" i="2" s="1"/>
  <c r="AM115" i="2"/>
  <c r="K134" i="2"/>
  <c r="AL134" i="2" s="1"/>
  <c r="AL113" i="2"/>
  <c r="K136" i="2"/>
  <c r="AL136" i="2" s="1"/>
  <c r="AL115" i="2"/>
  <c r="K133" i="2"/>
  <c r="AL133" i="2" s="1"/>
  <c r="AL112" i="2"/>
  <c r="K135" i="2"/>
  <c r="AL135" i="2" s="1"/>
  <c r="AL114" i="2"/>
  <c r="K137" i="2"/>
  <c r="AL137" i="2" s="1"/>
  <c r="AL116" i="2"/>
  <c r="AD113" i="2"/>
  <c r="AD112" i="2"/>
  <c r="J136" i="2"/>
  <c r="AK136" i="2" s="1"/>
  <c r="AK115" i="2"/>
  <c r="AG113" i="2"/>
  <c r="O137" i="2"/>
  <c r="AD137" i="2" s="1"/>
  <c r="AD116" i="2"/>
  <c r="J135" i="2"/>
  <c r="AK135" i="2" s="1"/>
  <c r="AK114" i="2"/>
  <c r="AE110" i="2"/>
  <c r="O136" i="2"/>
  <c r="AD136" i="2" s="1"/>
  <c r="AD115" i="2"/>
  <c r="AG110" i="2"/>
  <c r="AF110" i="2"/>
  <c r="AJ110" i="2"/>
  <c r="AH110" i="2"/>
  <c r="AI110" i="2"/>
  <c r="J134" i="2"/>
  <c r="AK134" i="2" s="1"/>
  <c r="AK113" i="2"/>
  <c r="J137" i="2"/>
  <c r="AK137" i="2" s="1"/>
  <c r="AK116" i="2"/>
  <c r="AH96" i="2"/>
  <c r="AG44" i="2"/>
  <c r="AJ35" i="2"/>
  <c r="AE112" i="2"/>
  <c r="AG114" i="2"/>
  <c r="AG136" i="2"/>
  <c r="AJ115" i="2"/>
  <c r="AI112" i="2"/>
  <c r="AI115" i="2"/>
  <c r="AI103" i="2"/>
  <c r="T117" i="2"/>
  <c r="AI96" i="2"/>
  <c r="AI71" i="2"/>
  <c r="AH156" i="2"/>
  <c r="S138" i="2"/>
  <c r="AH137" i="2"/>
  <c r="AH136" i="2"/>
  <c r="AH113" i="2"/>
  <c r="AH44" i="2"/>
  <c r="AH35" i="2"/>
  <c r="AG103" i="2"/>
  <c r="AG89" i="2"/>
  <c r="AG35" i="2"/>
  <c r="AF89" i="2"/>
  <c r="AF96" i="2"/>
  <c r="AF136" i="2"/>
  <c r="AF134" i="2"/>
  <c r="AF133" i="2"/>
  <c r="AE103" i="2"/>
  <c r="P117" i="2"/>
  <c r="AI131" i="2"/>
  <c r="AJ26" i="2"/>
  <c r="AF26" i="2"/>
  <c r="AG26" i="2"/>
  <c r="AE26" i="2"/>
  <c r="AI26" i="2"/>
  <c r="AH26" i="2"/>
  <c r="AG165" i="2"/>
  <c r="AH165" i="2"/>
  <c r="AI165" i="2"/>
  <c r="AF165" i="2"/>
  <c r="AJ80" i="2"/>
  <c r="AJ53" i="2"/>
  <c r="AJ89" i="2"/>
  <c r="AJ44" i="2"/>
  <c r="AJ71" i="2"/>
  <c r="AJ62" i="2"/>
  <c r="AI80" i="2"/>
  <c r="AI53" i="2"/>
  <c r="AI44" i="2"/>
  <c r="AI35" i="2"/>
  <c r="AI62" i="2"/>
  <c r="AH80" i="2"/>
  <c r="AH53" i="2"/>
  <c r="AH71" i="2"/>
  <c r="AH62" i="2"/>
  <c r="AH89" i="2"/>
  <c r="AI89" i="2"/>
  <c r="AE89" i="2"/>
  <c r="AG80" i="2"/>
  <c r="AG53" i="2"/>
  <c r="AG71" i="2"/>
  <c r="AG62" i="2"/>
  <c r="AF53" i="2"/>
  <c r="AF80" i="2"/>
  <c r="AF71" i="2"/>
  <c r="AE80" i="2"/>
  <c r="AE53" i="2"/>
  <c r="AE44" i="2"/>
  <c r="AE71" i="2"/>
  <c r="AE62" i="2"/>
  <c r="AJ131" i="2"/>
  <c r="AJ124" i="2"/>
  <c r="AI124" i="2"/>
  <c r="AH124" i="2"/>
  <c r="AH131" i="2"/>
  <c r="AG131" i="2"/>
  <c r="AG124" i="2"/>
  <c r="AF124" i="2"/>
  <c r="AF131" i="2"/>
  <c r="AE131" i="2"/>
  <c r="AE124" i="2"/>
  <c r="AJ165" i="2"/>
  <c r="AE165" i="2"/>
  <c r="AJ156" i="2"/>
  <c r="AI156" i="2"/>
  <c r="AG156" i="2"/>
  <c r="AF156" i="2"/>
  <c r="AE156" i="2"/>
  <c r="AI147" i="2"/>
  <c r="AH147" i="2"/>
  <c r="AJ147" i="2"/>
  <c r="AE147" i="2"/>
  <c r="AG147" i="2"/>
  <c r="AF147" i="2"/>
  <c r="AJ96" i="2"/>
  <c r="AG96" i="2"/>
  <c r="AE96" i="2"/>
  <c r="N117" i="2"/>
  <c r="L117" i="2"/>
  <c r="I136" i="2"/>
  <c r="AJ136" i="2" s="1"/>
  <c r="AJ17" i="2"/>
  <c r="H117" i="2"/>
  <c r="H133" i="2"/>
  <c r="AI133" i="2" s="1"/>
  <c r="AI17" i="2"/>
  <c r="AH116" i="2"/>
  <c r="AH103" i="2"/>
  <c r="AH112" i="2"/>
  <c r="AH17" i="2"/>
  <c r="AG116" i="2"/>
  <c r="F135" i="2"/>
  <c r="AG135" i="2" s="1"/>
  <c r="F117" i="2"/>
  <c r="AG17" i="2"/>
  <c r="AF137" i="2"/>
  <c r="AF113" i="2"/>
  <c r="AF103" i="2"/>
  <c r="AF17" i="2"/>
  <c r="AE17" i="2"/>
  <c r="C117" i="2"/>
  <c r="C135" i="2"/>
  <c r="AF62" i="2"/>
  <c r="AF44" i="2"/>
  <c r="AE35" i="2"/>
  <c r="AF35" i="2"/>
  <c r="AH133" i="2"/>
  <c r="U138" i="2"/>
  <c r="M138" i="2"/>
  <c r="AI134" i="2"/>
  <c r="AG137" i="2"/>
  <c r="AJ134" i="2"/>
  <c r="AJ137" i="2"/>
  <c r="AF135" i="2"/>
  <c r="AI136" i="2"/>
  <c r="AF114" i="2"/>
  <c r="AH115" i="2"/>
  <c r="AJ113" i="2"/>
  <c r="AG112" i="2"/>
  <c r="F134" i="2"/>
  <c r="AG134" i="2" s="1"/>
  <c r="O133" i="2"/>
  <c r="AD133" i="2" s="1"/>
  <c r="M117" i="2"/>
  <c r="E117" i="2"/>
  <c r="O117" i="2"/>
  <c r="S117" i="2"/>
  <c r="K117" i="2"/>
  <c r="AJ116" i="2"/>
  <c r="AG115" i="2"/>
  <c r="AI113" i="2"/>
  <c r="AF112" i="2"/>
  <c r="AE135" i="2"/>
  <c r="T135" i="2"/>
  <c r="T138" i="2" s="1"/>
  <c r="L135" i="2"/>
  <c r="N138" i="2"/>
  <c r="O134" i="2"/>
  <c r="AD134" i="2" s="1"/>
  <c r="G134" i="2"/>
  <c r="AH134" i="2" s="1"/>
  <c r="AE136" i="2"/>
  <c r="R117" i="2"/>
  <c r="J117" i="2"/>
  <c r="AI116" i="2"/>
  <c r="AF115" i="2"/>
  <c r="Q117" i="2"/>
  <c r="P137" i="2"/>
  <c r="AE137" i="2" s="1"/>
  <c r="H137" i="2"/>
  <c r="AI137" i="2" s="1"/>
  <c r="Q138" i="2"/>
  <c r="I135" i="2"/>
  <c r="AJ135" i="2" s="1"/>
  <c r="AI114" i="2"/>
  <c r="G117" i="2"/>
  <c r="AF116" i="2"/>
  <c r="AH114" i="2"/>
  <c r="AJ112" i="2"/>
  <c r="R133" i="2"/>
  <c r="R138" i="2" s="1"/>
  <c r="J133" i="2"/>
  <c r="I117" i="2"/>
  <c r="AE113" i="2"/>
  <c r="O135" i="2"/>
  <c r="D117" i="2"/>
  <c r="D134" i="2"/>
  <c r="AE134" i="2" s="1"/>
  <c r="AE116" i="2"/>
  <c r="AE115" i="2"/>
  <c r="AE114" i="2"/>
  <c r="AH135" i="2"/>
  <c r="AJ133" i="2"/>
  <c r="AE133" i="2"/>
  <c r="E138" i="2"/>
  <c r="A18" i="2"/>
  <c r="AN117" i="2" l="1"/>
  <c r="AN138" i="2"/>
  <c r="AM117" i="2"/>
  <c r="L138" i="2"/>
  <c r="AM135" i="2"/>
  <c r="AM138" i="2" s="1"/>
  <c r="AD117" i="2"/>
  <c r="AK117" i="2"/>
  <c r="AL138" i="2"/>
  <c r="AL117" i="2"/>
  <c r="K138" i="2"/>
  <c r="J138" i="2"/>
  <c r="AK133" i="2"/>
  <c r="AK138" i="2" s="1"/>
  <c r="C138" i="2"/>
  <c r="AD135" i="2"/>
  <c r="AD138" i="2" s="1"/>
  <c r="AI135" i="2"/>
  <c r="AI138" i="2" s="1"/>
  <c r="AH138" i="2"/>
  <c r="AF138" i="2"/>
  <c r="D138" i="2"/>
  <c r="AJ117" i="2"/>
  <c r="AI117" i="2"/>
  <c r="AH117" i="2"/>
  <c r="AG117" i="2"/>
  <c r="AE138" i="2"/>
  <c r="AE117" i="2"/>
  <c r="F138" i="2"/>
  <c r="O138" i="2"/>
  <c r="AG133" i="2"/>
  <c r="AG138" i="2" s="1"/>
  <c r="P138" i="2"/>
  <c r="AJ138" i="2"/>
  <c r="H138" i="2"/>
  <c r="I138" i="2"/>
  <c r="AF117" i="2"/>
  <c r="G138" i="2"/>
  <c r="A27" i="2"/>
  <c r="A36" i="2" s="1"/>
  <c r="A45" i="2" s="1"/>
  <c r="A54" i="2" s="1"/>
  <c r="A63" i="2" s="1"/>
  <c r="A72" i="2" s="1"/>
  <c r="A81" i="2" s="1"/>
  <c r="A90" i="2" s="1"/>
  <c r="A97" i="2" s="1"/>
  <c r="A104" i="2" s="1"/>
  <c r="A111" i="2" s="1"/>
  <c r="A118" i="2" s="1"/>
  <c r="A125" i="2" s="1"/>
  <c r="A132" i="2" l="1"/>
  <c r="A139" i="2" s="1"/>
  <c r="A148" i="2" s="1"/>
  <c r="A15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75"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101"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101"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53"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110" authorId="0" shapeId="0" xr:uid="{00000000-0006-0000-0100-000002000000}">
      <text>
        <r>
          <rPr>
            <b/>
            <sz val="9"/>
            <color indexed="81"/>
            <rFont val="Tahoma"/>
            <family val="2"/>
          </rPr>
          <t>Alisha Camara:</t>
        </r>
        <r>
          <rPr>
            <sz val="9"/>
            <color indexed="81"/>
            <rFont val="Tahoma"/>
            <family val="2"/>
          </rPr>
          <t xml:space="preserve">
Commercial all in one bucket</t>
        </r>
      </text>
    </comment>
    <comment ref="M122" authorId="0" shapeId="0" xr:uid="{00000000-0006-0000-0100-000003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04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xr:uid="{00000000-0006-0000-0100-000006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08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09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0E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0F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10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11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12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13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14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15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16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17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18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19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75" authorId="0" shapeId="0" xr:uid="{00000000-0006-0000-0200-000001000000}">
      <text>
        <r>
          <rPr>
            <b/>
            <sz val="9"/>
            <color indexed="81"/>
            <rFont val="Tahoma"/>
            <family val="2"/>
          </rPr>
          <t>Alisha Camara:</t>
        </r>
        <r>
          <rPr>
            <sz val="9"/>
            <color indexed="81"/>
            <rFont val="Tahoma"/>
            <family val="2"/>
          </rPr>
          <t xml:space="preserve">
Decrease due to the Auto AMP enrollment</t>
        </r>
      </text>
    </comment>
    <comment ref="B153" authorId="0" shapeId="0" xr:uid="{00000000-0006-0000-0200-000002000000}">
      <text>
        <r>
          <rPr>
            <b/>
            <sz val="9"/>
            <color indexed="81"/>
            <rFont val="Tahoma"/>
            <family val="2"/>
          </rPr>
          <t>Alisha Camara:</t>
        </r>
        <r>
          <rPr>
            <sz val="9"/>
            <color indexed="81"/>
            <rFont val="Tahoma"/>
            <family val="2"/>
          </rPr>
          <t xml:space="preserve">
Commercial all in one bucket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300-000001000000}">
      <text>
        <r>
          <rPr>
            <b/>
            <sz val="9"/>
            <color indexed="81"/>
            <rFont val="Tahoma"/>
            <family val="2"/>
          </rPr>
          <t>Alisha Camara:</t>
        </r>
        <r>
          <rPr>
            <sz val="9"/>
            <color indexed="81"/>
            <rFont val="Tahoma"/>
            <family val="2"/>
          </rPr>
          <t xml:space="preserve">
From April 1</t>
        </r>
      </text>
    </comment>
    <comment ref="B110" authorId="0" shapeId="0" xr:uid="{00000000-0006-0000-0300-000002000000}">
      <text>
        <r>
          <rPr>
            <b/>
            <sz val="9"/>
            <color indexed="81"/>
            <rFont val="Tahoma"/>
            <family val="2"/>
          </rPr>
          <t>Alisha Camara:</t>
        </r>
        <r>
          <rPr>
            <sz val="9"/>
            <color indexed="81"/>
            <rFont val="Tahoma"/>
            <family val="2"/>
          </rPr>
          <t xml:space="preserve">
Commercial all in one bucket</t>
        </r>
      </text>
    </comment>
    <comment ref="M122" authorId="0" shapeId="0" xr:uid="{00000000-0006-0000-0300-000003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300-000004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3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xr:uid="{00000000-0006-0000-0300-000006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3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300-000008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300-000009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3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3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3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3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3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3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300-000010000000}">
      <text>
        <r>
          <rPr>
            <b/>
            <sz val="9"/>
            <color indexed="81"/>
            <rFont val="Tahoma"/>
            <family val="2"/>
          </rPr>
          <t>Alisha Camara:</t>
        </r>
        <r>
          <rPr>
            <sz val="9"/>
            <color indexed="81"/>
            <rFont val="Tahoma"/>
            <family val="2"/>
          </rPr>
          <t xml:space="preserve">
As of 10/20</t>
        </r>
      </text>
    </comment>
  </commentList>
</comments>
</file>

<file path=xl/sharedStrings.xml><?xml version="1.0" encoding="utf-8"?>
<sst xmlns="http://schemas.openxmlformats.org/spreadsheetml/2006/main" count="714" uniqueCount="70">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</sst>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42">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style="dotted">
        <color auto="1"/>
      </left>
      <right style="dotted">
        <color indexed="64"/>
      </right>
      <top/>
      <bottom style="medium">
        <color indexed="64"/>
      </bottom>
      <diagonal/>
    </border>
    <border>
      <left/>
      <right style="dotted">
        <color auto="1"/>
      </right>
      <top/>
      <bottom style="medium">
        <color indexed="64"/>
      </bottom>
      <diagonal/>
    </border>
    <border>
      <left style="dotted">
        <color indexed="64"/>
      </left>
      <right/>
      <top style="medium">
        <color indexed="64"/>
      </top>
      <bottom/>
      <diagonal/>
    </border>
    <border>
      <left style="dotted">
        <color indexed="64"/>
      </left>
      <right style="thick">
        <color indexed="64"/>
      </right>
      <top style="medium">
        <color indexed="64"/>
      </top>
      <bottom style="medium">
        <color indexed="64"/>
      </bottom>
      <diagonal/>
    </border>
    <border>
      <left style="thick">
        <color indexed="64"/>
      </left>
      <right/>
      <top/>
      <bottom style="medium">
        <color indexed="64"/>
      </bottom>
      <diagonal/>
    </border>
  </borders>
  <cellStyleXfs count="2">
    <xf numFmtId="0" fontId="0" fillId="0" borderId="0"/>
    <xf numFmtId="44" fontId="11" fillId="0" borderId="0" applyFont="0" applyFill="0" applyBorder="0" applyAlignment="0" applyProtection="0"/>
  </cellStyleXfs>
  <cellXfs count="543">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0" fontId="5" fillId="0" borderId="5" xfId="0" applyFont="1" applyBorder="1" applyAlignment="1" applyProtection="1">
      <alignment horizontal="centerContinuous"/>
    </xf>
    <xf numFmtId="0" fontId="0" fillId="0" borderId="0" xfId="0" applyFont="1" applyAlignment="1">
      <alignment horizontal="left" vertical="center" wrapText="1"/>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4" fillId="0" borderId="42" xfId="0" applyNumberFormat="1" applyFont="1" applyFill="1" applyBorder="1" applyAlignment="1">
      <alignment horizontal="center"/>
    </xf>
    <xf numFmtId="167" fontId="12" fillId="0" borderId="42" xfId="0" applyNumberFormat="1" applyFont="1" applyFill="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0" fillId="0" borderId="0" xfId="0" applyNumberFormat="1" applyFont="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67" fontId="0" fillId="0" borderId="0" xfId="0" applyNumberFormat="1" applyFont="1"/>
    <xf numFmtId="38" fontId="3" fillId="0" borderId="0" xfId="0" applyNumberFormat="1" applyFont="1" applyBorder="1" applyAlignment="1" applyProtection="1">
      <alignment horizontal="left"/>
      <protection locked="0"/>
    </xf>
    <xf numFmtId="38" fontId="4" fillId="0" borderId="0" xfId="0" applyNumberFormat="1" applyFont="1" applyBorder="1" applyAlignment="1"/>
    <xf numFmtId="38" fontId="5" fillId="0" borderId="9" xfId="0" applyNumberFormat="1" applyFont="1" applyBorder="1" applyAlignment="1" applyProtection="1">
      <alignment horizontal="centerContinuous"/>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167" fontId="0" fillId="0" borderId="35" xfId="0" applyNumberFormat="1" applyFont="1" applyBorder="1" applyAlignment="1">
      <alignment horizontal="center"/>
    </xf>
    <xf numFmtId="167" fontId="0" fillId="0" borderId="36" xfId="0" applyNumberFormat="1" applyFont="1" applyBorder="1" applyAlignment="1">
      <alignment horizontal="center"/>
    </xf>
    <xf numFmtId="167" fontId="0" fillId="0" borderId="18" xfId="0" applyNumberFormat="1" applyFont="1" applyBorder="1" applyAlignment="1">
      <alignment horizontal="center"/>
    </xf>
    <xf numFmtId="167" fontId="0" fillId="0" borderId="29" xfId="0" applyNumberFormat="1" applyFont="1" applyBorder="1" applyAlignment="1">
      <alignment horizontal="center"/>
    </xf>
    <xf numFmtId="167" fontId="0" fillId="0" borderId="37" xfId="0" applyNumberFormat="1" applyFont="1" applyBorder="1" applyAlignment="1">
      <alignment horizontal="center"/>
    </xf>
    <xf numFmtId="38" fontId="0" fillId="0" borderId="37" xfId="0" applyNumberFormat="1" applyFont="1" applyBorder="1" applyAlignment="1">
      <alignment horizontal="center"/>
    </xf>
    <xf numFmtId="38" fontId="0" fillId="0" borderId="75" xfId="0" applyNumberFormat="1" applyFont="1" applyBorder="1" applyAlignment="1">
      <alignment horizontal="center"/>
    </xf>
    <xf numFmtId="38" fontId="0" fillId="0" borderId="0" xfId="0" applyNumberFormat="1" applyFont="1"/>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40" fontId="4" fillId="0" borderId="36" xfId="0" applyNumberFormat="1" applyFont="1" applyBorder="1" applyAlignment="1">
      <alignment horizontal="center"/>
    </xf>
    <xf numFmtId="40" fontId="4" fillId="0" borderId="12" xfId="0" applyNumberFormat="1" applyFont="1" applyBorder="1" applyAlignment="1">
      <alignment horizontal="center"/>
    </xf>
    <xf numFmtId="40" fontId="4" fillId="0" borderId="16" xfId="0" applyNumberFormat="1" applyFont="1" applyBorder="1" applyAlignment="1">
      <alignment horizontal="center"/>
    </xf>
    <xf numFmtId="40" fontId="4" fillId="0" borderId="26" xfId="0" applyNumberFormat="1" applyFont="1" applyBorder="1" applyAlignment="1">
      <alignment horizontal="center"/>
    </xf>
    <xf numFmtId="40" fontId="4" fillId="0" borderId="45" xfId="0" applyNumberFormat="1" applyFont="1" applyBorder="1" applyAlignment="1">
      <alignment horizontal="center"/>
    </xf>
    <xf numFmtId="40" fontId="4" fillId="0" borderId="26" xfId="1" applyNumberFormat="1" applyFont="1" applyBorder="1" applyAlignment="1">
      <alignment horizontal="center"/>
    </xf>
    <xf numFmtId="40" fontId="4" fillId="0" borderId="45" xfId="1" applyNumberFormat="1" applyFont="1" applyBorder="1" applyAlignment="1">
      <alignment horizontal="center"/>
    </xf>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3" fontId="4" fillId="0" borderId="12" xfId="0" applyNumberFormat="1" applyFont="1" applyBorder="1" applyAlignment="1">
      <alignment horizontal="center"/>
    </xf>
    <xf numFmtId="3" fontId="4" fillId="0" borderId="64" xfId="0" applyNumberFormat="1"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3" fontId="0" fillId="0" borderId="64" xfId="0" applyNumberFormat="1" applyFont="1" applyBorder="1" applyAlignment="1">
      <alignment horizontal="center"/>
    </xf>
    <xf numFmtId="3" fontId="0" fillId="0" borderId="74" xfId="0" applyNumberFormat="1" applyFont="1" applyBorder="1" applyAlignment="1">
      <alignment horizontal="center"/>
    </xf>
    <xf numFmtId="3" fontId="0" fillId="0" borderId="70"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42" xfId="0" applyNumberFormat="1" applyFont="1" applyFill="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4" fillId="0" borderId="60" xfId="0" applyNumberFormat="1" applyFont="1" applyBorder="1" applyAlignment="1">
      <alignment horizontal="center"/>
    </xf>
    <xf numFmtId="167" fontId="12" fillId="0" borderId="0" xfId="0" applyNumberFormat="1" applyFont="1" applyAlignment="1">
      <alignment horizontal="center"/>
    </xf>
    <xf numFmtId="167" fontId="12" fillId="0" borderId="58" xfId="0" applyNumberFormat="1" applyFont="1" applyBorder="1" applyAlignment="1">
      <alignment horizontal="center"/>
    </xf>
    <xf numFmtId="167" fontId="12" fillId="0" borderId="81" xfId="0" applyNumberFormat="1" applyFont="1" applyBorder="1" applyAlignment="1">
      <alignment horizontal="center"/>
    </xf>
    <xf numFmtId="0" fontId="0" fillId="0" borderId="81" xfId="0" applyFont="1" applyBorder="1" applyAlignment="1">
      <alignment horizontal="center"/>
    </xf>
    <xf numFmtId="167" fontId="12" fillId="0" borderId="19" xfId="0" applyNumberFormat="1" applyFont="1" applyBorder="1" applyAlignment="1">
      <alignment horizontal="center"/>
    </xf>
    <xf numFmtId="167" fontId="4" fillId="0" borderId="47" xfId="0" applyNumberFormat="1" applyFont="1" applyBorder="1" applyAlignment="1">
      <alignment horizontal="center"/>
    </xf>
    <xf numFmtId="38" fontId="4" fillId="0" borderId="134" xfId="0" applyNumberFormat="1" applyFont="1" applyBorder="1" applyAlignment="1">
      <alignment horizontal="center"/>
    </xf>
    <xf numFmtId="0" fontId="4" fillId="0" borderId="134"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7" fontId="4" fillId="0" borderId="85"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38" fontId="0" fillId="0" borderId="58" xfId="0" applyNumberFormat="1" applyFont="1" applyBorder="1" applyAlignment="1">
      <alignment horizontal="center"/>
    </xf>
    <xf numFmtId="0" fontId="0" fillId="0" borderId="58" xfId="0" applyFont="1" applyBorder="1" applyAlignment="1">
      <alignment horizontal="center"/>
    </xf>
    <xf numFmtId="6" fontId="4" fillId="0" borderId="36" xfId="0" applyNumberFormat="1" applyFont="1" applyBorder="1" applyAlignment="1">
      <alignment horizontal="center"/>
    </xf>
    <xf numFmtId="167" fontId="4" fillId="0" borderId="74" xfId="0" applyNumberFormat="1" applyFont="1" applyBorder="1" applyAlignment="1">
      <alignment horizontal="center"/>
    </xf>
    <xf numFmtId="3" fontId="4" fillId="0" borderId="17" xfId="0" applyNumberFormat="1" applyFont="1" applyBorder="1" applyAlignment="1">
      <alignment horizontal="center"/>
    </xf>
    <xf numFmtId="0" fontId="0" fillId="0" borderId="41" xfId="0" applyFont="1" applyBorder="1"/>
    <xf numFmtId="38" fontId="0" fillId="0" borderId="85" xfId="0" applyNumberFormat="1" applyFont="1" applyBorder="1" applyAlignment="1">
      <alignment horizontal="center"/>
    </xf>
    <xf numFmtId="3" fontId="0" fillId="0" borderId="84" xfId="0" applyNumberFormat="1" applyFont="1" applyBorder="1" applyAlignment="1">
      <alignment horizontal="center"/>
    </xf>
    <xf numFmtId="0" fontId="4" fillId="0" borderId="42" xfId="0" applyFont="1" applyBorder="1" applyAlignment="1">
      <alignment horizontal="left" vertical="center"/>
    </xf>
    <xf numFmtId="0" fontId="4" fillId="0" borderId="42" xfId="0" applyFont="1" applyBorder="1" applyAlignment="1">
      <alignment horizontal="left"/>
    </xf>
    <xf numFmtId="0" fontId="4" fillId="0" borderId="88" xfId="0" applyFont="1" applyBorder="1" applyAlignment="1">
      <alignment horizontal="left"/>
    </xf>
    <xf numFmtId="0" fontId="4" fillId="0" borderId="88" xfId="0" applyFont="1" applyBorder="1"/>
    <xf numFmtId="0" fontId="4" fillId="0" borderId="42" xfId="0" applyFont="1" applyBorder="1"/>
    <xf numFmtId="0" fontId="5" fillId="0" borderId="135" xfId="0" applyFont="1" applyBorder="1" applyAlignment="1" applyProtection="1">
      <alignment horizontal="centerContinuous"/>
    </xf>
    <xf numFmtId="0" fontId="5" fillId="0" borderId="136" xfId="0" applyFont="1" applyBorder="1" applyAlignment="1" applyProtection="1">
      <alignment horizontal="centerContinuous"/>
    </xf>
    <xf numFmtId="0" fontId="7" fillId="0" borderId="137" xfId="0" applyFont="1" applyBorder="1" applyAlignment="1" applyProtection="1">
      <alignment horizontal="center" vertical="center"/>
      <protection locked="0"/>
    </xf>
    <xf numFmtId="0" fontId="7" fillId="0" borderId="138" xfId="0" applyFont="1" applyBorder="1" applyAlignment="1" applyProtection="1">
      <alignment horizontal="center" vertical="center"/>
      <protection locked="0"/>
    </xf>
    <xf numFmtId="0" fontId="0" fillId="0" borderId="88" xfId="0" applyFont="1" applyBorder="1"/>
    <xf numFmtId="0" fontId="0" fillId="0" borderId="0" xfId="0" applyFont="1" applyBorder="1"/>
    <xf numFmtId="0" fontId="0" fillId="0" borderId="0" xfId="0" applyFont="1" applyBorder="1" applyAlignment="1">
      <alignment wrapText="1"/>
    </xf>
    <xf numFmtId="0" fontId="0" fillId="0" borderId="42" xfId="0" applyFont="1" applyBorder="1"/>
    <xf numFmtId="0" fontId="7" fillId="0" borderId="21" xfId="0" applyFont="1" applyBorder="1" applyAlignment="1" applyProtection="1">
      <alignment horizontal="center" vertical="center"/>
      <protection locked="0"/>
    </xf>
    <xf numFmtId="38" fontId="0" fillId="0" borderId="134" xfId="0" applyNumberFormat="1" applyFont="1" applyBorder="1" applyAlignment="1">
      <alignment horizontal="center"/>
    </xf>
    <xf numFmtId="3" fontId="4" fillId="0" borderId="85" xfId="0" applyNumberFormat="1" applyFont="1" applyBorder="1" applyAlignment="1">
      <alignment horizontal="center"/>
    </xf>
    <xf numFmtId="0" fontId="0" fillId="0" borderId="85" xfId="0" applyFont="1" applyBorder="1" applyAlignment="1">
      <alignment horizontal="center"/>
    </xf>
    <xf numFmtId="0" fontId="0" fillId="0" borderId="139" xfId="0" applyFont="1" applyBorder="1" applyAlignment="1">
      <alignment horizontal="center"/>
    </xf>
    <xf numFmtId="165" fontId="0" fillId="0" borderId="81" xfId="0" applyNumberFormat="1" applyFont="1" applyBorder="1" applyAlignment="1">
      <alignment horizontal="center"/>
    </xf>
    <xf numFmtId="3" fontId="0" fillId="0" borderId="105" xfId="0" applyNumberFormat="1" applyFont="1" applyBorder="1" applyAlignment="1">
      <alignment horizontal="center"/>
    </xf>
    <xf numFmtId="38" fontId="0" fillId="0" borderId="39" xfId="0" applyNumberFormat="1" applyFont="1" applyBorder="1" applyAlignment="1">
      <alignment horizontal="center"/>
    </xf>
    <xf numFmtId="0" fontId="7" fillId="0" borderId="140" xfId="0" applyFont="1" applyBorder="1" applyAlignment="1" applyProtection="1">
      <alignment horizontal="center" vertical="center"/>
      <protection locked="0"/>
    </xf>
    <xf numFmtId="0" fontId="0" fillId="0" borderId="115" xfId="0" applyFont="1" applyBorder="1" applyAlignment="1">
      <alignment horizontal="left"/>
    </xf>
    <xf numFmtId="0" fontId="13" fillId="0" borderId="5" xfId="0" applyNumberFormat="1" applyFont="1" applyBorder="1" applyAlignment="1">
      <alignment horizontal="center" vertical="center"/>
    </xf>
    <xf numFmtId="0" fontId="0" fillId="0" borderId="141" xfId="0" applyFont="1" applyBorder="1" applyAlignment="1">
      <alignment horizontal="center"/>
    </xf>
    <xf numFmtId="6" fontId="4" fillId="0" borderId="41" xfId="0" applyNumberFormat="1" applyFont="1" applyBorder="1" applyAlignment="1">
      <alignment horizontal="center" wrapText="1"/>
    </xf>
    <xf numFmtId="6" fontId="0" fillId="0" borderId="36" xfId="0" applyNumberFormat="1" applyFont="1" applyBorder="1" applyAlignment="1">
      <alignment horizontal="center"/>
    </xf>
    <xf numFmtId="6" fontId="0" fillId="0" borderId="84" xfId="0" applyNumberFormat="1" applyFont="1" applyBorder="1" applyAlignment="1">
      <alignment horizontal="center"/>
    </xf>
    <xf numFmtId="167" fontId="0" fillId="0" borderId="141" xfId="0" applyNumberFormat="1" applyFont="1" applyBorder="1" applyAlignment="1">
      <alignment horizontal="center"/>
    </xf>
    <xf numFmtId="0" fontId="0" fillId="0" borderId="0" xfId="0" applyFont="1" applyFill="1" applyBorder="1" applyAlignment="1">
      <alignment horizontal="center"/>
    </xf>
    <xf numFmtId="0" fontId="7" fillId="0" borderId="0" xfId="0" applyFont="1" applyFill="1" applyBorder="1" applyAlignment="1" applyProtection="1">
      <alignment horizontal="center" vertical="center"/>
      <protection locked="0"/>
    </xf>
    <xf numFmtId="16" fontId="0" fillId="0" borderId="0" xfId="0" applyNumberFormat="1" applyFont="1" applyAlignment="1">
      <alignment horizontal="center"/>
    </xf>
    <xf numFmtId="8" fontId="0" fillId="0" borderId="0" xfId="0" applyNumberFormat="1" applyFont="1" applyAlignment="1">
      <alignment horizontal="center"/>
    </xf>
    <xf numFmtId="6" fontId="0" fillId="0" borderId="0" xfId="0" applyNumberFormat="1" applyFont="1" applyAlignment="1">
      <alignment horizontal="center"/>
    </xf>
    <xf numFmtId="167" fontId="0" fillId="3" borderId="0" xfId="0" applyNumberFormat="1" applyFont="1" applyFill="1" applyAlignment="1">
      <alignment horizontal="center"/>
    </xf>
    <xf numFmtId="3" fontId="0" fillId="0" borderId="19" xfId="1" applyNumberFormat="1" applyFont="1" applyBorder="1" applyAlignment="1">
      <alignment horizontal="center"/>
    </xf>
    <xf numFmtId="14" fontId="7" fillId="0" borderId="71" xfId="0" applyNumberFormat="1" applyFont="1" applyBorder="1" applyAlignment="1" applyProtection="1">
      <alignment horizontal="center" vertical="center"/>
      <protection locked="0"/>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xf numFmtId="0" fontId="0" fillId="0" borderId="88" xfId="0" applyFont="1" applyBorder="1" applyAlignment="1">
      <alignment horizontal="center" vertical="center" wrapText="1"/>
    </xf>
    <xf numFmtId="0" fontId="0" fillId="0" borderId="0"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75"/>
  <sheetViews>
    <sheetView workbookViewId="0">
      <pane xSplit="2" ySplit="8" topLeftCell="C134" activePane="bottomRight" state="frozen"/>
      <selection pane="topRight" activeCell="C1" sqref="C1"/>
      <selection pane="bottomLeft" activeCell="A9" sqref="A9"/>
      <selection pane="bottomRight" activeCell="O173" sqref="O173"/>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412" customWidth="1"/>
    <col min="25" max="26" width="11.85546875" style="2" bestFit="1" customWidth="1"/>
    <col min="27" max="28" width="10.85546875" style="2" customWidth="1"/>
    <col min="29" max="29" width="10.85546875" style="412" customWidth="1"/>
    <col min="30" max="36" width="9.140625" style="2"/>
    <col min="37" max="39" width="11.5703125" style="2" bestFit="1" customWidth="1"/>
    <col min="40" max="42" width="11.5703125" style="2" customWidth="1"/>
    <col min="43" max="45" width="10.85546875" style="2" bestFit="1" customWidth="1"/>
    <col min="46" max="16384" width="9.140625" style="2"/>
  </cols>
  <sheetData>
    <row r="1" spans="1:42" ht="16.5" thickTop="1" thickBot="1" x14ac:dyDescent="0.3">
      <c r="B1" s="528" t="s">
        <v>19</v>
      </c>
      <c r="C1" s="529"/>
      <c r="D1" s="529"/>
      <c r="E1" s="529"/>
      <c r="F1" s="529"/>
      <c r="G1" s="529"/>
      <c r="H1" s="529"/>
      <c r="I1" s="529"/>
      <c r="J1" s="529"/>
      <c r="K1" s="529"/>
      <c r="L1" s="529"/>
      <c r="M1" s="529"/>
      <c r="N1" s="529"/>
      <c r="O1" s="529"/>
      <c r="P1" s="529"/>
      <c r="Q1" s="529"/>
      <c r="R1" s="529"/>
      <c r="S1" s="529"/>
      <c r="T1" s="529"/>
      <c r="U1" s="529"/>
      <c r="V1" s="529"/>
      <c r="W1" s="529"/>
      <c r="X1" s="530"/>
      <c r="Y1" s="529"/>
      <c r="Z1" s="529"/>
      <c r="AA1" s="529"/>
      <c r="AB1" s="529"/>
      <c r="AC1" s="530"/>
      <c r="AD1" s="529"/>
      <c r="AE1" s="529"/>
      <c r="AF1" s="38"/>
      <c r="AG1" s="38"/>
      <c r="AH1" s="38"/>
      <c r="AI1" s="38"/>
      <c r="AJ1" s="39"/>
      <c r="AK1" s="312"/>
      <c r="AL1" s="312"/>
      <c r="AM1" s="312"/>
      <c r="AN1" s="312"/>
      <c r="AO1" s="312"/>
      <c r="AP1" s="312"/>
    </row>
    <row r="2" spans="1:42" ht="27.6" customHeight="1" thickTop="1" thickBot="1" x14ac:dyDescent="0.3">
      <c r="B2" s="5" t="s">
        <v>0</v>
      </c>
      <c r="C2" s="531" t="s">
        <v>57</v>
      </c>
      <c r="D2" s="532"/>
      <c r="E2" s="532"/>
      <c r="F2" s="532"/>
      <c r="G2" s="532"/>
      <c r="H2" s="532"/>
      <c r="I2" s="532"/>
      <c r="J2" s="6"/>
      <c r="K2" s="7"/>
      <c r="L2" s="7"/>
      <c r="M2" s="531"/>
      <c r="N2" s="532"/>
      <c r="O2" s="532"/>
      <c r="P2" s="532"/>
      <c r="Q2" s="532"/>
      <c r="R2" s="532"/>
      <c r="S2" s="532"/>
      <c r="T2" s="7"/>
      <c r="U2" s="7"/>
      <c r="V2" s="7"/>
      <c r="W2" s="7"/>
      <c r="X2" s="7"/>
      <c r="Y2" s="7"/>
      <c r="Z2" s="7"/>
      <c r="AA2" s="7"/>
      <c r="AB2" s="7"/>
      <c r="AC2" s="7"/>
      <c r="AD2" s="7"/>
      <c r="AE2" s="8"/>
    </row>
    <row r="3" spans="1:42" ht="27.6" customHeight="1" thickTop="1" thickBot="1" x14ac:dyDescent="0.3">
      <c r="B3" s="5" t="s">
        <v>1</v>
      </c>
      <c r="C3" s="531" t="s">
        <v>48</v>
      </c>
      <c r="D3" s="532"/>
      <c r="E3" s="532"/>
      <c r="F3" s="532"/>
      <c r="G3" s="532"/>
      <c r="H3" s="532"/>
      <c r="I3" s="532"/>
      <c r="J3" s="6"/>
      <c r="K3" s="9"/>
      <c r="L3" s="9"/>
      <c r="M3" s="531"/>
      <c r="N3" s="532"/>
      <c r="O3" s="532"/>
      <c r="P3" s="532"/>
      <c r="Q3" s="532"/>
      <c r="R3" s="532"/>
      <c r="S3" s="532"/>
      <c r="T3" s="9"/>
      <c r="U3" s="9"/>
      <c r="V3" s="9"/>
      <c r="W3" s="9"/>
      <c r="X3" s="6"/>
      <c r="Y3" s="9"/>
      <c r="Z3" s="9"/>
      <c r="AA3" s="9"/>
      <c r="AB3" s="9"/>
      <c r="AC3" s="6"/>
      <c r="AD3" s="9"/>
      <c r="AE3" s="10"/>
    </row>
    <row r="4" spans="1:42" ht="27.6" customHeight="1" thickTop="1" thickBot="1" x14ac:dyDescent="0.3">
      <c r="B4" s="5" t="s">
        <v>2</v>
      </c>
      <c r="C4" s="533">
        <v>44259</v>
      </c>
      <c r="D4" s="534"/>
      <c r="E4" s="534"/>
      <c r="F4" s="534"/>
      <c r="G4" s="534"/>
      <c r="H4" s="534"/>
      <c r="I4" s="534"/>
      <c r="J4" s="6"/>
      <c r="K4" s="9"/>
      <c r="L4" s="9"/>
      <c r="M4" s="533"/>
      <c r="N4" s="534"/>
      <c r="O4" s="534"/>
      <c r="P4" s="534"/>
      <c r="Q4" s="534"/>
      <c r="R4" s="534"/>
      <c r="S4" s="534"/>
      <c r="T4" s="9"/>
      <c r="U4" s="9"/>
      <c r="V4" s="9"/>
      <c r="W4" s="9"/>
      <c r="X4" s="6"/>
      <c r="Y4" s="9"/>
      <c r="Z4" s="9"/>
      <c r="AA4" s="9"/>
      <c r="AB4" s="9"/>
      <c r="AC4" s="6"/>
      <c r="AD4" s="9"/>
      <c r="AE4" s="11"/>
    </row>
    <row r="5" spans="1:42"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9"/>
      <c r="AE5" s="11"/>
    </row>
    <row r="6" spans="1:42" ht="15.75" thickBot="1" x14ac:dyDescent="0.3">
      <c r="B6" s="13"/>
      <c r="C6" s="14"/>
      <c r="D6" s="15"/>
      <c r="E6" s="15"/>
      <c r="F6" s="16"/>
      <c r="G6" s="17"/>
      <c r="H6" s="18"/>
      <c r="I6" s="17"/>
      <c r="J6" s="19"/>
      <c r="K6" s="18"/>
      <c r="L6" s="18"/>
      <c r="M6" s="18"/>
      <c r="N6" s="18"/>
      <c r="O6" s="18"/>
      <c r="P6" s="18"/>
      <c r="Q6" s="18"/>
      <c r="R6" s="18"/>
      <c r="S6" s="18"/>
      <c r="T6" s="18"/>
      <c r="U6" s="18"/>
      <c r="V6" s="18"/>
      <c r="W6" s="18"/>
      <c r="X6" s="414"/>
      <c r="Y6" s="18"/>
      <c r="Z6" s="18"/>
      <c r="AA6" s="18"/>
      <c r="AB6" s="18"/>
      <c r="AC6" s="416"/>
      <c r="AD6" s="18"/>
      <c r="AE6" s="20"/>
    </row>
    <row r="7" spans="1:42"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413"/>
      <c r="Y7" s="202">
        <v>2021</v>
      </c>
      <c r="Z7" s="202"/>
      <c r="AA7" s="202"/>
      <c r="AB7" s="202"/>
      <c r="AC7" s="413"/>
      <c r="AD7" s="25" t="s">
        <v>15</v>
      </c>
      <c r="AE7" s="23"/>
      <c r="AF7" s="23"/>
      <c r="AG7" s="23"/>
      <c r="AH7" s="23"/>
      <c r="AI7" s="23"/>
      <c r="AJ7" s="24"/>
      <c r="AK7" s="446"/>
      <c r="AL7" s="447"/>
      <c r="AM7" s="447"/>
      <c r="AN7" s="535" t="s">
        <v>67</v>
      </c>
      <c r="AO7" s="536"/>
      <c r="AP7" s="537"/>
    </row>
    <row r="8" spans="1:42"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403" t="s">
        <v>6</v>
      </c>
      <c r="Y8" s="318" t="s">
        <v>7</v>
      </c>
      <c r="Z8" s="318" t="s">
        <v>8</v>
      </c>
      <c r="AA8" s="318" t="s">
        <v>9</v>
      </c>
      <c r="AB8" s="318" t="s">
        <v>10</v>
      </c>
      <c r="AC8" s="403" t="s">
        <v>16</v>
      </c>
      <c r="AD8" s="30" t="s">
        <v>9</v>
      </c>
      <c r="AE8" s="29" t="s">
        <v>10</v>
      </c>
      <c r="AF8" s="29" t="s">
        <v>16</v>
      </c>
      <c r="AG8" s="29" t="s">
        <v>11</v>
      </c>
      <c r="AH8" s="29" t="s">
        <v>12</v>
      </c>
      <c r="AI8" s="29" t="s">
        <v>3</v>
      </c>
      <c r="AJ8" s="32" t="s">
        <v>13</v>
      </c>
      <c r="AK8" s="451" t="s">
        <v>4</v>
      </c>
      <c r="AL8" s="452" t="s">
        <v>5</v>
      </c>
      <c r="AM8" s="452" t="s">
        <v>6</v>
      </c>
      <c r="AN8" s="453" t="s">
        <v>7</v>
      </c>
      <c r="AO8" s="454" t="s">
        <v>8</v>
      </c>
      <c r="AP8" s="455" t="s">
        <v>9</v>
      </c>
    </row>
    <row r="9" spans="1:42" x14ac:dyDescent="0.25">
      <c r="A9" s="4">
        <v>1</v>
      </c>
      <c r="B9" s="40" t="s">
        <v>14</v>
      </c>
      <c r="C9" s="48"/>
      <c r="D9" s="49"/>
      <c r="E9" s="49"/>
      <c r="F9" s="49"/>
      <c r="G9" s="49"/>
      <c r="H9" s="49"/>
      <c r="I9" s="49"/>
      <c r="J9" s="49"/>
      <c r="K9" s="49"/>
      <c r="L9" s="50"/>
      <c r="M9" s="51"/>
      <c r="N9" s="49"/>
      <c r="O9" s="51"/>
      <c r="P9" s="49"/>
      <c r="Q9" s="49"/>
      <c r="R9" s="49"/>
      <c r="S9" s="49"/>
      <c r="T9" s="49"/>
      <c r="U9" s="50"/>
      <c r="V9" s="319"/>
      <c r="W9" s="319"/>
      <c r="X9" s="404"/>
      <c r="Y9" s="319"/>
      <c r="Z9" s="319"/>
      <c r="AA9" s="319"/>
      <c r="AB9" s="319"/>
      <c r="AC9" s="404"/>
      <c r="AD9" s="51"/>
      <c r="AE9" s="52"/>
      <c r="AF9" s="53"/>
      <c r="AG9" s="53"/>
      <c r="AH9" s="53"/>
      <c r="AI9" s="53"/>
      <c r="AJ9" s="54"/>
      <c r="AK9" s="230"/>
      <c r="AL9" s="230"/>
      <c r="AM9" s="424"/>
      <c r="AN9" s="448"/>
      <c r="AO9" s="449"/>
      <c r="AP9" s="450"/>
    </row>
    <row r="10" spans="1:42" x14ac:dyDescent="0.25">
      <c r="A10" s="4"/>
      <c r="B10" s="35" t="s">
        <v>60</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f>
        <v>43166</v>
      </c>
      <c r="X10" s="57">
        <f>2430+40780</f>
        <v>43210</v>
      </c>
      <c r="Y10" s="338">
        <f>2414+40792</f>
        <v>43206</v>
      </c>
      <c r="Z10" s="338">
        <f>2401+40712</f>
        <v>43113</v>
      </c>
      <c r="AA10" s="338"/>
      <c r="AB10" s="338"/>
      <c r="AC10" s="130"/>
      <c r="AD10" s="58">
        <f>C10-O10</f>
        <v>-317</v>
      </c>
      <c r="AE10" s="58">
        <f t="shared" ref="AD10:AN16" si="0">D10-P10</f>
        <v>-896</v>
      </c>
      <c r="AF10" s="58">
        <f t="shared" si="0"/>
        <v>-1132</v>
      </c>
      <c r="AG10" s="58">
        <f t="shared" si="0"/>
        <v>-1470</v>
      </c>
      <c r="AH10" s="58">
        <f t="shared" si="0"/>
        <v>-1252</v>
      </c>
      <c r="AI10" s="58">
        <f t="shared" si="0"/>
        <v>-1395</v>
      </c>
      <c r="AJ10" s="70">
        <f t="shared" si="0"/>
        <v>-1281</v>
      </c>
      <c r="AK10" s="70">
        <f t="shared" si="0"/>
        <v>-1152</v>
      </c>
      <c r="AL10" s="70">
        <f t="shared" si="0"/>
        <v>-899</v>
      </c>
      <c r="AM10" s="242">
        <f t="shared" si="0"/>
        <v>-691</v>
      </c>
      <c r="AN10" s="242">
        <f>M10-Y10</f>
        <v>-785</v>
      </c>
      <c r="AO10" s="69"/>
      <c r="AP10" s="171"/>
    </row>
    <row r="11" spans="1:42" x14ac:dyDescent="0.25">
      <c r="A11" s="4"/>
      <c r="B11" s="35" t="s">
        <v>61</v>
      </c>
      <c r="C11" s="55"/>
      <c r="D11" s="56"/>
      <c r="E11" s="56"/>
      <c r="F11" s="56"/>
      <c r="G11" s="56"/>
      <c r="H11" s="56"/>
      <c r="I11" s="56"/>
      <c r="J11" s="56"/>
      <c r="K11" s="56"/>
      <c r="L11" s="57"/>
      <c r="M11" s="58"/>
      <c r="N11" s="56"/>
      <c r="O11" s="58"/>
      <c r="P11" s="56"/>
      <c r="Q11" s="56"/>
      <c r="R11" s="56"/>
      <c r="S11" s="56"/>
      <c r="T11" s="56"/>
      <c r="U11" s="57"/>
      <c r="V11" s="57"/>
      <c r="W11" s="57">
        <f>56+182</f>
        <v>238</v>
      </c>
      <c r="X11" s="57">
        <f>56+182</f>
        <v>238</v>
      </c>
      <c r="Y11" s="338">
        <f>56+182</f>
        <v>238</v>
      </c>
      <c r="Z11" s="338">
        <f>56+182</f>
        <v>238</v>
      </c>
      <c r="AA11" s="338"/>
      <c r="AB11" s="338"/>
      <c r="AC11" s="130"/>
      <c r="AD11" s="58">
        <f t="shared" si="0"/>
        <v>0</v>
      </c>
      <c r="AE11" s="58">
        <f t="shared" si="0"/>
        <v>0</v>
      </c>
      <c r="AF11" s="58">
        <f t="shared" si="0"/>
        <v>0</v>
      </c>
      <c r="AG11" s="58">
        <f t="shared" si="0"/>
        <v>0</v>
      </c>
      <c r="AH11" s="58">
        <f t="shared" si="0"/>
        <v>0</v>
      </c>
      <c r="AI11" s="58">
        <f t="shared" si="0"/>
        <v>0</v>
      </c>
      <c r="AJ11" s="70">
        <f t="shared" si="0"/>
        <v>0</v>
      </c>
      <c r="AK11" s="70">
        <f t="shared" si="0"/>
        <v>0</v>
      </c>
      <c r="AL11" s="70">
        <f t="shared" si="0"/>
        <v>-238</v>
      </c>
      <c r="AM11" s="242">
        <f t="shared" si="0"/>
        <v>-238</v>
      </c>
      <c r="AN11" s="242">
        <f t="shared" si="0"/>
        <v>-238</v>
      </c>
      <c r="AO11" s="69"/>
      <c r="AP11" s="171"/>
    </row>
    <row r="12" spans="1:42" x14ac:dyDescent="0.25">
      <c r="A12" s="4"/>
      <c r="B12" s="35" t="s">
        <v>62</v>
      </c>
      <c r="C12" s="55">
        <v>10386</v>
      </c>
      <c r="D12" s="56">
        <v>10646</v>
      </c>
      <c r="E12" s="56">
        <v>10604</v>
      </c>
      <c r="F12" s="56">
        <v>9763</v>
      </c>
      <c r="G12" s="56">
        <v>9843</v>
      </c>
      <c r="H12" s="56">
        <v>9767</v>
      </c>
      <c r="I12" s="56">
        <v>9634</v>
      </c>
      <c r="J12" s="56">
        <v>9788</v>
      </c>
      <c r="K12" s="56">
        <v>10029</v>
      </c>
      <c r="L12" s="57">
        <v>10105</v>
      </c>
      <c r="M12" s="58">
        <v>10253</v>
      </c>
      <c r="N12" s="56">
        <v>10308</v>
      </c>
      <c r="O12" s="58">
        <v>10359</v>
      </c>
      <c r="P12" s="56">
        <f>326+10246</f>
        <v>10572</v>
      </c>
      <c r="Q12" s="56">
        <f>326+10188</f>
        <v>10514</v>
      </c>
      <c r="R12" s="56">
        <f>295+9063</f>
        <v>9358</v>
      </c>
      <c r="S12" s="56">
        <f>314+9545</f>
        <v>9859</v>
      </c>
      <c r="T12" s="56">
        <f>322+9544</f>
        <v>9866</v>
      </c>
      <c r="U12" s="57">
        <f>326+9593</f>
        <v>9919</v>
      </c>
      <c r="V12" s="57">
        <f>342+9794</f>
        <v>10136</v>
      </c>
      <c r="W12" s="57">
        <f>317+9657</f>
        <v>9974</v>
      </c>
      <c r="X12" s="57">
        <f>317+9732</f>
        <v>10049</v>
      </c>
      <c r="Y12" s="338">
        <f>323+9775</f>
        <v>10098</v>
      </c>
      <c r="Z12" s="338">
        <f>337+9936</f>
        <v>10273</v>
      </c>
      <c r="AA12" s="338"/>
      <c r="AB12" s="338"/>
      <c r="AC12" s="130"/>
      <c r="AD12" s="58">
        <f t="shared" si="0"/>
        <v>27</v>
      </c>
      <c r="AE12" s="58">
        <f t="shared" si="0"/>
        <v>74</v>
      </c>
      <c r="AF12" s="58">
        <f t="shared" si="0"/>
        <v>90</v>
      </c>
      <c r="AG12" s="58">
        <f t="shared" si="0"/>
        <v>405</v>
      </c>
      <c r="AH12" s="58">
        <f t="shared" si="0"/>
        <v>-16</v>
      </c>
      <c r="AI12" s="58">
        <f t="shared" si="0"/>
        <v>-99</v>
      </c>
      <c r="AJ12" s="70">
        <f t="shared" si="0"/>
        <v>-285</v>
      </c>
      <c r="AK12" s="70">
        <f t="shared" si="0"/>
        <v>-348</v>
      </c>
      <c r="AL12" s="70">
        <f t="shared" si="0"/>
        <v>55</v>
      </c>
      <c r="AM12" s="242">
        <f t="shared" si="0"/>
        <v>56</v>
      </c>
      <c r="AN12" s="242">
        <f t="shared" si="0"/>
        <v>155</v>
      </c>
      <c r="AO12" s="69"/>
      <c r="AP12" s="171"/>
    </row>
    <row r="13" spans="1:42" x14ac:dyDescent="0.25">
      <c r="A13" s="4"/>
      <c r="B13" s="35" t="s">
        <v>63</v>
      </c>
      <c r="C13" s="55"/>
      <c r="D13" s="56"/>
      <c r="E13" s="56"/>
      <c r="F13" s="56"/>
      <c r="G13" s="56"/>
      <c r="H13" s="56"/>
      <c r="I13" s="56"/>
      <c r="J13" s="56"/>
      <c r="K13" s="56"/>
      <c r="L13" s="57"/>
      <c r="M13" s="58"/>
      <c r="N13" s="56"/>
      <c r="O13" s="58"/>
      <c r="P13" s="56"/>
      <c r="Q13" s="56"/>
      <c r="R13" s="56"/>
      <c r="S13" s="56"/>
      <c r="T13" s="56"/>
      <c r="U13" s="57"/>
      <c r="V13" s="57"/>
      <c r="W13" s="57">
        <v>0</v>
      </c>
      <c r="X13" s="57">
        <v>0</v>
      </c>
      <c r="Y13" s="338">
        <v>0</v>
      </c>
      <c r="Z13" s="338">
        <v>0</v>
      </c>
      <c r="AA13" s="338"/>
      <c r="AB13" s="338"/>
      <c r="AC13" s="130"/>
      <c r="AD13" s="58">
        <f t="shared" si="0"/>
        <v>0</v>
      </c>
      <c r="AE13" s="58">
        <f t="shared" si="0"/>
        <v>0</v>
      </c>
      <c r="AF13" s="58">
        <f t="shared" si="0"/>
        <v>0</v>
      </c>
      <c r="AG13" s="58">
        <f t="shared" si="0"/>
        <v>0</v>
      </c>
      <c r="AH13" s="58">
        <f t="shared" si="0"/>
        <v>0</v>
      </c>
      <c r="AI13" s="58">
        <f t="shared" si="0"/>
        <v>0</v>
      </c>
      <c r="AJ13" s="70">
        <f t="shared" si="0"/>
        <v>0</v>
      </c>
      <c r="AK13" s="70">
        <f t="shared" si="0"/>
        <v>0</v>
      </c>
      <c r="AL13" s="70">
        <f t="shared" si="0"/>
        <v>0</v>
      </c>
      <c r="AM13" s="242">
        <f t="shared" si="0"/>
        <v>0</v>
      </c>
      <c r="AN13" s="242">
        <f t="shared" si="0"/>
        <v>0</v>
      </c>
      <c r="AO13" s="69"/>
      <c r="AP13" s="171"/>
    </row>
    <row r="14" spans="1:42" x14ac:dyDescent="0.25">
      <c r="A14" s="4"/>
      <c r="B14" s="35" t="s">
        <v>38</v>
      </c>
      <c r="C14" s="55">
        <v>3745</v>
      </c>
      <c r="D14" s="56">
        <v>3717</v>
      </c>
      <c r="E14" s="56">
        <v>3695</v>
      </c>
      <c r="F14" s="56">
        <v>3673</v>
      </c>
      <c r="G14" s="56">
        <v>3659</v>
      </c>
      <c r="H14" s="56">
        <v>3643</v>
      </c>
      <c r="I14" s="56">
        <v>3642</v>
      </c>
      <c r="J14" s="56">
        <v>3670</v>
      </c>
      <c r="K14" s="56">
        <v>3735</v>
      </c>
      <c r="L14" s="57">
        <v>3788</v>
      </c>
      <c r="M14" s="58">
        <v>3792</v>
      </c>
      <c r="N14" s="56">
        <v>3789</v>
      </c>
      <c r="O14" s="58">
        <v>3780</v>
      </c>
      <c r="P14" s="56">
        <f>3018+569+171+39</f>
        <v>3797</v>
      </c>
      <c r="Q14" s="56">
        <f>3013+569+171+39</f>
        <v>3792</v>
      </c>
      <c r="R14" s="56">
        <f>3001+570+175+38</f>
        <v>3784</v>
      </c>
      <c r="S14" s="56">
        <f>3001+570+174+37</f>
        <v>3782</v>
      </c>
      <c r="T14" s="56">
        <f>2998+570+175+36</f>
        <v>3779</v>
      </c>
      <c r="U14" s="57">
        <f>2981+558+175+37</f>
        <v>3751</v>
      </c>
      <c r="V14" s="57">
        <f>2982+557+174+39</f>
        <v>3752</v>
      </c>
      <c r="W14" s="57">
        <f>2994+559+182+39</f>
        <v>3774</v>
      </c>
      <c r="X14" s="57">
        <f>3022+560+184+39</f>
        <v>3805</v>
      </c>
      <c r="Y14" s="338">
        <f>3027+560+184+39</f>
        <v>3810</v>
      </c>
      <c r="Z14" s="338">
        <f>3036+562+183+39</f>
        <v>3820</v>
      </c>
      <c r="AA14" s="338"/>
      <c r="AB14" s="338"/>
      <c r="AC14" s="130"/>
      <c r="AD14" s="58">
        <f t="shared" si="0"/>
        <v>-35</v>
      </c>
      <c r="AE14" s="58">
        <f t="shared" si="0"/>
        <v>-80</v>
      </c>
      <c r="AF14" s="58">
        <f t="shared" si="0"/>
        <v>-97</v>
      </c>
      <c r="AG14" s="58">
        <f t="shared" si="0"/>
        <v>-111</v>
      </c>
      <c r="AH14" s="58">
        <f t="shared" si="0"/>
        <v>-123</v>
      </c>
      <c r="AI14" s="58">
        <f t="shared" si="0"/>
        <v>-136</v>
      </c>
      <c r="AJ14" s="57">
        <f t="shared" si="0"/>
        <v>-109</v>
      </c>
      <c r="AK14" s="70">
        <f t="shared" si="0"/>
        <v>-82</v>
      </c>
      <c r="AL14" s="70">
        <f t="shared" si="0"/>
        <v>-39</v>
      </c>
      <c r="AM14" s="242">
        <f t="shared" si="0"/>
        <v>-17</v>
      </c>
      <c r="AN14" s="242">
        <f t="shared" si="0"/>
        <v>-18</v>
      </c>
      <c r="AO14" s="69"/>
      <c r="AP14" s="171"/>
    </row>
    <row r="15" spans="1:42" x14ac:dyDescent="0.25">
      <c r="A15" s="4"/>
      <c r="B15" s="35" t="s">
        <v>39</v>
      </c>
      <c r="C15" s="55">
        <v>543</v>
      </c>
      <c r="D15" s="56">
        <v>543</v>
      </c>
      <c r="E15" s="56">
        <v>542</v>
      </c>
      <c r="F15" s="56">
        <v>541</v>
      </c>
      <c r="G15" s="56">
        <v>542</v>
      </c>
      <c r="H15" s="56">
        <v>542</v>
      </c>
      <c r="I15" s="56">
        <v>527</v>
      </c>
      <c r="J15" s="56">
        <v>431</v>
      </c>
      <c r="K15" s="56">
        <v>532</v>
      </c>
      <c r="L15" s="57">
        <v>536</v>
      </c>
      <c r="M15" s="58">
        <v>540</v>
      </c>
      <c r="N15" s="56">
        <v>541</v>
      </c>
      <c r="O15" s="58">
        <v>542</v>
      </c>
      <c r="P15" s="56">
        <f>220+107+148+66</f>
        <v>541</v>
      </c>
      <c r="Q15" s="56">
        <f>220+109+148+66</f>
        <v>543</v>
      </c>
      <c r="R15" s="56">
        <f>218+113+149+62</f>
        <v>542</v>
      </c>
      <c r="S15" s="56">
        <f>220+116+148+59</f>
        <v>543</v>
      </c>
      <c r="T15" s="56">
        <f>217+116+152+59</f>
        <v>544</v>
      </c>
      <c r="U15" s="57">
        <f>206+114+147+60</f>
        <v>527</v>
      </c>
      <c r="V15" s="57">
        <f>210+115+150+60</f>
        <v>535</v>
      </c>
      <c r="W15" s="57">
        <f>211+116+150+60</f>
        <v>537</v>
      </c>
      <c r="X15" s="57">
        <f>117+149+59+214</f>
        <v>539</v>
      </c>
      <c r="Y15" s="338">
        <f>215+118+148+58</f>
        <v>539</v>
      </c>
      <c r="Z15" s="338">
        <f>116+148+59+215</f>
        <v>538</v>
      </c>
      <c r="AA15" s="338"/>
      <c r="AB15" s="338"/>
      <c r="AC15" s="130"/>
      <c r="AD15" s="58">
        <f t="shared" si="0"/>
        <v>1</v>
      </c>
      <c r="AE15" s="58">
        <f t="shared" si="0"/>
        <v>2</v>
      </c>
      <c r="AF15" s="58">
        <f t="shared" si="0"/>
        <v>-1</v>
      </c>
      <c r="AG15" s="58">
        <f t="shared" si="0"/>
        <v>-1</v>
      </c>
      <c r="AH15" s="58">
        <f t="shared" si="0"/>
        <v>-1</v>
      </c>
      <c r="AI15" s="58">
        <f t="shared" si="0"/>
        <v>-2</v>
      </c>
      <c r="AJ15" s="57">
        <f t="shared" si="0"/>
        <v>0</v>
      </c>
      <c r="AK15" s="70">
        <f t="shared" si="0"/>
        <v>-104</v>
      </c>
      <c r="AL15" s="70">
        <f t="shared" si="0"/>
        <v>-5</v>
      </c>
      <c r="AM15" s="242">
        <f t="shared" si="0"/>
        <v>-3</v>
      </c>
      <c r="AN15" s="242">
        <f t="shared" si="0"/>
        <v>1</v>
      </c>
      <c r="AO15" s="69"/>
      <c r="AP15" s="171"/>
    </row>
    <row r="16" spans="1:42" x14ac:dyDescent="0.25">
      <c r="A16" s="4"/>
      <c r="B16" s="35" t="s">
        <v>40</v>
      </c>
      <c r="C16" s="55">
        <v>17</v>
      </c>
      <c r="D16" s="56">
        <v>17</v>
      </c>
      <c r="E16" s="56">
        <v>17</v>
      </c>
      <c r="F16" s="56">
        <v>17</v>
      </c>
      <c r="G16" s="56">
        <v>17</v>
      </c>
      <c r="H16" s="56">
        <v>17</v>
      </c>
      <c r="I16" s="56">
        <v>16</v>
      </c>
      <c r="J16" s="56">
        <v>16</v>
      </c>
      <c r="K16" s="56">
        <v>16</v>
      </c>
      <c r="L16" s="57">
        <v>17</v>
      </c>
      <c r="M16" s="58">
        <v>18</v>
      </c>
      <c r="N16" s="56">
        <v>18</v>
      </c>
      <c r="O16" s="58">
        <v>18</v>
      </c>
      <c r="P16" s="56">
        <f>2+2+4+10</f>
        <v>18</v>
      </c>
      <c r="Q16" s="56">
        <f>2+2+4+10</f>
        <v>18</v>
      </c>
      <c r="R16" s="56">
        <f>2+2+4+10</f>
        <v>18</v>
      </c>
      <c r="S16" s="56">
        <f>2+2+4+10</f>
        <v>18</v>
      </c>
      <c r="T16" s="56">
        <f>4+2+3+10</f>
        <v>19</v>
      </c>
      <c r="U16" s="57">
        <f>2+2+4+11</f>
        <v>19</v>
      </c>
      <c r="V16" s="57">
        <f>2+2+3+11</f>
        <v>18</v>
      </c>
      <c r="W16" s="57">
        <f>2+2+3+11</f>
        <v>18</v>
      </c>
      <c r="X16" s="57">
        <v>19</v>
      </c>
      <c r="Y16" s="338">
        <f>2+3+3+11</f>
        <v>19</v>
      </c>
      <c r="Z16" s="338">
        <f>3+2+3+11</f>
        <v>19</v>
      </c>
      <c r="AA16" s="338"/>
      <c r="AB16" s="338"/>
      <c r="AC16" s="130"/>
      <c r="AD16" s="58">
        <f t="shared" si="0"/>
        <v>-1</v>
      </c>
      <c r="AE16" s="58">
        <f t="shared" si="0"/>
        <v>-1</v>
      </c>
      <c r="AF16" s="58">
        <f t="shared" si="0"/>
        <v>-1</v>
      </c>
      <c r="AG16" s="58">
        <f t="shared" si="0"/>
        <v>-1</v>
      </c>
      <c r="AH16" s="58">
        <f t="shared" si="0"/>
        <v>-1</v>
      </c>
      <c r="AI16" s="58">
        <f t="shared" si="0"/>
        <v>-2</v>
      </c>
      <c r="AJ16" s="57">
        <f t="shared" si="0"/>
        <v>-3</v>
      </c>
      <c r="AK16" s="70">
        <f t="shared" si="0"/>
        <v>-2</v>
      </c>
      <c r="AL16" s="70">
        <f t="shared" si="0"/>
        <v>-2</v>
      </c>
      <c r="AM16" s="242">
        <f t="shared" si="0"/>
        <v>-2</v>
      </c>
      <c r="AN16" s="242">
        <f t="shared" si="0"/>
        <v>-1</v>
      </c>
      <c r="AO16" s="69"/>
      <c r="AP16" s="171"/>
    </row>
    <row r="17" spans="1:42" ht="15.75" thickBot="1" x14ac:dyDescent="0.3">
      <c r="A17" s="4"/>
      <c r="B17" s="37" t="s">
        <v>41</v>
      </c>
      <c r="C17" s="122">
        <f t="shared" ref="C17:L17" si="1">SUM(C10:C16)</f>
        <v>56784</v>
      </c>
      <c r="D17" s="60">
        <f t="shared" si="1"/>
        <v>56340</v>
      </c>
      <c r="E17" s="60">
        <f t="shared" si="1"/>
        <v>56172</v>
      </c>
      <c r="F17" s="60">
        <f t="shared" si="1"/>
        <v>56201</v>
      </c>
      <c r="G17" s="60">
        <f t="shared" si="1"/>
        <v>56028</v>
      </c>
      <c r="H17" s="60">
        <f t="shared" si="1"/>
        <v>55885</v>
      </c>
      <c r="I17" s="60">
        <f t="shared" si="1"/>
        <v>55893</v>
      </c>
      <c r="J17" s="60">
        <f t="shared" si="1"/>
        <v>55921</v>
      </c>
      <c r="K17" s="60">
        <f t="shared" si="1"/>
        <v>56579</v>
      </c>
      <c r="L17" s="163">
        <f t="shared" si="1"/>
        <v>56965</v>
      </c>
      <c r="M17" s="60">
        <f t="shared" ref="M17:V17" si="2">SUM(M10:M16)</f>
        <v>57024</v>
      </c>
      <c r="N17" s="199">
        <f t="shared" si="2"/>
        <v>57103</v>
      </c>
      <c r="O17" s="60">
        <f t="shared" si="2"/>
        <v>57109</v>
      </c>
      <c r="P17" s="60">
        <f t="shared" si="2"/>
        <v>57241</v>
      </c>
      <c r="Q17" s="60">
        <f t="shared" si="2"/>
        <v>57313</v>
      </c>
      <c r="R17" s="60">
        <f t="shared" si="2"/>
        <v>57379</v>
      </c>
      <c r="S17" s="60">
        <f t="shared" si="2"/>
        <v>57421</v>
      </c>
      <c r="T17" s="60">
        <f t="shared" si="2"/>
        <v>57519</v>
      </c>
      <c r="U17" s="59">
        <f t="shared" si="2"/>
        <v>57571</v>
      </c>
      <c r="V17" s="59">
        <f t="shared" si="2"/>
        <v>57609</v>
      </c>
      <c r="W17" s="59">
        <f>SUM(W10:W16)</f>
        <v>57707</v>
      </c>
      <c r="X17" s="59">
        <f>SUM(X10:X16)</f>
        <v>57860</v>
      </c>
      <c r="Y17" s="59">
        <f>SUM(Y10:Y16)</f>
        <v>57910</v>
      </c>
      <c r="Z17" s="59">
        <f>SUM(Z10:Z16)</f>
        <v>58001</v>
      </c>
      <c r="AA17" s="252"/>
      <c r="AB17" s="252"/>
      <c r="AC17" s="163"/>
      <c r="AD17" s="60">
        <f t="shared" ref="AD17:AK17" si="3">SUM(AD10:AD16)</f>
        <v>-325</v>
      </c>
      <c r="AE17" s="60">
        <f t="shared" si="3"/>
        <v>-901</v>
      </c>
      <c r="AF17" s="60">
        <f t="shared" si="3"/>
        <v>-1141</v>
      </c>
      <c r="AG17" s="60">
        <f t="shared" si="3"/>
        <v>-1178</v>
      </c>
      <c r="AH17" s="60">
        <f t="shared" si="3"/>
        <v>-1393</v>
      </c>
      <c r="AI17" s="60">
        <f t="shared" si="3"/>
        <v>-1634</v>
      </c>
      <c r="AJ17" s="59">
        <f t="shared" si="3"/>
        <v>-1678</v>
      </c>
      <c r="AK17" s="59">
        <f t="shared" si="3"/>
        <v>-1688</v>
      </c>
      <c r="AL17" s="59">
        <f t="shared" ref="AL17:AN17" si="4">SUM(AL10:AL16)</f>
        <v>-1128</v>
      </c>
      <c r="AM17" s="262">
        <f t="shared" si="4"/>
        <v>-895</v>
      </c>
      <c r="AN17" s="262">
        <f t="shared" si="4"/>
        <v>-886</v>
      </c>
      <c r="AO17" s="69"/>
      <c r="AP17" s="171"/>
    </row>
    <row r="18" spans="1:42" x14ac:dyDescent="0.25">
      <c r="A18" s="4">
        <f>+A9+1</f>
        <v>2</v>
      </c>
      <c r="B18" s="41" t="s">
        <v>18</v>
      </c>
      <c r="C18" s="61"/>
      <c r="D18" s="62"/>
      <c r="E18" s="62"/>
      <c r="F18" s="62"/>
      <c r="G18" s="62"/>
      <c r="H18" s="62"/>
      <c r="I18" s="62"/>
      <c r="J18" s="62"/>
      <c r="K18" s="62"/>
      <c r="L18" s="63"/>
      <c r="M18" s="64"/>
      <c r="N18" s="62"/>
      <c r="O18" s="64"/>
      <c r="P18" s="62"/>
      <c r="Q18" s="62"/>
      <c r="R18" s="62"/>
      <c r="S18" s="62"/>
      <c r="T18" s="62"/>
      <c r="U18" s="170"/>
      <c r="V18" s="320"/>
      <c r="W18" s="320"/>
      <c r="X18" s="165"/>
      <c r="Y18" s="320"/>
      <c r="Z18" s="320"/>
      <c r="AA18" s="320"/>
      <c r="AB18" s="320"/>
      <c r="AC18" s="165"/>
      <c r="AD18" s="64"/>
      <c r="AE18" s="65"/>
      <c r="AF18" s="66"/>
      <c r="AG18" s="66"/>
      <c r="AH18" s="66"/>
      <c r="AI18" s="66"/>
      <c r="AJ18" s="67"/>
      <c r="AK18" s="231"/>
      <c r="AL18" s="231"/>
      <c r="AM18" s="231"/>
      <c r="AN18" s="428"/>
      <c r="AO18" s="212"/>
      <c r="AP18" s="434"/>
    </row>
    <row r="19" spans="1:42" x14ac:dyDescent="0.25">
      <c r="A19" s="4"/>
      <c r="B19" s="35" t="s">
        <v>60</v>
      </c>
      <c r="C19" s="131">
        <f>C28+C37+C46-2625</f>
        <v>18033</v>
      </c>
      <c r="D19" s="69">
        <f>D28+D37+D46-2955</f>
        <v>18690</v>
      </c>
      <c r="E19" s="69">
        <f>E28+E37+E46-3100</f>
        <v>19349</v>
      </c>
      <c r="F19" s="69">
        <f>F28+F37+F46-4327</f>
        <v>20789</v>
      </c>
      <c r="G19" s="69">
        <f>G28+G37+G46-4738</f>
        <v>19846</v>
      </c>
      <c r="H19" s="69">
        <f>H28+H37+H46-5455</f>
        <v>19505</v>
      </c>
      <c r="I19" s="69">
        <f>I28+I37+I46-5440</f>
        <v>18922</v>
      </c>
      <c r="J19" s="69">
        <f>J28+J37+J46-5082</f>
        <v>17708</v>
      </c>
      <c r="K19" s="69">
        <f>K28+K37+K46-4917</f>
        <v>18029</v>
      </c>
      <c r="L19" s="70">
        <f>L28+L37+L46-4619</f>
        <v>17720</v>
      </c>
      <c r="M19" s="71">
        <f>M28+M37+M46-3846</f>
        <v>17153</v>
      </c>
      <c r="N19" s="71">
        <f>N28+N37+N46-3004</f>
        <v>18000</v>
      </c>
      <c r="O19" s="71">
        <f>O28+O37+O46-3354</f>
        <v>19684</v>
      </c>
      <c r="P19" s="71">
        <f>P28+P37+P46-4547</f>
        <v>20389</v>
      </c>
      <c r="Q19" s="71">
        <f>Q28+Q37+Q46-5469</f>
        <v>21448</v>
      </c>
      <c r="R19" s="71">
        <f>R28+R37+R46-6530</f>
        <v>22002</v>
      </c>
      <c r="S19" s="71">
        <f>S28+S37+S46-6593</f>
        <v>21109</v>
      </c>
      <c r="T19" s="71">
        <f>T28+T37+T46-7086</f>
        <v>21224</v>
      </c>
      <c r="U19" s="68">
        <f>SUM(U28+U37+U46-7083)</f>
        <v>21173</v>
      </c>
      <c r="V19" s="68">
        <f>SUM(V28+V37+V46-6744)</f>
        <v>20211</v>
      </c>
      <c r="W19" s="68">
        <f>SUM(W28+W37+W46-6543)</f>
        <v>21509</v>
      </c>
      <c r="X19" s="405">
        <f>SUM(X28+X37+X46-6217)</f>
        <v>21170</v>
      </c>
      <c r="Y19" s="405">
        <f>SUM(Y28+Y37+Y46-5921)</f>
        <v>20738</v>
      </c>
      <c r="Z19" s="405">
        <f>SUM(Z28+Z37+Z46-5617)</f>
        <v>22850</v>
      </c>
      <c r="AA19" s="71"/>
      <c r="AB19" s="71"/>
      <c r="AC19" s="162"/>
      <c r="AD19" s="71">
        <f t="shared" ref="AD19:AN25" si="5">C19-O19</f>
        <v>-1651</v>
      </c>
      <c r="AE19" s="71">
        <f t="shared" si="5"/>
        <v>-1699</v>
      </c>
      <c r="AF19" s="71">
        <f t="shared" si="5"/>
        <v>-2099</v>
      </c>
      <c r="AG19" s="71">
        <f t="shared" si="5"/>
        <v>-1213</v>
      </c>
      <c r="AH19" s="71">
        <f t="shared" si="5"/>
        <v>-1263</v>
      </c>
      <c r="AI19" s="71">
        <f t="shared" si="5"/>
        <v>-1719</v>
      </c>
      <c r="AJ19" s="70">
        <f t="shared" si="5"/>
        <v>-2251</v>
      </c>
      <c r="AK19" s="70">
        <f t="shared" si="5"/>
        <v>-2503</v>
      </c>
      <c r="AL19" s="70">
        <f t="shared" si="5"/>
        <v>-3480</v>
      </c>
      <c r="AM19" s="242">
        <f t="shared" si="5"/>
        <v>-3450</v>
      </c>
      <c r="AN19" s="242">
        <f t="shared" si="5"/>
        <v>-3585</v>
      </c>
      <c r="AO19" s="69"/>
      <c r="AP19" s="171"/>
    </row>
    <row r="20" spans="1:42" x14ac:dyDescent="0.25">
      <c r="A20" s="4"/>
      <c r="B20" s="35" t="s">
        <v>61</v>
      </c>
      <c r="C20" s="131"/>
      <c r="D20" s="69"/>
      <c r="E20" s="69"/>
      <c r="F20" s="69"/>
      <c r="G20" s="69"/>
      <c r="H20" s="69"/>
      <c r="I20" s="69"/>
      <c r="J20" s="69"/>
      <c r="K20" s="69"/>
      <c r="L20" s="70"/>
      <c r="M20" s="71"/>
      <c r="N20" s="71"/>
      <c r="O20" s="71"/>
      <c r="P20" s="71"/>
      <c r="Q20" s="71"/>
      <c r="R20" s="71"/>
      <c r="S20" s="71"/>
      <c r="T20" s="71"/>
      <c r="U20" s="68"/>
      <c r="V20" s="68"/>
      <c r="W20" s="68">
        <f>SUM(W29+W38+W47-16)</f>
        <v>79</v>
      </c>
      <c r="X20" s="405">
        <f>SUM(X29+X38+X47-5)</f>
        <v>195</v>
      </c>
      <c r="Y20" s="405">
        <f>SUM(Y29+Y38+Y47-4)</f>
        <v>218</v>
      </c>
      <c r="Z20" s="405">
        <f>SUM(Z29+Z38+Z47)</f>
        <v>216</v>
      </c>
      <c r="AA20" s="71"/>
      <c r="AB20" s="71"/>
      <c r="AC20" s="162"/>
      <c r="AD20" s="71">
        <f t="shared" si="5"/>
        <v>0</v>
      </c>
      <c r="AE20" s="71">
        <f t="shared" si="5"/>
        <v>0</v>
      </c>
      <c r="AF20" s="71">
        <f t="shared" si="5"/>
        <v>0</v>
      </c>
      <c r="AG20" s="71">
        <f t="shared" si="5"/>
        <v>0</v>
      </c>
      <c r="AH20" s="71">
        <f t="shared" si="5"/>
        <v>0</v>
      </c>
      <c r="AI20" s="71">
        <f t="shared" si="5"/>
        <v>0</v>
      </c>
      <c r="AJ20" s="70">
        <f t="shared" si="5"/>
        <v>0</v>
      </c>
      <c r="AK20" s="70">
        <f t="shared" si="5"/>
        <v>0</v>
      </c>
      <c r="AL20" s="70">
        <f t="shared" si="5"/>
        <v>-79</v>
      </c>
      <c r="AM20" s="242">
        <f t="shared" si="5"/>
        <v>-195</v>
      </c>
      <c r="AN20" s="242">
        <f t="shared" si="5"/>
        <v>-218</v>
      </c>
      <c r="AO20" s="69"/>
      <c r="AP20" s="171"/>
    </row>
    <row r="21" spans="1:42" x14ac:dyDescent="0.25">
      <c r="A21" s="4"/>
      <c r="B21" s="35" t="s">
        <v>62</v>
      </c>
      <c r="C21" s="131">
        <f>C30+C39+C48-1801</f>
        <v>6725</v>
      </c>
      <c r="D21" s="69">
        <f>D30+D39+D48-1760</f>
        <v>6639</v>
      </c>
      <c r="E21" s="69">
        <f>E30+E39+E48-1394</f>
        <v>6235</v>
      </c>
      <c r="F21" s="69">
        <f>F30+F39+F48-1883</f>
        <v>8249</v>
      </c>
      <c r="G21" s="69">
        <f>G30+G39+G48-2181</f>
        <v>9665</v>
      </c>
      <c r="H21" s="69">
        <f>H30+H39+H48-3624</f>
        <v>9646</v>
      </c>
      <c r="I21" s="69">
        <f>I30+I39+I48-3698</f>
        <v>9683</v>
      </c>
      <c r="J21" s="69">
        <f>J30+J39+J48-3638</f>
        <v>9661</v>
      </c>
      <c r="K21" s="69">
        <f>K30+K39+K48-3468</f>
        <v>9351</v>
      </c>
      <c r="L21" s="70">
        <f>L30+L39+L48-2742</f>
        <v>7840</v>
      </c>
      <c r="M21" s="71">
        <f>M30+M39+M48-2178</f>
        <v>6416</v>
      </c>
      <c r="N21" s="71">
        <f>N30+N39+N48-1985</f>
        <v>6112</v>
      </c>
      <c r="O21" s="71">
        <f>O30+O39+O48-2010</f>
        <v>5970</v>
      </c>
      <c r="P21" s="71">
        <f>P30+P39+P48-2198</f>
        <v>6796</v>
      </c>
      <c r="Q21" s="71">
        <f>Q30+Q39+Q48-2200</f>
        <v>6965</v>
      </c>
      <c r="R21" s="71">
        <f>R30+R39+R48-1143</f>
        <v>5818</v>
      </c>
      <c r="S21" s="71">
        <f>S30+S39+S48-1043</f>
        <v>7077</v>
      </c>
      <c r="T21" s="71">
        <f>T30+T39+T48-2635</f>
        <v>7691</v>
      </c>
      <c r="U21" s="68">
        <f>SUM(U30+U39+U48-3028)</f>
        <v>8577</v>
      </c>
      <c r="V21" s="68">
        <f>SUM(V30+V39+V48-3248)</f>
        <v>8634</v>
      </c>
      <c r="W21" s="68">
        <f>SUM(W30+W39+W48-3508)</f>
        <v>9448</v>
      </c>
      <c r="X21" s="405">
        <f>SUM(X30+X39+X48-3357)</f>
        <v>9616</v>
      </c>
      <c r="Y21" s="405">
        <f>SUM(Y30+Y39+Y48-3438)</f>
        <v>9997</v>
      </c>
      <c r="Z21" s="405">
        <f>SUM(Z30+Z39+Z48-3212)</f>
        <v>10001</v>
      </c>
      <c r="AA21" s="71"/>
      <c r="AB21" s="71"/>
      <c r="AC21" s="162"/>
      <c r="AD21" s="71">
        <f t="shared" si="5"/>
        <v>755</v>
      </c>
      <c r="AE21" s="71">
        <f t="shared" si="5"/>
        <v>-157</v>
      </c>
      <c r="AF21" s="71">
        <f t="shared" si="5"/>
        <v>-730</v>
      </c>
      <c r="AG21" s="71">
        <f t="shared" si="5"/>
        <v>2431</v>
      </c>
      <c r="AH21" s="71">
        <f t="shared" si="5"/>
        <v>2588</v>
      </c>
      <c r="AI21" s="71">
        <f t="shared" si="5"/>
        <v>1955</v>
      </c>
      <c r="AJ21" s="70">
        <f t="shared" si="5"/>
        <v>1106</v>
      </c>
      <c r="AK21" s="70">
        <f t="shared" si="5"/>
        <v>1027</v>
      </c>
      <c r="AL21" s="70">
        <f t="shared" si="5"/>
        <v>-97</v>
      </c>
      <c r="AM21" s="242">
        <f t="shared" si="5"/>
        <v>-1776</v>
      </c>
      <c r="AN21" s="242">
        <f t="shared" si="5"/>
        <v>-3581</v>
      </c>
      <c r="AO21" s="69"/>
      <c r="AP21" s="171"/>
    </row>
    <row r="22" spans="1:42" x14ac:dyDescent="0.25">
      <c r="A22" s="4"/>
      <c r="B22" s="35" t="s">
        <v>63</v>
      </c>
      <c r="C22" s="131"/>
      <c r="D22" s="69"/>
      <c r="E22" s="69"/>
      <c r="F22" s="69"/>
      <c r="G22" s="69"/>
      <c r="H22" s="69"/>
      <c r="I22" s="69"/>
      <c r="J22" s="69"/>
      <c r="K22" s="69"/>
      <c r="L22" s="70"/>
      <c r="M22" s="71"/>
      <c r="N22" s="71"/>
      <c r="O22" s="71"/>
      <c r="P22" s="71"/>
      <c r="Q22" s="71"/>
      <c r="R22" s="71"/>
      <c r="S22" s="71"/>
      <c r="T22" s="71"/>
      <c r="U22" s="68"/>
      <c r="V22" s="68"/>
      <c r="W22" s="68">
        <f>SUM(W31+W40+W49-0)</f>
        <v>0</v>
      </c>
      <c r="X22" s="405">
        <f>SUM(X31+X40+X49-0)</f>
        <v>0</v>
      </c>
      <c r="Y22" s="405">
        <f>SUM(Y31+Y40+Y49)</f>
        <v>0</v>
      </c>
      <c r="Z22" s="405">
        <f>SUM(Z31+Z40+Z49)</f>
        <v>0</v>
      </c>
      <c r="AA22" s="71"/>
      <c r="AB22" s="71"/>
      <c r="AC22" s="162"/>
      <c r="AD22" s="71">
        <f t="shared" si="5"/>
        <v>0</v>
      </c>
      <c r="AE22" s="71">
        <f t="shared" si="5"/>
        <v>0</v>
      </c>
      <c r="AF22" s="71">
        <f t="shared" si="5"/>
        <v>0</v>
      </c>
      <c r="AG22" s="71">
        <f t="shared" si="5"/>
        <v>0</v>
      </c>
      <c r="AH22" s="71">
        <f t="shared" si="5"/>
        <v>0</v>
      </c>
      <c r="AI22" s="71">
        <f t="shared" si="5"/>
        <v>0</v>
      </c>
      <c r="AJ22" s="70">
        <f t="shared" si="5"/>
        <v>0</v>
      </c>
      <c r="AK22" s="70">
        <f t="shared" si="5"/>
        <v>0</v>
      </c>
      <c r="AL22" s="70">
        <f t="shared" si="5"/>
        <v>0</v>
      </c>
      <c r="AM22" s="242">
        <f t="shared" si="5"/>
        <v>0</v>
      </c>
      <c r="AN22" s="242">
        <f t="shared" si="5"/>
        <v>0</v>
      </c>
      <c r="AO22" s="69"/>
      <c r="AP22" s="171"/>
    </row>
    <row r="23" spans="1:42" x14ac:dyDescent="0.25">
      <c r="A23" s="4"/>
      <c r="B23" s="35" t="s">
        <v>38</v>
      </c>
      <c r="C23" s="131">
        <f>C32+C41+C50-80</f>
        <v>737</v>
      </c>
      <c r="D23" s="69">
        <f>D32+D41+D50-87</f>
        <v>815</v>
      </c>
      <c r="E23" s="69">
        <f>E32+E41+E50-125</f>
        <v>854</v>
      </c>
      <c r="F23" s="69">
        <f>F32+F41+F50-114</f>
        <v>899</v>
      </c>
      <c r="G23" s="69">
        <f>G32+G41+G50-133</f>
        <v>860</v>
      </c>
      <c r="H23" s="69">
        <f>H32+H41+H50-158</f>
        <v>909</v>
      </c>
      <c r="I23" s="69">
        <f>I32+I41+I50-171</f>
        <v>824</v>
      </c>
      <c r="J23" s="69">
        <f>J32+J41+J50-134</f>
        <v>667</v>
      </c>
      <c r="K23" s="69">
        <f>K32+K41+K50-138</f>
        <v>737</v>
      </c>
      <c r="L23" s="70">
        <f>L32+L41+L50-132</f>
        <v>703</v>
      </c>
      <c r="M23" s="71">
        <f>M32+M41+M50-118</f>
        <v>762</v>
      </c>
      <c r="N23" s="71">
        <f>N32+N41+N50-78</f>
        <v>852</v>
      </c>
      <c r="O23" s="71">
        <f>O32+O41+O50-101</f>
        <v>815</v>
      </c>
      <c r="P23" s="71">
        <f>P32+P41+P50-158</f>
        <v>1186</v>
      </c>
      <c r="Q23" s="71">
        <f>Q32+Q41+Q50-228</f>
        <v>1439</v>
      </c>
      <c r="R23" s="71">
        <f>R32+R41+R50-245</f>
        <v>1081</v>
      </c>
      <c r="S23" s="71">
        <f>S32+S41+S50-252</f>
        <v>928</v>
      </c>
      <c r="T23" s="71">
        <f>T32+T41+T50-222</f>
        <v>917</v>
      </c>
      <c r="U23" s="68">
        <f>SUM(U32+U41+U50-196)</f>
        <v>873</v>
      </c>
      <c r="V23" s="68">
        <f>SUM(V32+V41+V50-194)</f>
        <v>907</v>
      </c>
      <c r="W23" s="68">
        <f>SUM(W32+W41+W50-203)</f>
        <v>1079</v>
      </c>
      <c r="X23" s="405">
        <f>SUM(X32+X41+X50-206)</f>
        <v>1077</v>
      </c>
      <c r="Y23" s="405">
        <f>SUM(Y32+Y41+Y50-194)</f>
        <v>1077</v>
      </c>
      <c r="Z23" s="405">
        <f>SUM(Z32+Z41+Z50-167)</f>
        <v>1228</v>
      </c>
      <c r="AA23" s="71"/>
      <c r="AB23" s="71"/>
      <c r="AC23" s="162"/>
      <c r="AD23" s="71">
        <f t="shared" si="5"/>
        <v>-78</v>
      </c>
      <c r="AE23" s="71">
        <f t="shared" si="5"/>
        <v>-371</v>
      </c>
      <c r="AF23" s="71">
        <f t="shared" si="5"/>
        <v>-585</v>
      </c>
      <c r="AG23" s="71">
        <f t="shared" si="5"/>
        <v>-182</v>
      </c>
      <c r="AH23" s="71">
        <f t="shared" si="5"/>
        <v>-68</v>
      </c>
      <c r="AI23" s="71">
        <f t="shared" si="5"/>
        <v>-8</v>
      </c>
      <c r="AJ23" s="70">
        <f t="shared" si="5"/>
        <v>-49</v>
      </c>
      <c r="AK23" s="70">
        <f t="shared" si="5"/>
        <v>-240</v>
      </c>
      <c r="AL23" s="70">
        <f t="shared" si="5"/>
        <v>-342</v>
      </c>
      <c r="AM23" s="242">
        <f t="shared" si="5"/>
        <v>-374</v>
      </c>
      <c r="AN23" s="242">
        <f t="shared" si="5"/>
        <v>-315</v>
      </c>
      <c r="AO23" s="69"/>
      <c r="AP23" s="171"/>
    </row>
    <row r="24" spans="1:42" x14ac:dyDescent="0.25">
      <c r="A24" s="4"/>
      <c r="B24" s="35" t="s">
        <v>39</v>
      </c>
      <c r="C24" s="131">
        <f>C33+C42+C51-3</f>
        <v>74</v>
      </c>
      <c r="D24" s="69">
        <f>D33+D42+D51-4</f>
        <v>81</v>
      </c>
      <c r="E24" s="69">
        <f>E33+E42+E51-4</f>
        <v>84</v>
      </c>
      <c r="F24" s="69">
        <f>F33+F42+F51-5</f>
        <v>91</v>
      </c>
      <c r="G24" s="69">
        <f>G33+G42+G51-7</f>
        <v>75</v>
      </c>
      <c r="H24" s="69">
        <f>H33+H42+H51-12</f>
        <v>88</v>
      </c>
      <c r="I24" s="69">
        <f>I33+I42+I51-12</f>
        <v>77</v>
      </c>
      <c r="J24" s="69">
        <f>J33+J42+J51-12</f>
        <v>53</v>
      </c>
      <c r="K24" s="69">
        <f>K33+K42+K51-11</f>
        <v>73</v>
      </c>
      <c r="L24" s="70">
        <f>L33+L42+L51-6</f>
        <v>61</v>
      </c>
      <c r="M24" s="71">
        <f>M33+M42+M51-5</f>
        <v>62</v>
      </c>
      <c r="N24" s="71">
        <f>N33+N42+N51-3</f>
        <v>73</v>
      </c>
      <c r="O24" s="71">
        <f>O33+O42+O51-2</f>
        <v>91</v>
      </c>
      <c r="P24" s="71">
        <f>P33+P42+P51-16</f>
        <v>156</v>
      </c>
      <c r="Q24" s="71">
        <f>Q33+Q42+Q51-28</f>
        <v>170</v>
      </c>
      <c r="R24" s="71">
        <f>R33+R42+R51-28</f>
        <v>150</v>
      </c>
      <c r="S24" s="71">
        <f>S33+S42+S51-28</f>
        <v>129</v>
      </c>
      <c r="T24" s="71">
        <f>T33+T42+T51-29</f>
        <v>117</v>
      </c>
      <c r="U24" s="68">
        <f>SUM(U33+U42+U51-30)</f>
        <v>101</v>
      </c>
      <c r="V24" s="68">
        <f>SUM(V33+V42+V51-26)</f>
        <v>100</v>
      </c>
      <c r="W24" s="68">
        <f>SUM(W33+W42+W51-20)</f>
        <v>123</v>
      </c>
      <c r="X24" s="405">
        <f>SUM(X33+X42+X51-15)</f>
        <v>139</v>
      </c>
      <c r="Y24" s="405">
        <f>SUM(Y33+Y42+Y51-16)</f>
        <v>139</v>
      </c>
      <c r="Z24" s="405">
        <f>SUM(Z33+Z42+Z51-17)</f>
        <v>189</v>
      </c>
      <c r="AA24" s="71"/>
      <c r="AB24" s="71"/>
      <c r="AC24" s="162"/>
      <c r="AD24" s="71">
        <f t="shared" si="5"/>
        <v>-17</v>
      </c>
      <c r="AE24" s="71">
        <f t="shared" si="5"/>
        <v>-75</v>
      </c>
      <c r="AF24" s="71">
        <f t="shared" si="5"/>
        <v>-86</v>
      </c>
      <c r="AG24" s="71">
        <f t="shared" si="5"/>
        <v>-59</v>
      </c>
      <c r="AH24" s="71">
        <f t="shared" si="5"/>
        <v>-54</v>
      </c>
      <c r="AI24" s="71">
        <f t="shared" si="5"/>
        <v>-29</v>
      </c>
      <c r="AJ24" s="70">
        <f t="shared" si="5"/>
        <v>-24</v>
      </c>
      <c r="AK24" s="70">
        <f t="shared" si="5"/>
        <v>-47</v>
      </c>
      <c r="AL24" s="70">
        <f t="shared" si="5"/>
        <v>-50</v>
      </c>
      <c r="AM24" s="242">
        <f t="shared" si="5"/>
        <v>-78</v>
      </c>
      <c r="AN24" s="242">
        <f t="shared" si="5"/>
        <v>-77</v>
      </c>
      <c r="AO24" s="69"/>
      <c r="AP24" s="171"/>
    </row>
    <row r="25" spans="1:42" x14ac:dyDescent="0.25">
      <c r="A25" s="4"/>
      <c r="B25" s="35" t="s">
        <v>40</v>
      </c>
      <c r="C25" s="131">
        <f t="shared" ref="C25:L25" si="6">C34+C43+C52-0</f>
        <v>0</v>
      </c>
      <c r="D25" s="69">
        <f t="shared" si="6"/>
        <v>2</v>
      </c>
      <c r="E25" s="69">
        <f t="shared" si="6"/>
        <v>1</v>
      </c>
      <c r="F25" s="69">
        <f t="shared" si="6"/>
        <v>3</v>
      </c>
      <c r="G25" s="69">
        <f t="shared" si="6"/>
        <v>1</v>
      </c>
      <c r="H25" s="69">
        <f t="shared" si="6"/>
        <v>2</v>
      </c>
      <c r="I25" s="69">
        <f t="shared" si="6"/>
        <v>2</v>
      </c>
      <c r="J25" s="69">
        <f t="shared" si="6"/>
        <v>1</v>
      </c>
      <c r="K25" s="69">
        <f t="shared" si="6"/>
        <v>3</v>
      </c>
      <c r="L25" s="70">
        <f t="shared" si="6"/>
        <v>2</v>
      </c>
      <c r="M25" s="71">
        <f>M34+M43+M52-1</f>
        <v>2</v>
      </c>
      <c r="N25" s="71">
        <f>N34+N43+N52-1</f>
        <v>2</v>
      </c>
      <c r="O25" s="71">
        <f>O34+O43+O52-0</f>
        <v>0</v>
      </c>
      <c r="P25" s="71">
        <f>P34+P43+P52-0</f>
        <v>4</v>
      </c>
      <c r="Q25" s="71">
        <f>Q34+Q43+Q52-0</f>
        <v>9</v>
      </c>
      <c r="R25" s="71">
        <f>R34+R43+R52-2</f>
        <v>10</v>
      </c>
      <c r="S25" s="71">
        <f>S34+S43+S52-1</f>
        <v>5</v>
      </c>
      <c r="T25" s="71">
        <f>T34+T43+T52-0</f>
        <v>7</v>
      </c>
      <c r="U25" s="68">
        <f>SUM(U34+U43+U52-1)</f>
        <v>5</v>
      </c>
      <c r="V25" s="68">
        <f>SUM(V34+V43+V52-1)</f>
        <v>2</v>
      </c>
      <c r="W25" s="68">
        <f>SUM(W34+W43+W52-0)</f>
        <v>5</v>
      </c>
      <c r="X25" s="405">
        <f>SUM(X34+X43+X52-0)</f>
        <v>4</v>
      </c>
      <c r="Y25" s="405">
        <f>SUM(Y34+Y43+Y52-0)</f>
        <v>3</v>
      </c>
      <c r="Z25" s="405">
        <f>SUM(Z34+Z43+Z52-0)</f>
        <v>5</v>
      </c>
      <c r="AA25" s="71"/>
      <c r="AB25" s="71"/>
      <c r="AC25" s="162"/>
      <c r="AD25" s="71">
        <f t="shared" si="5"/>
        <v>0</v>
      </c>
      <c r="AE25" s="71">
        <f t="shared" si="5"/>
        <v>-2</v>
      </c>
      <c r="AF25" s="71">
        <f t="shared" si="5"/>
        <v>-8</v>
      </c>
      <c r="AG25" s="71">
        <f t="shared" si="5"/>
        <v>-7</v>
      </c>
      <c r="AH25" s="71">
        <f t="shared" si="5"/>
        <v>-4</v>
      </c>
      <c r="AI25" s="71">
        <f t="shared" si="5"/>
        <v>-5</v>
      </c>
      <c r="AJ25" s="70">
        <f t="shared" si="5"/>
        <v>-3</v>
      </c>
      <c r="AK25" s="70">
        <f t="shared" si="5"/>
        <v>-1</v>
      </c>
      <c r="AL25" s="70">
        <f t="shared" si="5"/>
        <v>-2</v>
      </c>
      <c r="AM25" s="242">
        <f t="shared" si="5"/>
        <v>-2</v>
      </c>
      <c r="AN25" s="242">
        <f t="shared" si="5"/>
        <v>-1</v>
      </c>
      <c r="AO25" s="69"/>
      <c r="AP25" s="171"/>
    </row>
    <row r="26" spans="1:42" x14ac:dyDescent="0.25">
      <c r="B26" s="35" t="s">
        <v>41</v>
      </c>
      <c r="C26" s="131">
        <f>SUM(C19:C25)</f>
        <v>25569</v>
      </c>
      <c r="D26" s="71">
        <f>SUM(D19:D25)</f>
        <v>26227</v>
      </c>
      <c r="E26" s="71">
        <f t="shared" ref="E26:AK26" si="7">SUM(E19:E25)</f>
        <v>26523</v>
      </c>
      <c r="F26" s="71">
        <f t="shared" si="7"/>
        <v>30031</v>
      </c>
      <c r="G26" s="71">
        <f t="shared" si="7"/>
        <v>30447</v>
      </c>
      <c r="H26" s="71">
        <f t="shared" si="7"/>
        <v>30150</v>
      </c>
      <c r="I26" s="71">
        <f t="shared" si="7"/>
        <v>29508</v>
      </c>
      <c r="J26" s="71">
        <f t="shared" si="7"/>
        <v>28090</v>
      </c>
      <c r="K26" s="71">
        <f t="shared" si="7"/>
        <v>28193</v>
      </c>
      <c r="L26" s="162">
        <f t="shared" si="7"/>
        <v>26326</v>
      </c>
      <c r="M26" s="71">
        <f t="shared" si="7"/>
        <v>24395</v>
      </c>
      <c r="N26" s="69">
        <f t="shared" si="7"/>
        <v>25039</v>
      </c>
      <c r="O26" s="71">
        <f t="shared" si="7"/>
        <v>26560</v>
      </c>
      <c r="P26" s="71">
        <f t="shared" si="7"/>
        <v>28531</v>
      </c>
      <c r="Q26" s="71">
        <f t="shared" si="7"/>
        <v>30031</v>
      </c>
      <c r="R26" s="71">
        <f t="shared" si="7"/>
        <v>29061</v>
      </c>
      <c r="S26" s="71">
        <f t="shared" si="7"/>
        <v>29248</v>
      </c>
      <c r="T26" s="71">
        <f t="shared" si="7"/>
        <v>29956</v>
      </c>
      <c r="U26" s="171">
        <f t="shared" si="7"/>
        <v>30729</v>
      </c>
      <c r="V26" s="171">
        <f>SUM(V19:V25)</f>
        <v>29854</v>
      </c>
      <c r="W26" s="171">
        <f>SUM(W19:W25)</f>
        <v>32243</v>
      </c>
      <c r="X26" s="70">
        <f>SUM(X19:X25)</f>
        <v>32201</v>
      </c>
      <c r="Y26" s="70">
        <f>SUM(Y19:Y25)</f>
        <v>32172</v>
      </c>
      <c r="Z26" s="70">
        <f>SUM(Z19:Z25)</f>
        <v>34489</v>
      </c>
      <c r="AA26" s="251"/>
      <c r="AB26" s="251"/>
      <c r="AC26" s="162"/>
      <c r="AD26" s="71">
        <f t="shared" si="7"/>
        <v>-991</v>
      </c>
      <c r="AE26" s="71">
        <f t="shared" si="7"/>
        <v>-2304</v>
      </c>
      <c r="AF26" s="71">
        <f t="shared" si="7"/>
        <v>-3508</v>
      </c>
      <c r="AG26" s="71">
        <f t="shared" si="7"/>
        <v>970</v>
      </c>
      <c r="AH26" s="71">
        <f t="shared" si="7"/>
        <v>1199</v>
      </c>
      <c r="AI26" s="71">
        <f t="shared" si="7"/>
        <v>194</v>
      </c>
      <c r="AJ26" s="70">
        <f t="shared" si="7"/>
        <v>-1221</v>
      </c>
      <c r="AK26" s="70">
        <f t="shared" si="7"/>
        <v>-1764</v>
      </c>
      <c r="AL26" s="70">
        <f t="shared" ref="AL26:AN26" si="8">SUM(AL19:AL25)</f>
        <v>-4050</v>
      </c>
      <c r="AM26" s="242">
        <f t="shared" si="8"/>
        <v>-5875</v>
      </c>
      <c r="AN26" s="242">
        <f t="shared" si="8"/>
        <v>-7777</v>
      </c>
      <c r="AO26" s="69"/>
      <c r="AP26" s="171"/>
    </row>
    <row r="27" spans="1:42" x14ac:dyDescent="0.25">
      <c r="A27" s="4">
        <f>+A18+1</f>
        <v>3</v>
      </c>
      <c r="B27" s="42" t="s">
        <v>21</v>
      </c>
      <c r="C27" s="68"/>
      <c r="D27" s="69"/>
      <c r="E27" s="69"/>
      <c r="F27" s="69"/>
      <c r="G27" s="69"/>
      <c r="H27" s="69"/>
      <c r="I27" s="69"/>
      <c r="J27" s="69"/>
      <c r="K27" s="69"/>
      <c r="L27" s="70"/>
      <c r="M27" s="71"/>
      <c r="N27" s="69"/>
      <c r="O27" s="71"/>
      <c r="P27" s="69"/>
      <c r="Q27" s="69"/>
      <c r="R27" s="69"/>
      <c r="S27" s="69"/>
      <c r="T27" s="69"/>
      <c r="U27" s="171"/>
      <c r="V27" s="251"/>
      <c r="W27" s="251"/>
      <c r="X27" s="162"/>
      <c r="Y27" s="251"/>
      <c r="Z27" s="251"/>
      <c r="AA27" s="251"/>
      <c r="AB27" s="251"/>
      <c r="AC27" s="162"/>
      <c r="AD27" s="71"/>
      <c r="AE27" s="72"/>
      <c r="AF27" s="73"/>
      <c r="AG27" s="73"/>
      <c r="AH27" s="73"/>
      <c r="AI27" s="73"/>
      <c r="AJ27" s="74"/>
      <c r="AK27" s="230"/>
      <c r="AL27" s="230"/>
      <c r="AM27" s="230"/>
      <c r="AN27" s="426"/>
      <c r="AO27" s="73"/>
      <c r="AP27" s="433"/>
    </row>
    <row r="28" spans="1:42" x14ac:dyDescent="0.25">
      <c r="B28" s="35" t="s">
        <v>60</v>
      </c>
      <c r="C28" s="68">
        <v>11698</v>
      </c>
      <c r="D28" s="69">
        <v>11837</v>
      </c>
      <c r="E28" s="69">
        <v>11854</v>
      </c>
      <c r="F28" s="69">
        <v>12070</v>
      </c>
      <c r="G28" s="69">
        <v>11067</v>
      </c>
      <c r="H28" s="69">
        <v>10946</v>
      </c>
      <c r="I28" s="69">
        <v>10678</v>
      </c>
      <c r="J28" s="69">
        <v>9967</v>
      </c>
      <c r="K28" s="69">
        <v>10296</v>
      </c>
      <c r="L28" s="70">
        <v>10428</v>
      </c>
      <c r="M28" s="71">
        <v>10547</v>
      </c>
      <c r="N28" s="69">
        <v>11393</v>
      </c>
      <c r="O28" s="71">
        <v>12145</v>
      </c>
      <c r="P28" s="69">
        <v>12052</v>
      </c>
      <c r="Q28" s="69">
        <v>12469</v>
      </c>
      <c r="R28" s="69">
        <v>12527</v>
      </c>
      <c r="S28" s="69">
        <v>11678</v>
      </c>
      <c r="T28" s="69">
        <v>11819</v>
      </c>
      <c r="U28" s="71">
        <v>11817</v>
      </c>
      <c r="V28" s="71">
        <v>11182</v>
      </c>
      <c r="W28" s="71">
        <v>12325</v>
      </c>
      <c r="X28" s="162">
        <v>11924</v>
      </c>
      <c r="Y28" s="71">
        <v>11287</v>
      </c>
      <c r="Z28" s="71">
        <f>13807-205</f>
        <v>13602</v>
      </c>
      <c r="AA28" s="71"/>
      <c r="AB28" s="71"/>
      <c r="AC28" s="162"/>
      <c r="AD28" s="71">
        <f t="shared" ref="AD28:AN34" si="9">C28-O28</f>
        <v>-447</v>
      </c>
      <c r="AE28" s="71">
        <f t="shared" si="9"/>
        <v>-215</v>
      </c>
      <c r="AF28" s="71">
        <f t="shared" si="9"/>
        <v>-615</v>
      </c>
      <c r="AG28" s="71">
        <f t="shared" si="9"/>
        <v>-457</v>
      </c>
      <c r="AH28" s="71">
        <f t="shared" si="9"/>
        <v>-611</v>
      </c>
      <c r="AI28" s="71">
        <f t="shared" si="9"/>
        <v>-873</v>
      </c>
      <c r="AJ28" s="70">
        <f t="shared" si="9"/>
        <v>-1139</v>
      </c>
      <c r="AK28" s="70">
        <f t="shared" si="9"/>
        <v>-1215</v>
      </c>
      <c r="AL28" s="70">
        <f t="shared" si="9"/>
        <v>-2029</v>
      </c>
      <c r="AM28" s="242">
        <f t="shared" si="9"/>
        <v>-1496</v>
      </c>
      <c r="AN28" s="242">
        <f t="shared" si="9"/>
        <v>-740</v>
      </c>
      <c r="AO28" s="69"/>
      <c r="AP28" s="171"/>
    </row>
    <row r="29" spans="1:42" x14ac:dyDescent="0.25">
      <c r="B29" s="35" t="s">
        <v>61</v>
      </c>
      <c r="C29" s="68"/>
      <c r="D29" s="69"/>
      <c r="E29" s="69"/>
      <c r="F29" s="69"/>
      <c r="G29" s="69"/>
      <c r="H29" s="69"/>
      <c r="I29" s="69"/>
      <c r="J29" s="69"/>
      <c r="K29" s="69"/>
      <c r="L29" s="70"/>
      <c r="M29" s="71"/>
      <c r="N29" s="69"/>
      <c r="O29" s="71"/>
      <c r="P29" s="69"/>
      <c r="Q29" s="69"/>
      <c r="R29" s="69"/>
      <c r="S29" s="69"/>
      <c r="T29" s="69"/>
      <c r="U29" s="71"/>
      <c r="V29" s="71"/>
      <c r="W29" s="71">
        <v>58</v>
      </c>
      <c r="X29" s="162">
        <v>180</v>
      </c>
      <c r="Y29" s="71">
        <v>204</v>
      </c>
      <c r="Z29" s="71">
        <v>205</v>
      </c>
      <c r="AA29" s="71"/>
      <c r="AB29" s="71"/>
      <c r="AC29" s="162"/>
      <c r="AD29" s="71">
        <f t="shared" si="9"/>
        <v>0</v>
      </c>
      <c r="AE29" s="71">
        <f t="shared" si="9"/>
        <v>0</v>
      </c>
      <c r="AF29" s="71">
        <f t="shared" si="9"/>
        <v>0</v>
      </c>
      <c r="AG29" s="71">
        <f t="shared" si="9"/>
        <v>0</v>
      </c>
      <c r="AH29" s="71">
        <f t="shared" si="9"/>
        <v>0</v>
      </c>
      <c r="AI29" s="71">
        <f t="shared" si="9"/>
        <v>0</v>
      </c>
      <c r="AJ29" s="70">
        <f t="shared" si="9"/>
        <v>0</v>
      </c>
      <c r="AK29" s="70">
        <f t="shared" si="9"/>
        <v>0</v>
      </c>
      <c r="AL29" s="70">
        <f t="shared" si="9"/>
        <v>-58</v>
      </c>
      <c r="AM29" s="242">
        <f t="shared" si="9"/>
        <v>-180</v>
      </c>
      <c r="AN29" s="242">
        <f t="shared" si="9"/>
        <v>-204</v>
      </c>
      <c r="AO29" s="69"/>
      <c r="AP29" s="171"/>
    </row>
    <row r="30" spans="1:42" x14ac:dyDescent="0.25">
      <c r="B30" s="35" t="s">
        <v>62</v>
      </c>
      <c r="C30" s="68">
        <v>3712</v>
      </c>
      <c r="D30" s="69">
        <v>3846</v>
      </c>
      <c r="E30" s="69">
        <v>3523</v>
      </c>
      <c r="F30" s="69">
        <v>5172</v>
      </c>
      <c r="G30" s="69">
        <v>5089</v>
      </c>
      <c r="H30" s="69">
        <v>5050</v>
      </c>
      <c r="I30" s="69">
        <v>5087</v>
      </c>
      <c r="J30" s="69">
        <v>5069</v>
      </c>
      <c r="K30" s="69">
        <v>4965</v>
      </c>
      <c r="L30" s="70">
        <v>4293</v>
      </c>
      <c r="M30" s="71">
        <v>3487</v>
      </c>
      <c r="N30" s="69">
        <v>3131</v>
      </c>
      <c r="O30" s="71">
        <v>3269</v>
      </c>
      <c r="P30" s="69">
        <v>3878</v>
      </c>
      <c r="Q30" s="69">
        <v>3986</v>
      </c>
      <c r="R30" s="69">
        <v>4091</v>
      </c>
      <c r="S30" s="69">
        <v>3913</v>
      </c>
      <c r="T30" s="69">
        <v>4371</v>
      </c>
      <c r="U30" s="71">
        <v>4712</v>
      </c>
      <c r="V30" s="71">
        <v>4654</v>
      </c>
      <c r="W30" s="71">
        <v>5223</v>
      </c>
      <c r="X30" s="162">
        <v>5339</v>
      </c>
      <c r="Y30" s="71">
        <v>5520</v>
      </c>
      <c r="Z30" s="71">
        <v>5652</v>
      </c>
      <c r="AA30" s="71"/>
      <c r="AB30" s="71"/>
      <c r="AC30" s="162"/>
      <c r="AD30" s="71">
        <f t="shared" si="9"/>
        <v>443</v>
      </c>
      <c r="AE30" s="71">
        <f t="shared" si="9"/>
        <v>-32</v>
      </c>
      <c r="AF30" s="71">
        <f t="shared" si="9"/>
        <v>-463</v>
      </c>
      <c r="AG30" s="71">
        <f t="shared" si="9"/>
        <v>1081</v>
      </c>
      <c r="AH30" s="71">
        <f t="shared" si="9"/>
        <v>1176</v>
      </c>
      <c r="AI30" s="71">
        <f t="shared" si="9"/>
        <v>679</v>
      </c>
      <c r="AJ30" s="70">
        <f t="shared" si="9"/>
        <v>375</v>
      </c>
      <c r="AK30" s="70">
        <f t="shared" si="9"/>
        <v>415</v>
      </c>
      <c r="AL30" s="70">
        <f t="shared" si="9"/>
        <v>-258</v>
      </c>
      <c r="AM30" s="242">
        <f t="shared" si="9"/>
        <v>-1046</v>
      </c>
      <c r="AN30" s="242">
        <f t="shared" si="9"/>
        <v>-2033</v>
      </c>
      <c r="AO30" s="69"/>
      <c r="AP30" s="171"/>
    </row>
    <row r="31" spans="1:42" x14ac:dyDescent="0.25">
      <c r="B31" s="35" t="s">
        <v>63</v>
      </c>
      <c r="C31" s="131"/>
      <c r="D31" s="69"/>
      <c r="E31" s="69"/>
      <c r="F31" s="69"/>
      <c r="G31" s="69"/>
      <c r="H31" s="69"/>
      <c r="I31" s="69"/>
      <c r="J31" s="69"/>
      <c r="K31" s="69"/>
      <c r="L31" s="70"/>
      <c r="M31" s="71"/>
      <c r="N31" s="69"/>
      <c r="O31" s="71"/>
      <c r="P31" s="69"/>
      <c r="Q31" s="69"/>
      <c r="R31" s="69"/>
      <c r="S31" s="69"/>
      <c r="T31" s="69"/>
      <c r="U31" s="71"/>
      <c r="V31" s="71"/>
      <c r="W31" s="71">
        <v>0</v>
      </c>
      <c r="X31" s="162">
        <v>0</v>
      </c>
      <c r="Y31" s="71">
        <v>0</v>
      </c>
      <c r="Z31" s="71">
        <v>0</v>
      </c>
      <c r="AA31" s="71"/>
      <c r="AB31" s="71"/>
      <c r="AC31" s="162"/>
      <c r="AD31" s="71">
        <f t="shared" si="9"/>
        <v>0</v>
      </c>
      <c r="AE31" s="71">
        <f t="shared" si="9"/>
        <v>0</v>
      </c>
      <c r="AF31" s="71">
        <f t="shared" si="9"/>
        <v>0</v>
      </c>
      <c r="AG31" s="71">
        <f t="shared" si="9"/>
        <v>0</v>
      </c>
      <c r="AH31" s="71">
        <f t="shared" si="9"/>
        <v>0</v>
      </c>
      <c r="AI31" s="71">
        <f t="shared" si="9"/>
        <v>0</v>
      </c>
      <c r="AJ31" s="70">
        <f t="shared" si="9"/>
        <v>0</v>
      </c>
      <c r="AK31" s="70">
        <f t="shared" si="9"/>
        <v>0</v>
      </c>
      <c r="AL31" s="70">
        <f t="shared" si="9"/>
        <v>0</v>
      </c>
      <c r="AM31" s="242">
        <f t="shared" si="9"/>
        <v>0</v>
      </c>
      <c r="AN31" s="242">
        <f t="shared" si="9"/>
        <v>0</v>
      </c>
      <c r="AO31" s="69"/>
      <c r="AP31" s="171"/>
    </row>
    <row r="32" spans="1:42" x14ac:dyDescent="0.25">
      <c r="B32" s="35" t="s">
        <v>38</v>
      </c>
      <c r="C32" s="131">
        <v>547</v>
      </c>
      <c r="D32" s="69">
        <v>583</v>
      </c>
      <c r="E32" s="69">
        <v>580</v>
      </c>
      <c r="F32" s="69">
        <v>574</v>
      </c>
      <c r="G32" s="69">
        <v>525</v>
      </c>
      <c r="H32" s="69">
        <v>573</v>
      </c>
      <c r="I32" s="69">
        <v>521</v>
      </c>
      <c r="J32" s="69">
        <v>419</v>
      </c>
      <c r="K32" s="69">
        <v>486</v>
      </c>
      <c r="L32" s="70">
        <v>460</v>
      </c>
      <c r="M32" s="71">
        <v>531</v>
      </c>
      <c r="N32" s="69">
        <v>586</v>
      </c>
      <c r="O32" s="71">
        <v>579</v>
      </c>
      <c r="P32" s="69">
        <v>801</v>
      </c>
      <c r="Q32" s="69">
        <v>924</v>
      </c>
      <c r="R32" s="69">
        <v>664</v>
      </c>
      <c r="S32" s="69">
        <v>556</v>
      </c>
      <c r="T32" s="69">
        <v>561</v>
      </c>
      <c r="U32" s="71">
        <v>560</v>
      </c>
      <c r="V32" s="71">
        <v>587</v>
      </c>
      <c r="W32" s="71">
        <v>683</v>
      </c>
      <c r="X32" s="162">
        <v>680</v>
      </c>
      <c r="Y32" s="71">
        <v>704</v>
      </c>
      <c r="Z32" s="71">
        <v>868</v>
      </c>
      <c r="AA32" s="71"/>
      <c r="AB32" s="71"/>
      <c r="AC32" s="162"/>
      <c r="AD32" s="71">
        <f t="shared" si="9"/>
        <v>-32</v>
      </c>
      <c r="AE32" s="71">
        <f t="shared" si="9"/>
        <v>-218</v>
      </c>
      <c r="AF32" s="71">
        <f t="shared" si="9"/>
        <v>-344</v>
      </c>
      <c r="AG32" s="71">
        <f t="shared" si="9"/>
        <v>-90</v>
      </c>
      <c r="AH32" s="71">
        <f t="shared" si="9"/>
        <v>-31</v>
      </c>
      <c r="AI32" s="71">
        <f t="shared" si="9"/>
        <v>12</v>
      </c>
      <c r="AJ32" s="70">
        <f t="shared" si="9"/>
        <v>-39</v>
      </c>
      <c r="AK32" s="70">
        <f t="shared" si="9"/>
        <v>-168</v>
      </c>
      <c r="AL32" s="70">
        <f t="shared" si="9"/>
        <v>-197</v>
      </c>
      <c r="AM32" s="242">
        <f t="shared" si="9"/>
        <v>-220</v>
      </c>
      <c r="AN32" s="242">
        <f t="shared" si="9"/>
        <v>-173</v>
      </c>
      <c r="AO32" s="69"/>
      <c r="AP32" s="171"/>
    </row>
    <row r="33" spans="1:42" x14ac:dyDescent="0.25">
      <c r="B33" s="35" t="s">
        <v>39</v>
      </c>
      <c r="C33" s="131">
        <v>63</v>
      </c>
      <c r="D33" s="69">
        <v>65</v>
      </c>
      <c r="E33" s="69">
        <v>65</v>
      </c>
      <c r="F33" s="69">
        <v>66</v>
      </c>
      <c r="G33" s="69">
        <v>51</v>
      </c>
      <c r="H33" s="69">
        <v>62</v>
      </c>
      <c r="I33" s="69">
        <v>57</v>
      </c>
      <c r="J33" s="69">
        <v>36</v>
      </c>
      <c r="K33" s="69">
        <v>50</v>
      </c>
      <c r="L33" s="70">
        <v>50</v>
      </c>
      <c r="M33" s="71">
        <v>55</v>
      </c>
      <c r="N33" s="69">
        <v>61</v>
      </c>
      <c r="O33" s="71">
        <v>71</v>
      </c>
      <c r="P33" s="69">
        <v>107</v>
      </c>
      <c r="Q33" s="69">
        <v>117</v>
      </c>
      <c r="R33" s="69">
        <v>97</v>
      </c>
      <c r="S33" s="69">
        <v>80</v>
      </c>
      <c r="T33" s="69">
        <v>73</v>
      </c>
      <c r="U33" s="71">
        <v>63</v>
      </c>
      <c r="V33" s="71">
        <v>65</v>
      </c>
      <c r="W33" s="71">
        <v>85</v>
      </c>
      <c r="X33" s="162">
        <v>109</v>
      </c>
      <c r="Y33" s="71">
        <v>108</v>
      </c>
      <c r="Z33" s="71">
        <v>153</v>
      </c>
      <c r="AA33" s="71"/>
      <c r="AB33" s="71"/>
      <c r="AC33" s="162"/>
      <c r="AD33" s="71">
        <f t="shared" si="9"/>
        <v>-8</v>
      </c>
      <c r="AE33" s="71">
        <f t="shared" si="9"/>
        <v>-42</v>
      </c>
      <c r="AF33" s="71">
        <f t="shared" si="9"/>
        <v>-52</v>
      </c>
      <c r="AG33" s="71">
        <f t="shared" si="9"/>
        <v>-31</v>
      </c>
      <c r="AH33" s="71">
        <f t="shared" si="9"/>
        <v>-29</v>
      </c>
      <c r="AI33" s="71">
        <f t="shared" si="9"/>
        <v>-11</v>
      </c>
      <c r="AJ33" s="70">
        <f t="shared" si="9"/>
        <v>-6</v>
      </c>
      <c r="AK33" s="70">
        <f t="shared" si="9"/>
        <v>-29</v>
      </c>
      <c r="AL33" s="70">
        <f t="shared" si="9"/>
        <v>-35</v>
      </c>
      <c r="AM33" s="242">
        <f t="shared" si="9"/>
        <v>-59</v>
      </c>
      <c r="AN33" s="242">
        <f t="shared" si="9"/>
        <v>-53</v>
      </c>
      <c r="AO33" s="69"/>
      <c r="AP33" s="171"/>
    </row>
    <row r="34" spans="1:42" x14ac:dyDescent="0.25">
      <c r="B34" s="35" t="s">
        <v>40</v>
      </c>
      <c r="C34" s="68">
        <v>0</v>
      </c>
      <c r="D34" s="69">
        <v>2</v>
      </c>
      <c r="E34" s="69">
        <v>1</v>
      </c>
      <c r="F34" s="69">
        <v>3</v>
      </c>
      <c r="G34" s="69">
        <v>1</v>
      </c>
      <c r="H34" s="69">
        <v>2</v>
      </c>
      <c r="I34" s="69">
        <v>1</v>
      </c>
      <c r="J34" s="69">
        <v>1</v>
      </c>
      <c r="K34" s="69">
        <v>2</v>
      </c>
      <c r="L34" s="70">
        <v>1</v>
      </c>
      <c r="M34" s="71">
        <v>1</v>
      </c>
      <c r="N34" s="69">
        <v>1</v>
      </c>
      <c r="O34" s="71">
        <v>0</v>
      </c>
      <c r="P34" s="69">
        <v>4</v>
      </c>
      <c r="Q34" s="69">
        <v>6</v>
      </c>
      <c r="R34" s="69">
        <v>6</v>
      </c>
      <c r="S34" s="69">
        <v>3</v>
      </c>
      <c r="T34" s="69">
        <v>4</v>
      </c>
      <c r="U34" s="71">
        <v>4</v>
      </c>
      <c r="V34" s="71">
        <v>1</v>
      </c>
      <c r="W34" s="71">
        <v>3</v>
      </c>
      <c r="X34" s="162">
        <v>4</v>
      </c>
      <c r="Y34" s="71">
        <v>2</v>
      </c>
      <c r="Z34" s="71">
        <v>5</v>
      </c>
      <c r="AA34" s="71"/>
      <c r="AB34" s="71"/>
      <c r="AC34" s="162"/>
      <c r="AD34" s="71">
        <f t="shared" si="9"/>
        <v>0</v>
      </c>
      <c r="AE34" s="71">
        <f t="shared" si="9"/>
        <v>-2</v>
      </c>
      <c r="AF34" s="71">
        <f t="shared" si="9"/>
        <v>-5</v>
      </c>
      <c r="AG34" s="71">
        <f t="shared" si="9"/>
        <v>-3</v>
      </c>
      <c r="AH34" s="71">
        <f t="shared" si="9"/>
        <v>-2</v>
      </c>
      <c r="AI34" s="71">
        <f t="shared" si="9"/>
        <v>-2</v>
      </c>
      <c r="AJ34" s="70">
        <f t="shared" si="9"/>
        <v>-3</v>
      </c>
      <c r="AK34" s="70">
        <f t="shared" si="9"/>
        <v>0</v>
      </c>
      <c r="AL34" s="70">
        <f t="shared" si="9"/>
        <v>-1</v>
      </c>
      <c r="AM34" s="242">
        <f t="shared" si="9"/>
        <v>-3</v>
      </c>
      <c r="AN34" s="242">
        <f t="shared" si="9"/>
        <v>-1</v>
      </c>
      <c r="AO34" s="69"/>
      <c r="AP34" s="171"/>
    </row>
    <row r="35" spans="1:42" x14ac:dyDescent="0.25">
      <c r="B35" s="35" t="s">
        <v>41</v>
      </c>
      <c r="C35" s="131">
        <f>SUM(C28:C34)</f>
        <v>16020</v>
      </c>
      <c r="D35" s="71">
        <f>SUM(D28:D34)</f>
        <v>16333</v>
      </c>
      <c r="E35" s="71">
        <f t="shared" ref="E35:AK35" si="10">SUM(E28:E34)</f>
        <v>16023</v>
      </c>
      <c r="F35" s="71">
        <f t="shared" si="10"/>
        <v>17885</v>
      </c>
      <c r="G35" s="71">
        <f t="shared" si="10"/>
        <v>16733</v>
      </c>
      <c r="H35" s="71">
        <f t="shared" si="10"/>
        <v>16633</v>
      </c>
      <c r="I35" s="71">
        <f t="shared" si="10"/>
        <v>16344</v>
      </c>
      <c r="J35" s="71">
        <f t="shared" si="10"/>
        <v>15492</v>
      </c>
      <c r="K35" s="71">
        <f t="shared" si="10"/>
        <v>15799</v>
      </c>
      <c r="L35" s="162">
        <f t="shared" si="10"/>
        <v>15232</v>
      </c>
      <c r="M35" s="71">
        <f t="shared" si="10"/>
        <v>14621</v>
      </c>
      <c r="N35" s="71">
        <f t="shared" si="10"/>
        <v>15172</v>
      </c>
      <c r="O35" s="71">
        <f t="shared" si="10"/>
        <v>16064</v>
      </c>
      <c r="P35" s="71">
        <f t="shared" si="10"/>
        <v>16842</v>
      </c>
      <c r="Q35" s="71">
        <f t="shared" si="10"/>
        <v>17502</v>
      </c>
      <c r="R35" s="71">
        <f t="shared" si="10"/>
        <v>17385</v>
      </c>
      <c r="S35" s="71">
        <f t="shared" si="10"/>
        <v>16230</v>
      </c>
      <c r="T35" s="71">
        <f t="shared" si="10"/>
        <v>16828</v>
      </c>
      <c r="U35" s="172">
        <f t="shared" si="10"/>
        <v>17156</v>
      </c>
      <c r="V35" s="172">
        <f t="shared" si="10"/>
        <v>16489</v>
      </c>
      <c r="W35" s="172">
        <f t="shared" ref="W35:Z35" si="11">SUM(W28:W34)</f>
        <v>18377</v>
      </c>
      <c r="X35" s="162">
        <f t="shared" si="11"/>
        <v>18236</v>
      </c>
      <c r="Y35" s="162">
        <f t="shared" si="11"/>
        <v>17825</v>
      </c>
      <c r="Z35" s="162">
        <f t="shared" si="11"/>
        <v>20485</v>
      </c>
      <c r="AA35" s="251"/>
      <c r="AB35" s="251"/>
      <c r="AC35" s="162"/>
      <c r="AD35" s="71">
        <f t="shared" si="10"/>
        <v>-44</v>
      </c>
      <c r="AE35" s="71">
        <f t="shared" si="10"/>
        <v>-509</v>
      </c>
      <c r="AF35" s="71">
        <f t="shared" si="10"/>
        <v>-1479</v>
      </c>
      <c r="AG35" s="71">
        <f t="shared" si="10"/>
        <v>500</v>
      </c>
      <c r="AH35" s="71">
        <f t="shared" si="10"/>
        <v>503</v>
      </c>
      <c r="AI35" s="71">
        <f t="shared" si="10"/>
        <v>-195</v>
      </c>
      <c r="AJ35" s="70">
        <f t="shared" si="10"/>
        <v>-812</v>
      </c>
      <c r="AK35" s="70">
        <f t="shared" si="10"/>
        <v>-997</v>
      </c>
      <c r="AL35" s="70">
        <f t="shared" ref="AL35:AN35" si="12">SUM(AL28:AL34)</f>
        <v>-2578</v>
      </c>
      <c r="AM35" s="242">
        <f t="shared" si="12"/>
        <v>-3004</v>
      </c>
      <c r="AN35" s="242">
        <f t="shared" si="12"/>
        <v>-3204</v>
      </c>
      <c r="AO35" s="69"/>
      <c r="AP35" s="171"/>
    </row>
    <row r="36" spans="1:42" x14ac:dyDescent="0.25">
      <c r="A36" s="4">
        <f>+A27+1</f>
        <v>4</v>
      </c>
      <c r="B36" s="42" t="s">
        <v>22</v>
      </c>
      <c r="C36" s="131"/>
      <c r="D36" s="71"/>
      <c r="E36" s="71"/>
      <c r="F36" s="71"/>
      <c r="G36" s="71"/>
      <c r="H36" s="71"/>
      <c r="I36" s="71"/>
      <c r="J36" s="71"/>
      <c r="K36" s="71"/>
      <c r="L36" s="162"/>
      <c r="M36" s="71"/>
      <c r="N36" s="71"/>
      <c r="O36" s="71"/>
      <c r="P36" s="71"/>
      <c r="Q36" s="71"/>
      <c r="R36" s="71"/>
      <c r="S36" s="71"/>
      <c r="T36" s="71"/>
      <c r="U36" s="172"/>
      <c r="V36" s="251"/>
      <c r="W36" s="251"/>
      <c r="X36" s="162"/>
      <c r="Y36" s="251"/>
      <c r="Z36" s="251"/>
      <c r="AA36" s="251"/>
      <c r="AB36" s="251"/>
      <c r="AC36" s="162"/>
      <c r="AD36" s="71"/>
      <c r="AE36" s="71"/>
      <c r="AF36" s="71"/>
      <c r="AG36" s="71"/>
      <c r="AH36" s="71"/>
      <c r="AI36" s="71"/>
      <c r="AJ36" s="70"/>
      <c r="AK36" s="313"/>
      <c r="AL36" s="313"/>
      <c r="AM36" s="313"/>
      <c r="AN36" s="427"/>
      <c r="AO36" s="69"/>
      <c r="AP36" s="171"/>
    </row>
    <row r="37" spans="1:42" x14ac:dyDescent="0.25">
      <c r="A37" s="4"/>
      <c r="B37" s="35" t="s">
        <v>60</v>
      </c>
      <c r="C37" s="131">
        <v>5293</v>
      </c>
      <c r="D37" s="71">
        <v>6308</v>
      </c>
      <c r="E37" s="71">
        <v>6644</v>
      </c>
      <c r="F37" s="71">
        <v>8013</v>
      </c>
      <c r="G37" s="71">
        <v>7461</v>
      </c>
      <c r="H37" s="71">
        <v>7683</v>
      </c>
      <c r="I37" s="71">
        <v>7520</v>
      </c>
      <c r="J37" s="71">
        <v>6955</v>
      </c>
      <c r="K37" s="71">
        <v>6941</v>
      </c>
      <c r="L37" s="162">
        <v>6508</v>
      </c>
      <c r="M37" s="71">
        <v>5859</v>
      </c>
      <c r="N37" s="71">
        <v>5888</v>
      </c>
      <c r="O37" s="71">
        <v>7002</v>
      </c>
      <c r="P37" s="71">
        <v>7875</v>
      </c>
      <c r="Q37" s="71">
        <v>8468</v>
      </c>
      <c r="R37" s="71">
        <v>8954</v>
      </c>
      <c r="S37" s="71">
        <v>8841</v>
      </c>
      <c r="T37" s="71">
        <v>8730</v>
      </c>
      <c r="U37" s="71">
        <v>8837</v>
      </c>
      <c r="V37" s="71">
        <v>8466</v>
      </c>
      <c r="W37" s="71">
        <v>8331</v>
      </c>
      <c r="X37" s="162">
        <v>8236</v>
      </c>
      <c r="Y37" s="71">
        <v>8120</v>
      </c>
      <c r="Z37" s="71">
        <f>7691-11</f>
        <v>7680</v>
      </c>
      <c r="AA37" s="71"/>
      <c r="AB37" s="71"/>
      <c r="AC37" s="162"/>
      <c r="AD37" s="71">
        <f t="shared" ref="AD37:AN43" si="13">C37-O37</f>
        <v>-1709</v>
      </c>
      <c r="AE37" s="71">
        <f t="shared" si="13"/>
        <v>-1567</v>
      </c>
      <c r="AF37" s="71">
        <f t="shared" si="13"/>
        <v>-1824</v>
      </c>
      <c r="AG37" s="71">
        <f t="shared" si="13"/>
        <v>-941</v>
      </c>
      <c r="AH37" s="71">
        <f t="shared" si="13"/>
        <v>-1380</v>
      </c>
      <c r="AI37" s="71">
        <f t="shared" si="13"/>
        <v>-1047</v>
      </c>
      <c r="AJ37" s="70">
        <f t="shared" si="13"/>
        <v>-1317</v>
      </c>
      <c r="AK37" s="70">
        <f t="shared" si="13"/>
        <v>-1511</v>
      </c>
      <c r="AL37" s="70">
        <f t="shared" si="13"/>
        <v>-1390</v>
      </c>
      <c r="AM37" s="242">
        <f t="shared" si="13"/>
        <v>-1728</v>
      </c>
      <c r="AN37" s="242">
        <f t="shared" si="13"/>
        <v>-2261</v>
      </c>
      <c r="AO37" s="69"/>
      <c r="AP37" s="171"/>
    </row>
    <row r="38" spans="1:42" x14ac:dyDescent="0.25">
      <c r="A38" s="4"/>
      <c r="B38" s="35" t="s">
        <v>61</v>
      </c>
      <c r="C38" s="131"/>
      <c r="D38" s="71"/>
      <c r="E38" s="71"/>
      <c r="F38" s="71"/>
      <c r="G38" s="71"/>
      <c r="H38" s="71"/>
      <c r="I38" s="71"/>
      <c r="J38" s="71"/>
      <c r="K38" s="71"/>
      <c r="L38" s="162"/>
      <c r="M38" s="71"/>
      <c r="N38" s="71"/>
      <c r="O38" s="71"/>
      <c r="P38" s="71"/>
      <c r="Q38" s="71"/>
      <c r="R38" s="71"/>
      <c r="S38" s="71"/>
      <c r="T38" s="71"/>
      <c r="U38" s="71"/>
      <c r="V38" s="71"/>
      <c r="W38" s="71">
        <v>21</v>
      </c>
      <c r="X38" s="162">
        <v>15</v>
      </c>
      <c r="Y38" s="71">
        <v>14</v>
      </c>
      <c r="Z38" s="71">
        <v>11</v>
      </c>
      <c r="AA38" s="71"/>
      <c r="AB38" s="71"/>
      <c r="AC38" s="162"/>
      <c r="AD38" s="71">
        <f t="shared" si="13"/>
        <v>0</v>
      </c>
      <c r="AE38" s="71">
        <f t="shared" si="13"/>
        <v>0</v>
      </c>
      <c r="AF38" s="71">
        <f t="shared" si="13"/>
        <v>0</v>
      </c>
      <c r="AG38" s="71">
        <f t="shared" si="13"/>
        <v>0</v>
      </c>
      <c r="AH38" s="71">
        <f t="shared" si="13"/>
        <v>0</v>
      </c>
      <c r="AI38" s="71">
        <f t="shared" si="13"/>
        <v>0</v>
      </c>
      <c r="AJ38" s="70">
        <f t="shared" si="13"/>
        <v>0</v>
      </c>
      <c r="AK38" s="70">
        <f t="shared" si="13"/>
        <v>0</v>
      </c>
      <c r="AL38" s="70">
        <f t="shared" si="13"/>
        <v>-21</v>
      </c>
      <c r="AM38" s="242">
        <f t="shared" si="13"/>
        <v>-15</v>
      </c>
      <c r="AN38" s="242">
        <f t="shared" si="13"/>
        <v>-14</v>
      </c>
      <c r="AO38" s="69"/>
      <c r="AP38" s="171"/>
    </row>
    <row r="39" spans="1:42" x14ac:dyDescent="0.25">
      <c r="A39" s="4"/>
      <c r="B39" s="35" t="s">
        <v>62</v>
      </c>
      <c r="C39" s="131">
        <v>2441</v>
      </c>
      <c r="D39" s="71">
        <v>2594</v>
      </c>
      <c r="E39" s="71">
        <v>2446</v>
      </c>
      <c r="F39" s="71">
        <v>2850</v>
      </c>
      <c r="G39" s="71">
        <v>4252</v>
      </c>
      <c r="H39" s="71">
        <v>4312</v>
      </c>
      <c r="I39" s="71">
        <v>4316</v>
      </c>
      <c r="J39" s="71">
        <v>4296</v>
      </c>
      <c r="K39" s="71">
        <v>4090</v>
      </c>
      <c r="L39" s="162">
        <v>3276</v>
      </c>
      <c r="M39" s="71">
        <v>2727</v>
      </c>
      <c r="N39" s="71">
        <v>2693</v>
      </c>
      <c r="O39" s="71">
        <v>2589</v>
      </c>
      <c r="P39" s="71">
        <v>2805</v>
      </c>
      <c r="Q39" s="71">
        <v>2863</v>
      </c>
      <c r="R39" s="71">
        <v>1662</v>
      </c>
      <c r="S39" s="71">
        <v>3081</v>
      </c>
      <c r="T39" s="71">
        <v>3234</v>
      </c>
      <c r="U39" s="71">
        <v>3818</v>
      </c>
      <c r="V39" s="71">
        <v>3897</v>
      </c>
      <c r="W39" s="71">
        <v>4086</v>
      </c>
      <c r="X39" s="162">
        <v>4106</v>
      </c>
      <c r="Y39" s="71">
        <v>4264</v>
      </c>
      <c r="Z39" s="71">
        <v>3875</v>
      </c>
      <c r="AA39" s="71"/>
      <c r="AB39" s="71"/>
      <c r="AC39" s="162"/>
      <c r="AD39" s="71">
        <f t="shared" si="13"/>
        <v>-148</v>
      </c>
      <c r="AE39" s="71">
        <f t="shared" si="13"/>
        <v>-211</v>
      </c>
      <c r="AF39" s="71">
        <f t="shared" si="13"/>
        <v>-417</v>
      </c>
      <c r="AG39" s="71">
        <f t="shared" si="13"/>
        <v>1188</v>
      </c>
      <c r="AH39" s="71">
        <f t="shared" si="13"/>
        <v>1171</v>
      </c>
      <c r="AI39" s="71">
        <f t="shared" si="13"/>
        <v>1078</v>
      </c>
      <c r="AJ39" s="70">
        <f t="shared" si="13"/>
        <v>498</v>
      </c>
      <c r="AK39" s="70">
        <f t="shared" si="13"/>
        <v>399</v>
      </c>
      <c r="AL39" s="70">
        <f t="shared" si="13"/>
        <v>4</v>
      </c>
      <c r="AM39" s="242">
        <f t="shared" si="13"/>
        <v>-830</v>
      </c>
      <c r="AN39" s="242">
        <f t="shared" si="13"/>
        <v>-1537</v>
      </c>
      <c r="AO39" s="69"/>
      <c r="AP39" s="171"/>
    </row>
    <row r="40" spans="1:42" x14ac:dyDescent="0.25">
      <c r="A40" s="4"/>
      <c r="B40" s="35" t="s">
        <v>63</v>
      </c>
      <c r="C40" s="131"/>
      <c r="D40" s="71"/>
      <c r="E40" s="71"/>
      <c r="F40" s="71"/>
      <c r="G40" s="71"/>
      <c r="H40" s="71"/>
      <c r="I40" s="71"/>
      <c r="J40" s="71"/>
      <c r="K40" s="71"/>
      <c r="L40" s="162"/>
      <c r="M40" s="71"/>
      <c r="N40" s="71"/>
      <c r="O40" s="71"/>
      <c r="P40" s="71"/>
      <c r="Q40" s="71"/>
      <c r="R40" s="71"/>
      <c r="S40" s="71"/>
      <c r="T40" s="71"/>
      <c r="U40" s="71"/>
      <c r="V40" s="71"/>
      <c r="W40" s="71">
        <v>0</v>
      </c>
      <c r="X40" s="162">
        <v>0</v>
      </c>
      <c r="Y40" s="71">
        <v>0</v>
      </c>
      <c r="Z40" s="71">
        <v>0</v>
      </c>
      <c r="AA40" s="71"/>
      <c r="AB40" s="71"/>
      <c r="AC40" s="162"/>
      <c r="AD40" s="71">
        <f t="shared" si="13"/>
        <v>0</v>
      </c>
      <c r="AE40" s="71">
        <f t="shared" si="13"/>
        <v>0</v>
      </c>
      <c r="AF40" s="71">
        <f t="shared" si="13"/>
        <v>0</v>
      </c>
      <c r="AG40" s="71">
        <f t="shared" si="13"/>
        <v>0</v>
      </c>
      <c r="AH40" s="71">
        <f t="shared" si="13"/>
        <v>0</v>
      </c>
      <c r="AI40" s="71">
        <f t="shared" si="13"/>
        <v>0</v>
      </c>
      <c r="AJ40" s="70">
        <f t="shared" si="13"/>
        <v>0</v>
      </c>
      <c r="AK40" s="70">
        <f t="shared" si="13"/>
        <v>0</v>
      </c>
      <c r="AL40" s="70">
        <f t="shared" si="13"/>
        <v>0</v>
      </c>
      <c r="AM40" s="242">
        <f t="shared" si="13"/>
        <v>0</v>
      </c>
      <c r="AN40" s="242">
        <f t="shared" si="13"/>
        <v>0</v>
      </c>
      <c r="AO40" s="69"/>
      <c r="AP40" s="171"/>
    </row>
    <row r="41" spans="1:42" x14ac:dyDescent="0.25">
      <c r="A41" s="4"/>
      <c r="B41" s="35" t="s">
        <v>38</v>
      </c>
      <c r="C41" s="131">
        <v>177</v>
      </c>
      <c r="D41" s="71">
        <v>213</v>
      </c>
      <c r="E41" s="71">
        <v>253</v>
      </c>
      <c r="F41" s="71">
        <v>282</v>
      </c>
      <c r="G41" s="71">
        <v>282</v>
      </c>
      <c r="H41" s="71">
        <v>289</v>
      </c>
      <c r="I41" s="71">
        <v>271</v>
      </c>
      <c r="J41" s="71">
        <v>229</v>
      </c>
      <c r="K41" s="71">
        <v>229</v>
      </c>
      <c r="L41" s="162">
        <v>222</v>
      </c>
      <c r="M41" s="71">
        <v>184</v>
      </c>
      <c r="N41" s="71">
        <v>231</v>
      </c>
      <c r="O41" s="71">
        <v>209</v>
      </c>
      <c r="P41" s="71">
        <v>362</v>
      </c>
      <c r="Q41" s="71">
        <v>486</v>
      </c>
      <c r="R41" s="71">
        <v>387</v>
      </c>
      <c r="S41" s="71">
        <v>347</v>
      </c>
      <c r="T41" s="71">
        <v>329</v>
      </c>
      <c r="U41" s="71">
        <v>292</v>
      </c>
      <c r="V41" s="71">
        <v>302</v>
      </c>
      <c r="W41" s="71">
        <v>352</v>
      </c>
      <c r="X41" s="162">
        <v>329</v>
      </c>
      <c r="Y41" s="71">
        <v>302</v>
      </c>
      <c r="Z41" s="71">
        <v>307</v>
      </c>
      <c r="AA41" s="71"/>
      <c r="AB41" s="71"/>
      <c r="AC41" s="162"/>
      <c r="AD41" s="71">
        <f t="shared" si="13"/>
        <v>-32</v>
      </c>
      <c r="AE41" s="71">
        <f t="shared" si="13"/>
        <v>-149</v>
      </c>
      <c r="AF41" s="71">
        <f t="shared" si="13"/>
        <v>-233</v>
      </c>
      <c r="AG41" s="71">
        <f t="shared" si="13"/>
        <v>-105</v>
      </c>
      <c r="AH41" s="71">
        <f t="shared" si="13"/>
        <v>-65</v>
      </c>
      <c r="AI41" s="71">
        <f t="shared" si="13"/>
        <v>-40</v>
      </c>
      <c r="AJ41" s="70">
        <f t="shared" si="13"/>
        <v>-21</v>
      </c>
      <c r="AK41" s="70">
        <f t="shared" si="13"/>
        <v>-73</v>
      </c>
      <c r="AL41" s="70">
        <f t="shared" si="13"/>
        <v>-123</v>
      </c>
      <c r="AM41" s="242">
        <f t="shared" si="13"/>
        <v>-107</v>
      </c>
      <c r="AN41" s="242">
        <f t="shared" si="13"/>
        <v>-118</v>
      </c>
      <c r="AO41" s="69"/>
      <c r="AP41" s="171"/>
    </row>
    <row r="42" spans="1:42" x14ac:dyDescent="0.25">
      <c r="A42" s="4"/>
      <c r="B42" s="35" t="s">
        <v>39</v>
      </c>
      <c r="C42" s="131">
        <v>8</v>
      </c>
      <c r="D42" s="71">
        <v>14</v>
      </c>
      <c r="E42" s="71">
        <v>16</v>
      </c>
      <c r="F42" s="71">
        <v>21</v>
      </c>
      <c r="G42" s="71">
        <v>20</v>
      </c>
      <c r="H42" s="71">
        <v>23</v>
      </c>
      <c r="I42" s="71">
        <v>18</v>
      </c>
      <c r="J42" s="71">
        <v>17</v>
      </c>
      <c r="K42" s="71">
        <v>22</v>
      </c>
      <c r="L42" s="162">
        <v>11</v>
      </c>
      <c r="M42" s="71">
        <v>8</v>
      </c>
      <c r="N42" s="71">
        <v>12</v>
      </c>
      <c r="O42" s="71">
        <v>20</v>
      </c>
      <c r="P42" s="71">
        <v>49</v>
      </c>
      <c r="Q42" s="71">
        <v>52</v>
      </c>
      <c r="R42" s="71">
        <v>47</v>
      </c>
      <c r="S42" s="71">
        <v>40</v>
      </c>
      <c r="T42" s="71">
        <v>40</v>
      </c>
      <c r="U42" s="71">
        <v>37</v>
      </c>
      <c r="V42" s="71">
        <v>33</v>
      </c>
      <c r="W42" s="71">
        <v>34</v>
      </c>
      <c r="X42" s="162">
        <v>27</v>
      </c>
      <c r="Y42" s="71">
        <v>29</v>
      </c>
      <c r="Z42" s="71">
        <v>36</v>
      </c>
      <c r="AA42" s="71"/>
      <c r="AB42" s="71"/>
      <c r="AC42" s="162"/>
      <c r="AD42" s="71">
        <f t="shared" si="13"/>
        <v>-12</v>
      </c>
      <c r="AE42" s="71">
        <f t="shared" si="13"/>
        <v>-35</v>
      </c>
      <c r="AF42" s="71">
        <f t="shared" si="13"/>
        <v>-36</v>
      </c>
      <c r="AG42" s="71">
        <f t="shared" si="13"/>
        <v>-26</v>
      </c>
      <c r="AH42" s="71">
        <f t="shared" si="13"/>
        <v>-20</v>
      </c>
      <c r="AI42" s="71">
        <f t="shared" si="13"/>
        <v>-17</v>
      </c>
      <c r="AJ42" s="70">
        <f t="shared" si="13"/>
        <v>-19</v>
      </c>
      <c r="AK42" s="70">
        <f t="shared" si="13"/>
        <v>-16</v>
      </c>
      <c r="AL42" s="70">
        <f t="shared" si="13"/>
        <v>-12</v>
      </c>
      <c r="AM42" s="242">
        <f t="shared" si="13"/>
        <v>-16</v>
      </c>
      <c r="AN42" s="242">
        <f t="shared" si="13"/>
        <v>-21</v>
      </c>
      <c r="AO42" s="69"/>
      <c r="AP42" s="171"/>
    </row>
    <row r="43" spans="1:42" x14ac:dyDescent="0.25">
      <c r="A43" s="4"/>
      <c r="B43" s="35" t="s">
        <v>40</v>
      </c>
      <c r="C43" s="131">
        <v>0</v>
      </c>
      <c r="D43" s="71">
        <v>0</v>
      </c>
      <c r="E43" s="71">
        <v>0</v>
      </c>
      <c r="F43" s="71">
        <v>0</v>
      </c>
      <c r="G43" s="71">
        <v>0</v>
      </c>
      <c r="H43" s="71">
        <v>0</v>
      </c>
      <c r="I43" s="71">
        <v>1</v>
      </c>
      <c r="J43" s="71">
        <v>0</v>
      </c>
      <c r="K43" s="71">
        <v>1</v>
      </c>
      <c r="L43" s="162">
        <v>0</v>
      </c>
      <c r="M43" s="71">
        <v>1</v>
      </c>
      <c r="N43" s="71">
        <v>1</v>
      </c>
      <c r="O43" s="71">
        <v>0</v>
      </c>
      <c r="P43" s="71">
        <v>0</v>
      </c>
      <c r="Q43" s="71">
        <v>3</v>
      </c>
      <c r="R43" s="71">
        <v>4</v>
      </c>
      <c r="S43" s="71">
        <v>1</v>
      </c>
      <c r="T43" s="71">
        <v>2</v>
      </c>
      <c r="U43" s="71">
        <v>1</v>
      </c>
      <c r="V43" s="71">
        <v>1</v>
      </c>
      <c r="W43" s="71">
        <v>1</v>
      </c>
      <c r="X43" s="162">
        <v>0</v>
      </c>
      <c r="Y43" s="71">
        <v>1</v>
      </c>
      <c r="Z43" s="71">
        <v>0</v>
      </c>
      <c r="AA43" s="71"/>
      <c r="AB43" s="71"/>
      <c r="AC43" s="162"/>
      <c r="AD43" s="71">
        <f t="shared" si="13"/>
        <v>0</v>
      </c>
      <c r="AE43" s="71">
        <f t="shared" si="13"/>
        <v>0</v>
      </c>
      <c r="AF43" s="71">
        <f t="shared" si="13"/>
        <v>-3</v>
      </c>
      <c r="AG43" s="71">
        <f t="shared" si="13"/>
        <v>-4</v>
      </c>
      <c r="AH43" s="71">
        <f t="shared" si="13"/>
        <v>-1</v>
      </c>
      <c r="AI43" s="71">
        <f t="shared" si="13"/>
        <v>-2</v>
      </c>
      <c r="AJ43" s="70">
        <f t="shared" si="13"/>
        <v>0</v>
      </c>
      <c r="AK43" s="70">
        <f t="shared" si="13"/>
        <v>-1</v>
      </c>
      <c r="AL43" s="70">
        <f t="shared" si="13"/>
        <v>0</v>
      </c>
      <c r="AM43" s="242">
        <f t="shared" si="13"/>
        <v>0</v>
      </c>
      <c r="AN43" s="242">
        <f t="shared" si="13"/>
        <v>0</v>
      </c>
      <c r="AO43" s="69"/>
      <c r="AP43" s="171"/>
    </row>
    <row r="44" spans="1:42" x14ac:dyDescent="0.25">
      <c r="A44" s="4"/>
      <c r="B44" s="35" t="s">
        <v>41</v>
      </c>
      <c r="C44" s="131">
        <f>SUM(C37:C43)</f>
        <v>7919</v>
      </c>
      <c r="D44" s="71">
        <f>SUM(D37:D43)</f>
        <v>9129</v>
      </c>
      <c r="E44" s="71">
        <f t="shared" ref="E44:AK44" si="14">SUM(E37:E43)</f>
        <v>9359</v>
      </c>
      <c r="F44" s="71">
        <f t="shared" si="14"/>
        <v>11166</v>
      </c>
      <c r="G44" s="71">
        <f t="shared" si="14"/>
        <v>12015</v>
      </c>
      <c r="H44" s="71">
        <f t="shared" si="14"/>
        <v>12307</v>
      </c>
      <c r="I44" s="71">
        <f t="shared" si="14"/>
        <v>12126</v>
      </c>
      <c r="J44" s="71">
        <f t="shared" si="14"/>
        <v>11497</v>
      </c>
      <c r="K44" s="71">
        <f t="shared" si="14"/>
        <v>11283</v>
      </c>
      <c r="L44" s="162">
        <f t="shared" si="14"/>
        <v>10017</v>
      </c>
      <c r="M44" s="71">
        <f t="shared" si="14"/>
        <v>8779</v>
      </c>
      <c r="N44" s="71">
        <f t="shared" si="14"/>
        <v>8825</v>
      </c>
      <c r="O44" s="71">
        <f t="shared" si="14"/>
        <v>9820</v>
      </c>
      <c r="P44" s="71">
        <f t="shared" si="14"/>
        <v>11091</v>
      </c>
      <c r="Q44" s="71">
        <f t="shared" si="14"/>
        <v>11872</v>
      </c>
      <c r="R44" s="71">
        <f t="shared" si="14"/>
        <v>11054</v>
      </c>
      <c r="S44" s="71">
        <f t="shared" si="14"/>
        <v>12310</v>
      </c>
      <c r="T44" s="71">
        <f t="shared" si="14"/>
        <v>12335</v>
      </c>
      <c r="U44" s="172">
        <f t="shared" si="14"/>
        <v>12985</v>
      </c>
      <c r="V44" s="172">
        <f t="shared" si="14"/>
        <v>12699</v>
      </c>
      <c r="W44" s="172">
        <f t="shared" ref="W44:Z44" si="15">SUM(W37:W43)</f>
        <v>12825</v>
      </c>
      <c r="X44" s="162">
        <f t="shared" si="15"/>
        <v>12713</v>
      </c>
      <c r="Y44" s="162">
        <f t="shared" si="15"/>
        <v>12730</v>
      </c>
      <c r="Z44" s="162">
        <f t="shared" si="15"/>
        <v>11909</v>
      </c>
      <c r="AA44" s="251"/>
      <c r="AB44" s="251"/>
      <c r="AC44" s="162"/>
      <c r="AD44" s="71">
        <f t="shared" si="14"/>
        <v>-1901</v>
      </c>
      <c r="AE44" s="71">
        <f t="shared" si="14"/>
        <v>-1962</v>
      </c>
      <c r="AF44" s="71">
        <f t="shared" si="14"/>
        <v>-2513</v>
      </c>
      <c r="AG44" s="71">
        <f t="shared" si="14"/>
        <v>112</v>
      </c>
      <c r="AH44" s="71">
        <f t="shared" si="14"/>
        <v>-295</v>
      </c>
      <c r="AI44" s="71">
        <f t="shared" si="14"/>
        <v>-28</v>
      </c>
      <c r="AJ44" s="70">
        <f t="shared" si="14"/>
        <v>-859</v>
      </c>
      <c r="AK44" s="70">
        <f t="shared" si="14"/>
        <v>-1202</v>
      </c>
      <c r="AL44" s="70">
        <f t="shared" ref="AL44:AN44" si="16">SUM(AL37:AL43)</f>
        <v>-1542</v>
      </c>
      <c r="AM44" s="242">
        <f t="shared" si="16"/>
        <v>-2696</v>
      </c>
      <c r="AN44" s="242">
        <f t="shared" si="16"/>
        <v>-3951</v>
      </c>
      <c r="AO44" s="69"/>
      <c r="AP44" s="171"/>
    </row>
    <row r="45" spans="1:42" x14ac:dyDescent="0.25">
      <c r="A45" s="4">
        <f>+A36+1</f>
        <v>5</v>
      </c>
      <c r="B45" s="42" t="s">
        <v>23</v>
      </c>
      <c r="C45" s="131"/>
      <c r="D45" s="71"/>
      <c r="E45" s="71"/>
      <c r="F45" s="71"/>
      <c r="G45" s="71"/>
      <c r="H45" s="71"/>
      <c r="I45" s="71"/>
      <c r="J45" s="71"/>
      <c r="K45" s="71"/>
      <c r="L45" s="162"/>
      <c r="M45" s="71"/>
      <c r="N45" s="71"/>
      <c r="O45" s="71"/>
      <c r="P45" s="71"/>
      <c r="Q45" s="71"/>
      <c r="R45" s="71"/>
      <c r="S45" s="71"/>
      <c r="T45" s="71"/>
      <c r="U45" s="172"/>
      <c r="V45" s="251"/>
      <c r="W45" s="251"/>
      <c r="X45" s="162"/>
      <c r="Y45" s="251"/>
      <c r="Z45" s="251"/>
      <c r="AA45" s="251"/>
      <c r="AB45" s="251"/>
      <c r="AC45" s="162"/>
      <c r="AD45" s="71"/>
      <c r="AE45" s="71"/>
      <c r="AF45" s="71"/>
      <c r="AG45" s="71"/>
      <c r="AH45" s="71"/>
      <c r="AI45" s="71"/>
      <c r="AJ45" s="70"/>
      <c r="AK45" s="313"/>
      <c r="AL45" s="313"/>
      <c r="AM45" s="313"/>
      <c r="AN45" s="427"/>
      <c r="AO45" s="69"/>
      <c r="AP45" s="171"/>
    </row>
    <row r="46" spans="1:42" x14ac:dyDescent="0.25">
      <c r="A46" s="4"/>
      <c r="B46" s="35" t="s">
        <v>60</v>
      </c>
      <c r="C46" s="131">
        <v>3667</v>
      </c>
      <c r="D46" s="71">
        <v>3500</v>
      </c>
      <c r="E46" s="71">
        <v>3951</v>
      </c>
      <c r="F46" s="71">
        <v>5033</v>
      </c>
      <c r="G46" s="71">
        <v>6056</v>
      </c>
      <c r="H46" s="71">
        <v>6331</v>
      </c>
      <c r="I46" s="71">
        <v>6164</v>
      </c>
      <c r="J46" s="71">
        <v>5868</v>
      </c>
      <c r="K46" s="71">
        <v>5709</v>
      </c>
      <c r="L46" s="162">
        <v>5403</v>
      </c>
      <c r="M46" s="71">
        <v>4593</v>
      </c>
      <c r="N46" s="71">
        <v>3723</v>
      </c>
      <c r="O46" s="71">
        <v>3891</v>
      </c>
      <c r="P46" s="71">
        <v>5009</v>
      </c>
      <c r="Q46" s="71">
        <v>5980</v>
      </c>
      <c r="R46" s="71">
        <v>7051</v>
      </c>
      <c r="S46" s="71">
        <v>7183</v>
      </c>
      <c r="T46" s="71">
        <v>7761</v>
      </c>
      <c r="U46" s="71">
        <v>7602</v>
      </c>
      <c r="V46" s="71">
        <v>7307</v>
      </c>
      <c r="W46" s="71">
        <v>7396</v>
      </c>
      <c r="X46" s="162">
        <v>7227</v>
      </c>
      <c r="Y46" s="71">
        <v>7252</v>
      </c>
      <c r="Z46" s="71">
        <f>7185</f>
        <v>7185</v>
      </c>
      <c r="AA46" s="71"/>
      <c r="AB46" s="71"/>
      <c r="AC46" s="162"/>
      <c r="AD46" s="71">
        <f t="shared" ref="AD46:AN52" si="17">C46-O46</f>
        <v>-224</v>
      </c>
      <c r="AE46" s="71">
        <f t="shared" si="17"/>
        <v>-1509</v>
      </c>
      <c r="AF46" s="71">
        <f t="shared" si="17"/>
        <v>-2029</v>
      </c>
      <c r="AG46" s="71">
        <f t="shared" si="17"/>
        <v>-2018</v>
      </c>
      <c r="AH46" s="71">
        <f t="shared" si="17"/>
        <v>-1127</v>
      </c>
      <c r="AI46" s="71">
        <f t="shared" si="17"/>
        <v>-1430</v>
      </c>
      <c r="AJ46" s="70">
        <f t="shared" si="17"/>
        <v>-1438</v>
      </c>
      <c r="AK46" s="70">
        <f t="shared" si="17"/>
        <v>-1439</v>
      </c>
      <c r="AL46" s="70">
        <f t="shared" si="17"/>
        <v>-1687</v>
      </c>
      <c r="AM46" s="242">
        <f t="shared" si="17"/>
        <v>-1824</v>
      </c>
      <c r="AN46" s="242">
        <f t="shared" si="17"/>
        <v>-2659</v>
      </c>
      <c r="AO46" s="69"/>
      <c r="AP46" s="171"/>
    </row>
    <row r="47" spans="1:42" x14ac:dyDescent="0.25">
      <c r="A47" s="4"/>
      <c r="B47" s="35" t="s">
        <v>61</v>
      </c>
      <c r="C47" s="131"/>
      <c r="D47" s="71"/>
      <c r="E47" s="71"/>
      <c r="F47" s="71"/>
      <c r="G47" s="71"/>
      <c r="H47" s="71"/>
      <c r="I47" s="71"/>
      <c r="J47" s="71"/>
      <c r="K47" s="71"/>
      <c r="L47" s="162"/>
      <c r="M47" s="71"/>
      <c r="N47" s="71"/>
      <c r="O47" s="71"/>
      <c r="P47" s="71"/>
      <c r="Q47" s="71"/>
      <c r="R47" s="71"/>
      <c r="S47" s="71"/>
      <c r="T47" s="71"/>
      <c r="U47" s="71"/>
      <c r="V47" s="71"/>
      <c r="W47" s="71">
        <v>16</v>
      </c>
      <c r="X47" s="162">
        <v>5</v>
      </c>
      <c r="Y47" s="71">
        <v>4</v>
      </c>
      <c r="Z47" s="71">
        <v>0</v>
      </c>
      <c r="AA47" s="71"/>
      <c r="AB47" s="71"/>
      <c r="AC47" s="162"/>
      <c r="AD47" s="71">
        <f t="shared" si="17"/>
        <v>0</v>
      </c>
      <c r="AE47" s="71">
        <f t="shared" si="17"/>
        <v>0</v>
      </c>
      <c r="AF47" s="71">
        <f t="shared" si="17"/>
        <v>0</v>
      </c>
      <c r="AG47" s="71">
        <f t="shared" si="17"/>
        <v>0</v>
      </c>
      <c r="AH47" s="71">
        <f t="shared" si="17"/>
        <v>0</v>
      </c>
      <c r="AI47" s="71">
        <f t="shared" si="17"/>
        <v>0</v>
      </c>
      <c r="AJ47" s="70">
        <f t="shared" si="17"/>
        <v>0</v>
      </c>
      <c r="AK47" s="70">
        <f t="shared" si="17"/>
        <v>0</v>
      </c>
      <c r="AL47" s="70">
        <f t="shared" si="17"/>
        <v>-16</v>
      </c>
      <c r="AM47" s="242">
        <f t="shared" si="17"/>
        <v>-5</v>
      </c>
      <c r="AN47" s="242">
        <f t="shared" si="17"/>
        <v>-4</v>
      </c>
      <c r="AO47" s="69"/>
      <c r="AP47" s="171"/>
    </row>
    <row r="48" spans="1:42" x14ac:dyDescent="0.25">
      <c r="A48" s="4"/>
      <c r="B48" s="35" t="s">
        <v>62</v>
      </c>
      <c r="C48" s="131">
        <v>2373</v>
      </c>
      <c r="D48" s="71">
        <v>1959</v>
      </c>
      <c r="E48" s="71">
        <v>1660</v>
      </c>
      <c r="F48" s="71">
        <v>2110</v>
      </c>
      <c r="G48" s="71">
        <v>2505</v>
      </c>
      <c r="H48" s="71">
        <v>3908</v>
      </c>
      <c r="I48" s="71">
        <v>3978</v>
      </c>
      <c r="J48" s="71">
        <v>3934</v>
      </c>
      <c r="K48" s="71">
        <v>3764</v>
      </c>
      <c r="L48" s="162">
        <v>3013</v>
      </c>
      <c r="M48" s="71">
        <v>2380</v>
      </c>
      <c r="N48" s="71">
        <v>2273</v>
      </c>
      <c r="O48" s="71">
        <v>2122</v>
      </c>
      <c r="P48" s="71">
        <v>2311</v>
      </c>
      <c r="Q48" s="71">
        <v>2316</v>
      </c>
      <c r="R48" s="71">
        <v>1208</v>
      </c>
      <c r="S48" s="71">
        <v>1126</v>
      </c>
      <c r="T48" s="71">
        <v>2721</v>
      </c>
      <c r="U48" s="71">
        <v>3075</v>
      </c>
      <c r="V48" s="71">
        <v>3331</v>
      </c>
      <c r="W48" s="71">
        <v>3647</v>
      </c>
      <c r="X48" s="162">
        <v>3528</v>
      </c>
      <c r="Y48" s="71">
        <v>3651</v>
      </c>
      <c r="Z48" s="71">
        <v>3686</v>
      </c>
      <c r="AA48" s="71"/>
      <c r="AB48" s="71"/>
      <c r="AC48" s="162"/>
      <c r="AD48" s="71">
        <f t="shared" si="17"/>
        <v>251</v>
      </c>
      <c r="AE48" s="71">
        <f t="shared" si="17"/>
        <v>-352</v>
      </c>
      <c r="AF48" s="71">
        <f t="shared" si="17"/>
        <v>-656</v>
      </c>
      <c r="AG48" s="71">
        <f t="shared" si="17"/>
        <v>902</v>
      </c>
      <c r="AH48" s="71">
        <f t="shared" si="17"/>
        <v>1379</v>
      </c>
      <c r="AI48" s="71">
        <f t="shared" si="17"/>
        <v>1187</v>
      </c>
      <c r="AJ48" s="70">
        <f t="shared" si="17"/>
        <v>903</v>
      </c>
      <c r="AK48" s="70">
        <f t="shared" si="17"/>
        <v>603</v>
      </c>
      <c r="AL48" s="70">
        <f t="shared" si="17"/>
        <v>117</v>
      </c>
      <c r="AM48" s="242">
        <f t="shared" si="17"/>
        <v>-515</v>
      </c>
      <c r="AN48" s="242">
        <f t="shared" si="17"/>
        <v>-1271</v>
      </c>
      <c r="AO48" s="69"/>
      <c r="AP48" s="171"/>
    </row>
    <row r="49" spans="1:47" x14ac:dyDescent="0.25">
      <c r="A49" s="4"/>
      <c r="B49" s="35" t="s">
        <v>63</v>
      </c>
      <c r="C49" s="337"/>
      <c r="D49" s="71"/>
      <c r="E49" s="71"/>
      <c r="F49" s="71"/>
      <c r="G49" s="71"/>
      <c r="H49" s="71"/>
      <c r="I49" s="71"/>
      <c r="J49" s="71"/>
      <c r="K49" s="71"/>
      <c r="L49" s="162"/>
      <c r="M49" s="71"/>
      <c r="N49" s="71"/>
      <c r="O49" s="71"/>
      <c r="P49" s="71"/>
      <c r="Q49" s="71"/>
      <c r="R49" s="71"/>
      <c r="S49" s="71"/>
      <c r="T49" s="71"/>
      <c r="U49" s="71"/>
      <c r="V49" s="71"/>
      <c r="W49" s="71">
        <v>0</v>
      </c>
      <c r="X49" s="162">
        <v>0</v>
      </c>
      <c r="Y49" s="71">
        <v>0</v>
      </c>
      <c r="Z49" s="71">
        <v>0</v>
      </c>
      <c r="AA49" s="71"/>
      <c r="AB49" s="71"/>
      <c r="AC49" s="162"/>
      <c r="AD49" s="71">
        <f t="shared" si="17"/>
        <v>0</v>
      </c>
      <c r="AE49" s="71">
        <f t="shared" si="17"/>
        <v>0</v>
      </c>
      <c r="AF49" s="71">
        <f t="shared" si="17"/>
        <v>0</v>
      </c>
      <c r="AG49" s="71">
        <f t="shared" si="17"/>
        <v>0</v>
      </c>
      <c r="AH49" s="71">
        <f t="shared" si="17"/>
        <v>0</v>
      </c>
      <c r="AI49" s="71">
        <f t="shared" si="17"/>
        <v>0</v>
      </c>
      <c r="AJ49" s="70">
        <f t="shared" si="17"/>
        <v>0</v>
      </c>
      <c r="AK49" s="70">
        <f t="shared" si="17"/>
        <v>0</v>
      </c>
      <c r="AL49" s="70">
        <f t="shared" si="17"/>
        <v>0</v>
      </c>
      <c r="AM49" s="242">
        <f t="shared" si="17"/>
        <v>0</v>
      </c>
      <c r="AN49" s="242">
        <f t="shared" si="17"/>
        <v>0</v>
      </c>
      <c r="AO49" s="69"/>
      <c r="AP49" s="171"/>
    </row>
    <row r="50" spans="1:47" x14ac:dyDescent="0.25">
      <c r="A50" s="4"/>
      <c r="B50" s="35" t="s">
        <v>38</v>
      </c>
      <c r="C50" s="203">
        <v>93</v>
      </c>
      <c r="D50" s="71">
        <v>106</v>
      </c>
      <c r="E50" s="71">
        <v>146</v>
      </c>
      <c r="F50" s="71">
        <v>157</v>
      </c>
      <c r="G50" s="71">
        <v>186</v>
      </c>
      <c r="H50" s="71">
        <v>205</v>
      </c>
      <c r="I50" s="71">
        <v>203</v>
      </c>
      <c r="J50" s="71">
        <v>153</v>
      </c>
      <c r="K50" s="71">
        <v>160</v>
      </c>
      <c r="L50" s="162">
        <v>153</v>
      </c>
      <c r="M50" s="71">
        <v>165</v>
      </c>
      <c r="N50" s="71">
        <v>113</v>
      </c>
      <c r="O50" s="71">
        <v>128</v>
      </c>
      <c r="P50" s="71">
        <v>181</v>
      </c>
      <c r="Q50" s="71">
        <v>257</v>
      </c>
      <c r="R50" s="71">
        <v>275</v>
      </c>
      <c r="S50" s="71">
        <v>277</v>
      </c>
      <c r="T50" s="71">
        <v>249</v>
      </c>
      <c r="U50" s="71">
        <v>217</v>
      </c>
      <c r="V50" s="71">
        <v>212</v>
      </c>
      <c r="W50" s="71">
        <v>247</v>
      </c>
      <c r="X50" s="162">
        <v>274</v>
      </c>
      <c r="Y50" s="71">
        <v>265</v>
      </c>
      <c r="Z50" s="71">
        <v>220</v>
      </c>
      <c r="AA50" s="71"/>
      <c r="AB50" s="71"/>
      <c r="AC50" s="162"/>
      <c r="AD50" s="71">
        <f>C32-O50</f>
        <v>419</v>
      </c>
      <c r="AE50" s="71">
        <f t="shared" ref="AE50:AM52" si="18">D50-P50</f>
        <v>-75</v>
      </c>
      <c r="AF50" s="71">
        <f t="shared" si="18"/>
        <v>-111</v>
      </c>
      <c r="AG50" s="71">
        <f t="shared" si="18"/>
        <v>-118</v>
      </c>
      <c r="AH50" s="71">
        <f t="shared" si="18"/>
        <v>-91</v>
      </c>
      <c r="AI50" s="71">
        <f t="shared" si="18"/>
        <v>-44</v>
      </c>
      <c r="AJ50" s="70">
        <f t="shared" si="18"/>
        <v>-14</v>
      </c>
      <c r="AK50" s="70">
        <f t="shared" si="18"/>
        <v>-59</v>
      </c>
      <c r="AL50" s="70">
        <f t="shared" si="18"/>
        <v>-87</v>
      </c>
      <c r="AM50" s="242">
        <f t="shared" si="18"/>
        <v>-121</v>
      </c>
      <c r="AN50" s="242">
        <f t="shared" si="17"/>
        <v>-100</v>
      </c>
      <c r="AO50" s="69"/>
      <c r="AP50" s="171"/>
    </row>
    <row r="51" spans="1:47" x14ac:dyDescent="0.25">
      <c r="A51" s="4"/>
      <c r="B51" s="35" t="s">
        <v>39</v>
      </c>
      <c r="C51" s="203">
        <v>6</v>
      </c>
      <c r="D51" s="71">
        <v>6</v>
      </c>
      <c r="E51" s="71">
        <v>7</v>
      </c>
      <c r="F51" s="71">
        <v>9</v>
      </c>
      <c r="G51" s="71">
        <v>11</v>
      </c>
      <c r="H51" s="71">
        <v>15</v>
      </c>
      <c r="I51" s="71">
        <v>14</v>
      </c>
      <c r="J51" s="71">
        <v>12</v>
      </c>
      <c r="K51" s="71">
        <v>12</v>
      </c>
      <c r="L51" s="162">
        <v>6</v>
      </c>
      <c r="M51" s="71">
        <v>4</v>
      </c>
      <c r="N51" s="71">
        <v>3</v>
      </c>
      <c r="O51" s="71">
        <v>2</v>
      </c>
      <c r="P51" s="71">
        <v>16</v>
      </c>
      <c r="Q51" s="71">
        <v>29</v>
      </c>
      <c r="R51" s="71">
        <v>34</v>
      </c>
      <c r="S51" s="71">
        <v>37</v>
      </c>
      <c r="T51" s="71">
        <v>33</v>
      </c>
      <c r="U51" s="71">
        <v>31</v>
      </c>
      <c r="V51" s="71">
        <v>28</v>
      </c>
      <c r="W51" s="71">
        <v>24</v>
      </c>
      <c r="X51" s="162">
        <v>18</v>
      </c>
      <c r="Y51" s="71">
        <v>18</v>
      </c>
      <c r="Z51" s="71">
        <v>17</v>
      </c>
      <c r="AA51" s="71"/>
      <c r="AB51" s="71"/>
      <c r="AC51" s="162"/>
      <c r="AD51" s="71">
        <f>C33-O51</f>
        <v>61</v>
      </c>
      <c r="AE51" s="71">
        <f t="shared" si="18"/>
        <v>-10</v>
      </c>
      <c r="AF51" s="71">
        <f t="shared" si="18"/>
        <v>-22</v>
      </c>
      <c r="AG51" s="71">
        <f t="shared" si="18"/>
        <v>-25</v>
      </c>
      <c r="AH51" s="71">
        <f t="shared" si="18"/>
        <v>-26</v>
      </c>
      <c r="AI51" s="71">
        <f t="shared" si="18"/>
        <v>-18</v>
      </c>
      <c r="AJ51" s="70">
        <f t="shared" si="18"/>
        <v>-17</v>
      </c>
      <c r="AK51" s="70">
        <f t="shared" si="18"/>
        <v>-16</v>
      </c>
      <c r="AL51" s="70">
        <f t="shared" si="18"/>
        <v>-12</v>
      </c>
      <c r="AM51" s="242">
        <f t="shared" si="18"/>
        <v>-12</v>
      </c>
      <c r="AN51" s="242">
        <f t="shared" si="17"/>
        <v>-14</v>
      </c>
      <c r="AO51" s="69"/>
      <c r="AP51" s="171"/>
    </row>
    <row r="52" spans="1:47" x14ac:dyDescent="0.25">
      <c r="A52" s="4"/>
      <c r="B52" s="35" t="s">
        <v>40</v>
      </c>
      <c r="C52" s="131">
        <v>0</v>
      </c>
      <c r="D52" s="71">
        <v>0</v>
      </c>
      <c r="E52" s="71">
        <v>0</v>
      </c>
      <c r="F52" s="71">
        <v>0</v>
      </c>
      <c r="G52" s="71">
        <v>0</v>
      </c>
      <c r="H52" s="71">
        <v>0</v>
      </c>
      <c r="I52" s="71">
        <v>0</v>
      </c>
      <c r="J52" s="71">
        <v>0</v>
      </c>
      <c r="K52" s="71">
        <v>0</v>
      </c>
      <c r="L52" s="162">
        <v>1</v>
      </c>
      <c r="M52" s="71">
        <v>1</v>
      </c>
      <c r="N52" s="71">
        <v>1</v>
      </c>
      <c r="O52" s="71">
        <v>0</v>
      </c>
      <c r="P52" s="71">
        <v>0</v>
      </c>
      <c r="Q52" s="71">
        <v>0</v>
      </c>
      <c r="R52" s="71">
        <v>2</v>
      </c>
      <c r="S52" s="71">
        <v>2</v>
      </c>
      <c r="T52" s="71">
        <v>1</v>
      </c>
      <c r="U52" s="71">
        <v>1</v>
      </c>
      <c r="V52" s="71">
        <v>1</v>
      </c>
      <c r="W52" s="71">
        <v>1</v>
      </c>
      <c r="X52" s="162">
        <v>0</v>
      </c>
      <c r="Y52" s="71">
        <v>0</v>
      </c>
      <c r="Z52" s="71">
        <v>0</v>
      </c>
      <c r="AA52" s="71"/>
      <c r="AB52" s="71"/>
      <c r="AC52" s="162"/>
      <c r="AD52" s="71">
        <f>C52-O52</f>
        <v>0</v>
      </c>
      <c r="AE52" s="71">
        <f t="shared" si="18"/>
        <v>0</v>
      </c>
      <c r="AF52" s="71">
        <f t="shared" si="18"/>
        <v>0</v>
      </c>
      <c r="AG52" s="71">
        <f t="shared" si="18"/>
        <v>-2</v>
      </c>
      <c r="AH52" s="71">
        <f t="shared" si="18"/>
        <v>-2</v>
      </c>
      <c r="AI52" s="71">
        <f t="shared" si="18"/>
        <v>-1</v>
      </c>
      <c r="AJ52" s="70">
        <f t="shared" si="18"/>
        <v>-1</v>
      </c>
      <c r="AK52" s="70">
        <f t="shared" si="18"/>
        <v>-1</v>
      </c>
      <c r="AL52" s="70">
        <f t="shared" si="18"/>
        <v>-1</v>
      </c>
      <c r="AM52" s="242">
        <f t="shared" si="18"/>
        <v>1</v>
      </c>
      <c r="AN52" s="242">
        <f t="shared" si="17"/>
        <v>1</v>
      </c>
      <c r="AO52" s="69"/>
      <c r="AP52" s="171"/>
    </row>
    <row r="53" spans="1:47" ht="15.75" thickBot="1" x14ac:dyDescent="0.3">
      <c r="A53" s="4"/>
      <c r="B53" s="37" t="s">
        <v>41</v>
      </c>
      <c r="C53" s="122">
        <f>SUM(C46:C52)</f>
        <v>6139</v>
      </c>
      <c r="D53" s="60">
        <f>SUM(D46:D52)</f>
        <v>5571</v>
      </c>
      <c r="E53" s="60">
        <f t="shared" ref="E53:AK53" si="19">SUM(E46:E52)</f>
        <v>5764</v>
      </c>
      <c r="F53" s="60">
        <f t="shared" si="19"/>
        <v>7309</v>
      </c>
      <c r="G53" s="60">
        <f t="shared" si="19"/>
        <v>8758</v>
      </c>
      <c r="H53" s="60">
        <f t="shared" si="19"/>
        <v>10459</v>
      </c>
      <c r="I53" s="60">
        <f t="shared" si="19"/>
        <v>10359</v>
      </c>
      <c r="J53" s="60">
        <f t="shared" si="19"/>
        <v>9967</v>
      </c>
      <c r="K53" s="60">
        <f t="shared" si="19"/>
        <v>9645</v>
      </c>
      <c r="L53" s="163">
        <f t="shared" si="19"/>
        <v>8576</v>
      </c>
      <c r="M53" s="60">
        <f t="shared" si="19"/>
        <v>7143</v>
      </c>
      <c r="N53" s="60">
        <f t="shared" si="19"/>
        <v>6113</v>
      </c>
      <c r="O53" s="60">
        <f t="shared" si="19"/>
        <v>6143</v>
      </c>
      <c r="P53" s="60">
        <f t="shared" si="19"/>
        <v>7517</v>
      </c>
      <c r="Q53" s="60">
        <f t="shared" si="19"/>
        <v>8582</v>
      </c>
      <c r="R53" s="60">
        <f t="shared" si="19"/>
        <v>8570</v>
      </c>
      <c r="S53" s="60">
        <f t="shared" si="19"/>
        <v>8625</v>
      </c>
      <c r="T53" s="60">
        <f t="shared" si="19"/>
        <v>10765</v>
      </c>
      <c r="U53" s="173">
        <f t="shared" si="19"/>
        <v>10926</v>
      </c>
      <c r="V53" s="173">
        <f t="shared" si="19"/>
        <v>10879</v>
      </c>
      <c r="W53" s="173">
        <f t="shared" ref="W53:Z53" si="20">SUM(W46:W52)</f>
        <v>11331</v>
      </c>
      <c r="X53" s="163">
        <f t="shared" si="20"/>
        <v>11052</v>
      </c>
      <c r="Y53" s="163">
        <f t="shared" si="20"/>
        <v>11190</v>
      </c>
      <c r="Z53" s="163">
        <f t="shared" si="20"/>
        <v>11108</v>
      </c>
      <c r="AA53" s="252"/>
      <c r="AB53" s="252"/>
      <c r="AC53" s="163"/>
      <c r="AD53" s="60">
        <f t="shared" si="19"/>
        <v>507</v>
      </c>
      <c r="AE53" s="60">
        <f t="shared" si="19"/>
        <v>-1946</v>
      </c>
      <c r="AF53" s="60">
        <f t="shared" si="19"/>
        <v>-2818</v>
      </c>
      <c r="AG53" s="60">
        <f t="shared" si="19"/>
        <v>-1261</v>
      </c>
      <c r="AH53" s="60">
        <f t="shared" si="19"/>
        <v>133</v>
      </c>
      <c r="AI53" s="60">
        <f t="shared" si="19"/>
        <v>-306</v>
      </c>
      <c r="AJ53" s="59">
        <f t="shared" si="19"/>
        <v>-567</v>
      </c>
      <c r="AK53" s="59">
        <f t="shared" si="19"/>
        <v>-912</v>
      </c>
      <c r="AL53" s="59">
        <f t="shared" ref="AL53:AN53" si="21">SUM(AL46:AL52)</f>
        <v>-1686</v>
      </c>
      <c r="AM53" s="262">
        <f t="shared" si="21"/>
        <v>-2476</v>
      </c>
      <c r="AN53" s="262">
        <f t="shared" si="21"/>
        <v>-4047</v>
      </c>
      <c r="AO53" s="69"/>
      <c r="AP53" s="171"/>
    </row>
    <row r="54" spans="1:47" x14ac:dyDescent="0.25">
      <c r="A54" s="4">
        <f>+A45+1</f>
        <v>6</v>
      </c>
      <c r="B54" s="41" t="s">
        <v>29</v>
      </c>
      <c r="C54" s="154"/>
      <c r="D54" s="76"/>
      <c r="E54" s="76"/>
      <c r="F54" s="76"/>
      <c r="G54" s="76"/>
      <c r="H54" s="76"/>
      <c r="I54" s="76"/>
      <c r="J54" s="76"/>
      <c r="K54" s="76"/>
      <c r="L54" s="164"/>
      <c r="M54" s="76"/>
      <c r="N54" s="76"/>
      <c r="O54" s="76"/>
      <c r="P54" s="76"/>
      <c r="Q54" s="76"/>
      <c r="R54" s="76"/>
      <c r="S54" s="76"/>
      <c r="T54" s="76"/>
      <c r="U54" s="174"/>
      <c r="V54" s="321"/>
      <c r="W54" s="321"/>
      <c r="X54" s="164"/>
      <c r="Y54" s="321"/>
      <c r="Z54" s="321"/>
      <c r="AA54" s="321"/>
      <c r="AB54" s="321"/>
      <c r="AC54" s="164"/>
      <c r="AD54" s="76"/>
      <c r="AE54" s="76"/>
      <c r="AF54" s="76"/>
      <c r="AG54" s="76"/>
      <c r="AH54" s="76"/>
      <c r="AI54" s="76"/>
      <c r="AJ54" s="75"/>
      <c r="AK54" s="314"/>
      <c r="AL54" s="314"/>
      <c r="AM54" s="314"/>
      <c r="AN54" s="429"/>
      <c r="AO54" s="77"/>
      <c r="AP54" s="189"/>
    </row>
    <row r="55" spans="1:47" x14ac:dyDescent="0.25">
      <c r="A55" s="4"/>
      <c r="B55" s="35" t="s">
        <v>60</v>
      </c>
      <c r="C55" s="108">
        <v>1821026</v>
      </c>
      <c r="D55" s="79">
        <v>1650998.76</v>
      </c>
      <c r="E55" s="79">
        <v>1176663.68</v>
      </c>
      <c r="F55" s="79">
        <v>669517.34</v>
      </c>
      <c r="G55" s="79">
        <v>380798</v>
      </c>
      <c r="H55" s="79">
        <v>295353.48</v>
      </c>
      <c r="I55" s="79">
        <v>256996.49</v>
      </c>
      <c r="J55" s="79">
        <v>252061.12</v>
      </c>
      <c r="K55" s="79">
        <v>280220.07</v>
      </c>
      <c r="L55" s="110">
        <v>637757.55000000005</v>
      </c>
      <c r="M55" s="79">
        <v>1216950.5900000001</v>
      </c>
      <c r="N55" s="79">
        <v>1662894.85</v>
      </c>
      <c r="O55" s="79">
        <v>1628760.39</v>
      </c>
      <c r="P55" s="79">
        <v>1498127.82</v>
      </c>
      <c r="Q55" s="79">
        <v>1326257.92</v>
      </c>
      <c r="R55" s="79">
        <v>968907.04</v>
      </c>
      <c r="S55" s="79">
        <v>392634.33</v>
      </c>
      <c r="T55" s="79">
        <v>321005.89</v>
      </c>
      <c r="U55" s="79">
        <v>331676.33</v>
      </c>
      <c r="V55" s="79">
        <v>289679.82</v>
      </c>
      <c r="W55" s="79">
        <v>380477.25</v>
      </c>
      <c r="X55" s="110">
        <v>661772.88</v>
      </c>
      <c r="Y55" s="79">
        <v>1203619.93</v>
      </c>
      <c r="Z55" s="79">
        <f>2176372.8-25961.15</f>
        <v>2150411.65</v>
      </c>
      <c r="AA55" s="79"/>
      <c r="AB55" s="79"/>
      <c r="AC55" s="110"/>
      <c r="AD55" s="79">
        <f t="shared" ref="AD55:AN61" si="22">C55-O55</f>
        <v>192265.6100000001</v>
      </c>
      <c r="AE55" s="79">
        <f t="shared" si="22"/>
        <v>152870.93999999994</v>
      </c>
      <c r="AF55" s="79">
        <f t="shared" si="22"/>
        <v>-149594.23999999999</v>
      </c>
      <c r="AG55" s="79">
        <f t="shared" si="22"/>
        <v>-299389.70000000007</v>
      </c>
      <c r="AH55" s="79">
        <f t="shared" si="22"/>
        <v>-11836.330000000016</v>
      </c>
      <c r="AI55" s="79">
        <f t="shared" si="22"/>
        <v>-25652.410000000033</v>
      </c>
      <c r="AJ55" s="78">
        <f t="shared" si="22"/>
        <v>-74679.840000000026</v>
      </c>
      <c r="AK55" s="78">
        <f t="shared" si="22"/>
        <v>-37618.700000000012</v>
      </c>
      <c r="AL55" s="78">
        <f t="shared" si="22"/>
        <v>-100257.18</v>
      </c>
      <c r="AM55" s="254">
        <f t="shared" si="22"/>
        <v>-24015.329999999958</v>
      </c>
      <c r="AN55" s="254">
        <f t="shared" si="22"/>
        <v>13330.660000000149</v>
      </c>
      <c r="AO55" s="77"/>
      <c r="AP55" s="189"/>
      <c r="AR55" s="239">
        <v>43970</v>
      </c>
      <c r="AS55" s="239">
        <v>43971</v>
      </c>
    </row>
    <row r="56" spans="1:47" x14ac:dyDescent="0.25">
      <c r="A56" s="4"/>
      <c r="B56" s="35" t="s">
        <v>61</v>
      </c>
      <c r="C56" s="108"/>
      <c r="D56" s="79"/>
      <c r="E56" s="79"/>
      <c r="F56" s="79"/>
      <c r="G56" s="79"/>
      <c r="H56" s="79"/>
      <c r="I56" s="79"/>
      <c r="J56" s="79"/>
      <c r="K56" s="79"/>
      <c r="L56" s="110"/>
      <c r="M56" s="79"/>
      <c r="N56" s="79"/>
      <c r="O56" s="79"/>
      <c r="P56" s="79"/>
      <c r="Q56" s="79"/>
      <c r="R56" s="79"/>
      <c r="S56" s="79"/>
      <c r="T56" s="79"/>
      <c r="U56" s="79"/>
      <c r="V56" s="79"/>
      <c r="W56" s="79">
        <v>2181.7800000000002</v>
      </c>
      <c r="X56" s="110">
        <v>10877.79</v>
      </c>
      <c r="Y56" s="79">
        <v>18751.099999999999</v>
      </c>
      <c r="Z56" s="79">
        <v>25961.15</v>
      </c>
      <c r="AA56" s="79"/>
      <c r="AB56" s="79"/>
      <c r="AC56" s="110"/>
      <c r="AD56" s="79">
        <f t="shared" si="22"/>
        <v>0</v>
      </c>
      <c r="AE56" s="79">
        <f t="shared" si="22"/>
        <v>0</v>
      </c>
      <c r="AF56" s="79">
        <f t="shared" si="22"/>
        <v>0</v>
      </c>
      <c r="AG56" s="79">
        <f t="shared" si="22"/>
        <v>0</v>
      </c>
      <c r="AH56" s="79">
        <f t="shared" si="22"/>
        <v>0</v>
      </c>
      <c r="AI56" s="79">
        <f t="shared" si="22"/>
        <v>0</v>
      </c>
      <c r="AJ56" s="78">
        <f t="shared" si="22"/>
        <v>0</v>
      </c>
      <c r="AK56" s="78">
        <f t="shared" si="22"/>
        <v>0</v>
      </c>
      <c r="AL56" s="78">
        <f t="shared" si="22"/>
        <v>-2181.7800000000002</v>
      </c>
      <c r="AM56" s="254">
        <f t="shared" si="22"/>
        <v>-10877.79</v>
      </c>
      <c r="AN56" s="254">
        <f t="shared" si="22"/>
        <v>-18751.099999999999</v>
      </c>
      <c r="AO56" s="77"/>
      <c r="AP56" s="189"/>
      <c r="AR56" s="239"/>
      <c r="AS56" s="239"/>
    </row>
    <row r="57" spans="1:47" x14ac:dyDescent="0.25">
      <c r="A57" s="4"/>
      <c r="B57" s="35" t="s">
        <v>62</v>
      </c>
      <c r="C57" s="108">
        <v>590605.9</v>
      </c>
      <c r="D57" s="79">
        <v>500323.03</v>
      </c>
      <c r="E57" s="79">
        <v>333874.45</v>
      </c>
      <c r="F57" s="79">
        <v>211984.29</v>
      </c>
      <c r="G57" s="79">
        <v>150515.16</v>
      </c>
      <c r="H57" s="79">
        <v>117913.52</v>
      </c>
      <c r="I57" s="79">
        <v>112748.79</v>
      </c>
      <c r="J57" s="79">
        <v>117966.53</v>
      </c>
      <c r="K57" s="79">
        <v>129774.09</v>
      </c>
      <c r="L57" s="110">
        <v>268373.32</v>
      </c>
      <c r="M57" s="79">
        <v>394952.4</v>
      </c>
      <c r="N57" s="79">
        <v>414462.54</v>
      </c>
      <c r="O57" s="79">
        <v>365043.85</v>
      </c>
      <c r="P57" s="79">
        <v>405196.08</v>
      </c>
      <c r="Q57" s="79">
        <v>354244.1</v>
      </c>
      <c r="R57" s="79">
        <v>204185.13</v>
      </c>
      <c r="S57" s="79">
        <v>129915.89</v>
      </c>
      <c r="T57" s="79">
        <v>186838.2</v>
      </c>
      <c r="U57" s="79">
        <v>322511.13</v>
      </c>
      <c r="V57" s="79">
        <v>353504.64</v>
      </c>
      <c r="W57" s="79">
        <v>288567.96999999997</v>
      </c>
      <c r="X57" s="110">
        <v>293706.05</v>
      </c>
      <c r="Y57" s="79">
        <v>598931.29</v>
      </c>
      <c r="Z57" s="79">
        <v>909128.53</v>
      </c>
      <c r="AA57" s="79"/>
      <c r="AB57" s="79"/>
      <c r="AC57" s="110"/>
      <c r="AD57" s="79">
        <f t="shared" si="22"/>
        <v>225562.05000000005</v>
      </c>
      <c r="AE57" s="79">
        <f t="shared" si="22"/>
        <v>95126.950000000012</v>
      </c>
      <c r="AF57" s="79">
        <f t="shared" si="22"/>
        <v>-20369.649999999965</v>
      </c>
      <c r="AG57" s="79">
        <f t="shared" si="22"/>
        <v>7799.1600000000035</v>
      </c>
      <c r="AH57" s="79">
        <f t="shared" si="22"/>
        <v>20599.270000000004</v>
      </c>
      <c r="AI57" s="79">
        <f t="shared" si="22"/>
        <v>-68924.680000000008</v>
      </c>
      <c r="AJ57" s="78">
        <f t="shared" si="22"/>
        <v>-209762.34000000003</v>
      </c>
      <c r="AK57" s="78">
        <f t="shared" si="22"/>
        <v>-235538.11000000002</v>
      </c>
      <c r="AL57" s="78">
        <f t="shared" si="22"/>
        <v>-158793.87999999998</v>
      </c>
      <c r="AM57" s="254">
        <f t="shared" si="22"/>
        <v>-25332.729999999981</v>
      </c>
      <c r="AN57" s="254">
        <f t="shared" si="22"/>
        <v>-203978.89</v>
      </c>
      <c r="AO57" s="77"/>
      <c r="AP57" s="189"/>
      <c r="AQ57" s="2" t="s">
        <v>49</v>
      </c>
      <c r="AR57" s="238">
        <f>SUM(E55+E57+E64+E66+E73+E75)</f>
        <v>4024345.31</v>
      </c>
      <c r="AS57" s="238">
        <f>SUM(Q55+Q57+Q64+Q66+Q73+Q75)</f>
        <v>5924166.9000000004</v>
      </c>
      <c r="AT57" s="238">
        <f>AS57-AR57</f>
        <v>1899821.5900000003</v>
      </c>
      <c r="AU57" s="2">
        <f>((AT57/AR57)/2)*100</f>
        <v>23.60410754612904</v>
      </c>
    </row>
    <row r="58" spans="1:47" x14ac:dyDescent="0.25">
      <c r="A58" s="4"/>
      <c r="B58" s="35" t="s">
        <v>63</v>
      </c>
      <c r="C58" s="108"/>
      <c r="D58" s="79"/>
      <c r="E58" s="79"/>
      <c r="F58" s="79"/>
      <c r="G58" s="79"/>
      <c r="H58" s="79"/>
      <c r="I58" s="79"/>
      <c r="J58" s="79"/>
      <c r="K58" s="79"/>
      <c r="L58" s="110"/>
      <c r="M58" s="79"/>
      <c r="N58" s="79"/>
      <c r="O58" s="79"/>
      <c r="P58" s="79"/>
      <c r="Q58" s="79"/>
      <c r="R58" s="79"/>
      <c r="S58" s="79"/>
      <c r="T58" s="79"/>
      <c r="U58" s="79"/>
      <c r="V58" s="79"/>
      <c r="W58" s="79">
        <v>0</v>
      </c>
      <c r="X58" s="110">
        <v>0</v>
      </c>
      <c r="Y58" s="79">
        <v>0</v>
      </c>
      <c r="Z58" s="79">
        <v>0</v>
      </c>
      <c r="AA58" s="79"/>
      <c r="AB58" s="79"/>
      <c r="AC58" s="110"/>
      <c r="AD58" s="79">
        <f t="shared" si="22"/>
        <v>0</v>
      </c>
      <c r="AE58" s="79">
        <f t="shared" si="22"/>
        <v>0</v>
      </c>
      <c r="AF58" s="79">
        <f t="shared" si="22"/>
        <v>0</v>
      </c>
      <c r="AG58" s="79">
        <f t="shared" si="22"/>
        <v>0</v>
      </c>
      <c r="AH58" s="79">
        <f t="shared" si="22"/>
        <v>0</v>
      </c>
      <c r="AI58" s="79">
        <f t="shared" si="22"/>
        <v>0</v>
      </c>
      <c r="AJ58" s="78">
        <f t="shared" si="22"/>
        <v>0</v>
      </c>
      <c r="AK58" s="78">
        <f t="shared" si="22"/>
        <v>0</v>
      </c>
      <c r="AL58" s="78">
        <f t="shared" si="22"/>
        <v>0</v>
      </c>
      <c r="AM58" s="254">
        <f t="shared" si="22"/>
        <v>0</v>
      </c>
      <c r="AN58" s="254">
        <f t="shared" si="22"/>
        <v>0</v>
      </c>
      <c r="AO58" s="77"/>
      <c r="AP58" s="189"/>
      <c r="AR58" s="238"/>
      <c r="AS58" s="238"/>
      <c r="AT58" s="238"/>
    </row>
    <row r="59" spans="1:47" x14ac:dyDescent="0.25">
      <c r="A59" s="4"/>
      <c r="B59" s="35" t="s">
        <v>38</v>
      </c>
      <c r="C59" s="108">
        <v>321241.65000000002</v>
      </c>
      <c r="D59" s="79">
        <v>140056.82</v>
      </c>
      <c r="E59" s="79">
        <v>88137.22</v>
      </c>
      <c r="F59" s="79">
        <v>49210.55</v>
      </c>
      <c r="G59" s="79">
        <v>26687.018</v>
      </c>
      <c r="H59" s="79">
        <v>22451.53</v>
      </c>
      <c r="I59" s="79">
        <v>21939.57</v>
      </c>
      <c r="J59" s="79">
        <v>17783.98</v>
      </c>
      <c r="K59" s="79">
        <v>22724.86</v>
      </c>
      <c r="L59" s="110">
        <v>42183.72</v>
      </c>
      <c r="M59" s="79">
        <v>112912.76</v>
      </c>
      <c r="N59" s="79">
        <v>216491.69</v>
      </c>
      <c r="O59" s="79">
        <v>161553.18</v>
      </c>
      <c r="P59" s="79">
        <v>209743.49</v>
      </c>
      <c r="Q59" s="79">
        <v>211740.41</v>
      </c>
      <c r="R59" s="79">
        <v>87297.72</v>
      </c>
      <c r="S59" s="79">
        <v>39719.300000000003</v>
      </c>
      <c r="T59" s="79">
        <v>187848.89</v>
      </c>
      <c r="U59" s="79">
        <v>21963.88</v>
      </c>
      <c r="V59" s="79">
        <v>21516.17</v>
      </c>
      <c r="W59" s="79">
        <v>32503.53</v>
      </c>
      <c r="X59" s="110">
        <v>59046.94</v>
      </c>
      <c r="Y59" s="79">
        <v>142827.85</v>
      </c>
      <c r="Z59" s="79">
        <v>262550.06</v>
      </c>
      <c r="AA59" s="79"/>
      <c r="AB59" s="79"/>
      <c r="AC59" s="110"/>
      <c r="AD59" s="79">
        <f t="shared" si="22"/>
        <v>159688.47000000003</v>
      </c>
      <c r="AE59" s="79">
        <f t="shared" si="22"/>
        <v>-69686.669999999984</v>
      </c>
      <c r="AF59" s="79">
        <f t="shared" si="22"/>
        <v>-123603.19</v>
      </c>
      <c r="AG59" s="79">
        <f t="shared" si="22"/>
        <v>-38087.17</v>
      </c>
      <c r="AH59" s="79">
        <f t="shared" si="22"/>
        <v>-13032.282000000003</v>
      </c>
      <c r="AI59" s="79">
        <f t="shared" si="22"/>
        <v>-165397.36000000002</v>
      </c>
      <c r="AJ59" s="78">
        <f t="shared" si="22"/>
        <v>-24.31000000000131</v>
      </c>
      <c r="AK59" s="78">
        <f t="shared" si="22"/>
        <v>-3732.1899999999987</v>
      </c>
      <c r="AL59" s="78">
        <f t="shared" si="22"/>
        <v>-9778.6699999999983</v>
      </c>
      <c r="AM59" s="254">
        <f t="shared" si="22"/>
        <v>-16863.22</v>
      </c>
      <c r="AN59" s="254">
        <f t="shared" si="22"/>
        <v>-29915.090000000011</v>
      </c>
      <c r="AO59" s="77"/>
      <c r="AP59" s="189"/>
      <c r="AQ59" s="2" t="s">
        <v>50</v>
      </c>
      <c r="AR59" s="238">
        <f>SUM(E59+E60+E61+E68+E69+E70+E77+E78+E79)</f>
        <v>335201.68000000005</v>
      </c>
      <c r="AS59" s="238">
        <f>SUM(Q59+Q60+Q61+Q68+Q69+Q70+Q77+Q78+Q79)</f>
        <v>1039671.3</v>
      </c>
      <c r="AT59" s="238">
        <f>AS59-AR59</f>
        <v>704469.62</v>
      </c>
      <c r="AU59" s="2">
        <f>((AT59/AR59)/2)*100</f>
        <v>105.08145722897331</v>
      </c>
    </row>
    <row r="60" spans="1:47" x14ac:dyDescent="0.25">
      <c r="A60" s="4"/>
      <c r="B60" s="35" t="s">
        <v>39</v>
      </c>
      <c r="C60" s="108">
        <v>179234.14</v>
      </c>
      <c r="D60" s="79">
        <v>165981.01999999999</v>
      </c>
      <c r="E60" s="79">
        <v>97080.67</v>
      </c>
      <c r="F60" s="79">
        <v>57623.64</v>
      </c>
      <c r="G60" s="79">
        <v>19071.689999999999</v>
      </c>
      <c r="H60" s="79">
        <v>21025.47</v>
      </c>
      <c r="I60" s="79">
        <v>17006.86</v>
      </c>
      <c r="J60" s="79">
        <v>10391.27</v>
      </c>
      <c r="K60" s="79">
        <v>25417.82</v>
      </c>
      <c r="L60" s="110">
        <v>46100.17</v>
      </c>
      <c r="M60" s="79">
        <v>100128.11</v>
      </c>
      <c r="N60" s="79">
        <v>181222.06</v>
      </c>
      <c r="O60" s="79">
        <v>172104.03</v>
      </c>
      <c r="P60" s="79">
        <v>256307.41</v>
      </c>
      <c r="Q60" s="79">
        <v>188086.67</v>
      </c>
      <c r="R60" s="79">
        <v>110525.82</v>
      </c>
      <c r="S60" s="79">
        <v>39665.9</v>
      </c>
      <c r="T60" s="79">
        <v>47009.46</v>
      </c>
      <c r="U60" s="79">
        <v>24178.51</v>
      </c>
      <c r="V60" s="79">
        <v>73427.95</v>
      </c>
      <c r="W60" s="79">
        <v>48464.56</v>
      </c>
      <c r="X60" s="110">
        <v>112253.53</v>
      </c>
      <c r="Y60" s="79">
        <v>246635.57</v>
      </c>
      <c r="Z60" s="79">
        <v>507713.21</v>
      </c>
      <c r="AA60" s="79"/>
      <c r="AB60" s="79"/>
      <c r="AC60" s="110"/>
      <c r="AD60" s="79">
        <f t="shared" si="22"/>
        <v>7130.1100000000151</v>
      </c>
      <c r="AE60" s="79">
        <f t="shared" si="22"/>
        <v>-90326.390000000014</v>
      </c>
      <c r="AF60" s="79">
        <f t="shared" si="22"/>
        <v>-91006.000000000015</v>
      </c>
      <c r="AG60" s="79">
        <f t="shared" si="22"/>
        <v>-52902.180000000008</v>
      </c>
      <c r="AH60" s="79">
        <f t="shared" si="22"/>
        <v>-20594.210000000003</v>
      </c>
      <c r="AI60" s="79">
        <f t="shared" si="22"/>
        <v>-25983.989999999998</v>
      </c>
      <c r="AJ60" s="78">
        <f t="shared" si="22"/>
        <v>-7171.6499999999978</v>
      </c>
      <c r="AK60" s="78">
        <f t="shared" si="22"/>
        <v>-63036.679999999993</v>
      </c>
      <c r="AL60" s="78">
        <f t="shared" si="22"/>
        <v>-23046.739999999998</v>
      </c>
      <c r="AM60" s="254">
        <f t="shared" si="22"/>
        <v>-66153.36</v>
      </c>
      <c r="AN60" s="254">
        <f t="shared" si="22"/>
        <v>-146507.46000000002</v>
      </c>
      <c r="AO60" s="77"/>
      <c r="AP60" s="189"/>
    </row>
    <row r="61" spans="1:47" x14ac:dyDescent="0.25">
      <c r="A61" s="4"/>
      <c r="B61" s="35" t="s">
        <v>40</v>
      </c>
      <c r="C61" s="108">
        <v>0</v>
      </c>
      <c r="D61" s="79">
        <v>17568.169999999998</v>
      </c>
      <c r="E61" s="79">
        <v>15.32</v>
      </c>
      <c r="F61" s="79">
        <v>16898.810000000001</v>
      </c>
      <c r="G61" s="79">
        <v>46.51</v>
      </c>
      <c r="H61" s="79">
        <v>950.14</v>
      </c>
      <c r="I61" s="79">
        <v>927.58</v>
      </c>
      <c r="J61" s="79">
        <v>9.19</v>
      </c>
      <c r="K61" s="79">
        <v>1553.41</v>
      </c>
      <c r="L61" s="110">
        <v>197.31</v>
      </c>
      <c r="M61" s="79">
        <v>12384.7</v>
      </c>
      <c r="N61" s="79">
        <v>17376.810000000001</v>
      </c>
      <c r="O61" s="79">
        <v>0</v>
      </c>
      <c r="P61" s="79">
        <v>63980.44</v>
      </c>
      <c r="Q61" s="79">
        <v>136991.03</v>
      </c>
      <c r="R61" s="79">
        <v>42200.47</v>
      </c>
      <c r="S61" s="79">
        <v>31614.11</v>
      </c>
      <c r="T61" s="79">
        <v>25374.49</v>
      </c>
      <c r="U61" s="79">
        <v>8174.55</v>
      </c>
      <c r="V61" s="79">
        <v>606.82000000000005</v>
      </c>
      <c r="W61" s="79">
        <v>40055.07</v>
      </c>
      <c r="X61" s="110">
        <v>16426.810000000001</v>
      </c>
      <c r="Y61" s="79">
        <v>33459.980000000003</v>
      </c>
      <c r="Z61" s="79">
        <v>85993.41</v>
      </c>
      <c r="AA61" s="79"/>
      <c r="AB61" s="79"/>
      <c r="AC61" s="110"/>
      <c r="AD61" s="79">
        <f t="shared" si="22"/>
        <v>0</v>
      </c>
      <c r="AE61" s="79">
        <f t="shared" si="22"/>
        <v>-46412.270000000004</v>
      </c>
      <c r="AF61" s="79">
        <f t="shared" si="22"/>
        <v>-136975.71</v>
      </c>
      <c r="AG61" s="79">
        <f t="shared" si="22"/>
        <v>-25301.66</v>
      </c>
      <c r="AH61" s="79">
        <f t="shared" si="22"/>
        <v>-31567.600000000002</v>
      </c>
      <c r="AI61" s="79">
        <f t="shared" si="22"/>
        <v>-24424.350000000002</v>
      </c>
      <c r="AJ61" s="78">
        <f t="shared" si="22"/>
        <v>-7246.97</v>
      </c>
      <c r="AK61" s="78">
        <f t="shared" si="22"/>
        <v>-597.63</v>
      </c>
      <c r="AL61" s="78">
        <f t="shared" si="22"/>
        <v>-38501.659999999996</v>
      </c>
      <c r="AM61" s="254">
        <f t="shared" si="22"/>
        <v>-16229.500000000002</v>
      </c>
      <c r="AN61" s="254">
        <f t="shared" si="22"/>
        <v>-21075.280000000002</v>
      </c>
      <c r="AO61" s="77"/>
      <c r="AP61" s="189"/>
      <c r="AR61" s="239">
        <v>44001</v>
      </c>
      <c r="AS61" s="239">
        <v>44002</v>
      </c>
    </row>
    <row r="62" spans="1:47" x14ac:dyDescent="0.25">
      <c r="A62" s="4"/>
      <c r="B62" s="35" t="s">
        <v>41</v>
      </c>
      <c r="C62" s="108">
        <f>SUM(C55:C61)</f>
        <v>2912107.69</v>
      </c>
      <c r="D62" s="79">
        <f>SUM(D55:D61)</f>
        <v>2474927.7999999998</v>
      </c>
      <c r="E62" s="79">
        <f t="shared" ref="E62:AK62" si="23">SUM(E55:E61)</f>
        <v>1695771.3399999999</v>
      </c>
      <c r="F62" s="79">
        <f t="shared" si="23"/>
        <v>1005234.6300000001</v>
      </c>
      <c r="G62" s="79">
        <f t="shared" si="23"/>
        <v>577118.37800000003</v>
      </c>
      <c r="H62" s="79">
        <f>SUM(H55:H61)</f>
        <v>457694.14</v>
      </c>
      <c r="I62" s="79">
        <f t="shared" si="23"/>
        <v>409619.29</v>
      </c>
      <c r="J62" s="79">
        <f t="shared" si="23"/>
        <v>398212.09</v>
      </c>
      <c r="K62" s="79">
        <f t="shared" si="23"/>
        <v>459690.25</v>
      </c>
      <c r="L62" s="110">
        <f t="shared" si="23"/>
        <v>994612.07000000018</v>
      </c>
      <c r="M62" s="79">
        <f t="shared" si="23"/>
        <v>1837328.5600000003</v>
      </c>
      <c r="N62" s="79">
        <f t="shared" si="23"/>
        <v>2492447.9500000002</v>
      </c>
      <c r="O62" s="79">
        <f t="shared" si="23"/>
        <v>2327461.4499999997</v>
      </c>
      <c r="P62" s="79">
        <f t="shared" si="23"/>
        <v>2433355.2400000002</v>
      </c>
      <c r="Q62" s="79">
        <f t="shared" si="23"/>
        <v>2217320.13</v>
      </c>
      <c r="R62" s="79">
        <f t="shared" si="23"/>
        <v>1413116.18</v>
      </c>
      <c r="S62" s="79">
        <f t="shared" si="23"/>
        <v>633549.53</v>
      </c>
      <c r="T62" s="79">
        <f t="shared" si="23"/>
        <v>768076.92999999993</v>
      </c>
      <c r="U62" s="175">
        <f t="shared" si="23"/>
        <v>708504.4</v>
      </c>
      <c r="V62" s="175">
        <f t="shared" si="23"/>
        <v>738735.39999999991</v>
      </c>
      <c r="W62" s="175">
        <f t="shared" ref="W62:Z62" si="24">SUM(W55:W61)</f>
        <v>792250.16</v>
      </c>
      <c r="X62" s="110">
        <f t="shared" si="24"/>
        <v>1154084</v>
      </c>
      <c r="Y62" s="110">
        <f t="shared" si="24"/>
        <v>2244225.7200000002</v>
      </c>
      <c r="Z62" s="110">
        <f t="shared" si="24"/>
        <v>3941758.0100000002</v>
      </c>
      <c r="AA62" s="109"/>
      <c r="AB62" s="109"/>
      <c r="AC62" s="110"/>
      <c r="AD62" s="79">
        <f t="shared" si="23"/>
        <v>584646.24000000011</v>
      </c>
      <c r="AE62" s="79">
        <f t="shared" si="23"/>
        <v>41572.559999999954</v>
      </c>
      <c r="AF62" s="79">
        <f t="shared" si="23"/>
        <v>-521548.78999999992</v>
      </c>
      <c r="AG62" s="79">
        <f t="shared" si="23"/>
        <v>-407881.55</v>
      </c>
      <c r="AH62" s="79">
        <f t="shared" si="23"/>
        <v>-56431.152000000016</v>
      </c>
      <c r="AI62" s="79">
        <f t="shared" si="23"/>
        <v>-310382.79000000004</v>
      </c>
      <c r="AJ62" s="78">
        <f t="shared" si="23"/>
        <v>-298885.11000000004</v>
      </c>
      <c r="AK62" s="78">
        <f t="shared" si="23"/>
        <v>-340523.31000000006</v>
      </c>
      <c r="AL62" s="78">
        <f t="shared" ref="AL62:AN62" si="25">SUM(AL55:AL61)</f>
        <v>-332559.90999999992</v>
      </c>
      <c r="AM62" s="254">
        <f t="shared" si="25"/>
        <v>-159471.92999999993</v>
      </c>
      <c r="AN62" s="254">
        <f t="shared" si="25"/>
        <v>-406897.15999999992</v>
      </c>
      <c r="AO62" s="77"/>
      <c r="AP62" s="189"/>
      <c r="AQ62" s="2" t="s">
        <v>49</v>
      </c>
      <c r="AR62" s="238">
        <f>SUM(E55+E57+E64+E66+E73+E75)</f>
        <v>4024345.31</v>
      </c>
      <c r="AS62" s="238">
        <f>SUM(R55+R57+R64+R66+R73+R75)</f>
        <v>5183823.4800000004</v>
      </c>
      <c r="AT62" s="238">
        <f>AS62-AR62</f>
        <v>1159478.1700000004</v>
      </c>
      <c r="AU62" s="2">
        <f>((AT62/AR62)/2)*100</f>
        <v>14.405798716114651</v>
      </c>
    </row>
    <row r="63" spans="1:47" x14ac:dyDescent="0.25">
      <c r="A63" s="4">
        <f>+A54+1</f>
        <v>7</v>
      </c>
      <c r="B63" s="42" t="s">
        <v>30</v>
      </c>
      <c r="C63" s="108"/>
      <c r="D63" s="79"/>
      <c r="E63" s="79"/>
      <c r="F63" s="79"/>
      <c r="G63" s="79"/>
      <c r="H63" s="79"/>
      <c r="I63" s="79"/>
      <c r="J63" s="79"/>
      <c r="K63" s="79"/>
      <c r="L63" s="110"/>
      <c r="M63" s="79"/>
      <c r="N63" s="79"/>
      <c r="O63" s="79"/>
      <c r="P63" s="79"/>
      <c r="Q63" s="79"/>
      <c r="R63" s="79"/>
      <c r="S63" s="79"/>
      <c r="T63" s="79"/>
      <c r="U63" s="175"/>
      <c r="V63" s="109"/>
      <c r="W63" s="109"/>
      <c r="X63" s="110"/>
      <c r="Y63" s="109"/>
      <c r="Z63" s="109"/>
      <c r="AA63" s="109"/>
      <c r="AB63" s="109"/>
      <c r="AC63" s="110"/>
      <c r="AD63" s="79"/>
      <c r="AE63" s="79"/>
      <c r="AF63" s="79"/>
      <c r="AG63" s="79"/>
      <c r="AH63" s="79"/>
      <c r="AI63" s="79"/>
      <c r="AJ63" s="78"/>
      <c r="AK63" s="314"/>
      <c r="AL63" s="314"/>
      <c r="AM63" s="314"/>
      <c r="AN63" s="429"/>
      <c r="AO63" s="77"/>
      <c r="AP63" s="189"/>
      <c r="AQ63" s="2" t="s">
        <v>50</v>
      </c>
      <c r="AR63" s="238">
        <f>SUM(F59+F60+F61+F68+F69+F70+F77+F78+F79)</f>
        <v>280640.96000000002</v>
      </c>
      <c r="AS63" s="238">
        <f>SUM(R59+R60+R61+R68+R69+R70+R77+R78+R79)</f>
        <v>843577.2</v>
      </c>
      <c r="AT63" s="238">
        <f>AS63-AR63</f>
        <v>562936.24</v>
      </c>
      <c r="AU63" s="2">
        <f>((AT63/AR63)/2)*100</f>
        <v>100.29473958469926</v>
      </c>
    </row>
    <row r="64" spans="1:47" x14ac:dyDescent="0.25">
      <c r="A64" s="4"/>
      <c r="B64" s="35" t="s">
        <v>60</v>
      </c>
      <c r="C64" s="108">
        <v>565183.17000000004</v>
      </c>
      <c r="D64" s="79">
        <v>768273.07</v>
      </c>
      <c r="E64" s="79">
        <v>763312.6</v>
      </c>
      <c r="F64" s="79">
        <v>715276.34</v>
      </c>
      <c r="G64" s="79">
        <v>372135</v>
      </c>
      <c r="H64" s="204">
        <v>250136.21</v>
      </c>
      <c r="I64" s="79">
        <v>194954.51</v>
      </c>
      <c r="J64" s="79">
        <v>160335.88</v>
      </c>
      <c r="K64" s="79">
        <v>169676.32</v>
      </c>
      <c r="L64" s="110">
        <v>173297.3</v>
      </c>
      <c r="M64" s="79">
        <v>332931.3</v>
      </c>
      <c r="N64" s="79">
        <v>591048.44999999995</v>
      </c>
      <c r="O64" s="79">
        <v>901434.11</v>
      </c>
      <c r="P64" s="79">
        <v>977566.32</v>
      </c>
      <c r="Q64" s="79">
        <v>1003179.1</v>
      </c>
      <c r="R64" s="79">
        <v>905172.67</v>
      </c>
      <c r="S64" s="79">
        <v>670836.28</v>
      </c>
      <c r="T64" s="79">
        <v>288998.94</v>
      </c>
      <c r="U64" s="79">
        <v>234806.17</v>
      </c>
      <c r="V64" s="79">
        <v>241391.74</v>
      </c>
      <c r="W64" s="79">
        <v>233041.26</v>
      </c>
      <c r="X64" s="110">
        <v>259108.76</v>
      </c>
      <c r="Y64" s="79">
        <v>453036.02</v>
      </c>
      <c r="Z64" s="79">
        <f>787441.66-196.26</f>
        <v>787245.4</v>
      </c>
      <c r="AA64" s="79"/>
      <c r="AB64" s="79"/>
      <c r="AC64" s="110"/>
      <c r="AD64" s="79">
        <f t="shared" ref="AD64:AH70" si="26">C64-O64</f>
        <v>-336250.93999999994</v>
      </c>
      <c r="AE64" s="79">
        <f t="shared" si="26"/>
        <v>-209293.25</v>
      </c>
      <c r="AF64" s="79">
        <f t="shared" si="26"/>
        <v>-239866.5</v>
      </c>
      <c r="AG64" s="79">
        <f t="shared" si="26"/>
        <v>-189896.33000000007</v>
      </c>
      <c r="AH64" s="79">
        <f t="shared" si="26"/>
        <v>-298701.28000000003</v>
      </c>
      <c r="AI64" s="79">
        <f>H55-T64</f>
        <v>6354.539999999979</v>
      </c>
      <c r="AJ64" s="78">
        <f t="shared" ref="AJ64:AN70" si="27">I64-U64</f>
        <v>-39851.660000000003</v>
      </c>
      <c r="AK64" s="78">
        <f t="shared" si="27"/>
        <v>-81055.859999999986</v>
      </c>
      <c r="AL64" s="78">
        <f t="shared" si="27"/>
        <v>-63364.94</v>
      </c>
      <c r="AM64" s="254">
        <f t="shared" si="27"/>
        <v>-85811.460000000021</v>
      </c>
      <c r="AN64" s="254">
        <f t="shared" si="27"/>
        <v>-120104.72000000003</v>
      </c>
      <c r="AO64" s="77"/>
      <c r="AP64" s="189"/>
    </row>
    <row r="65" spans="1:47" x14ac:dyDescent="0.25">
      <c r="A65" s="4"/>
      <c r="B65" s="35" t="s">
        <v>61</v>
      </c>
      <c r="C65" s="108"/>
      <c r="D65" s="79"/>
      <c r="E65" s="79"/>
      <c r="F65" s="79"/>
      <c r="G65" s="79"/>
      <c r="H65" s="204"/>
      <c r="I65" s="79"/>
      <c r="J65" s="79"/>
      <c r="K65" s="79"/>
      <c r="L65" s="110"/>
      <c r="M65" s="79"/>
      <c r="N65" s="79"/>
      <c r="O65" s="79"/>
      <c r="P65" s="79"/>
      <c r="Q65" s="79"/>
      <c r="R65" s="79"/>
      <c r="S65" s="79"/>
      <c r="T65" s="79"/>
      <c r="U65" s="79"/>
      <c r="V65" s="79"/>
      <c r="W65" s="79">
        <v>600.21</v>
      </c>
      <c r="X65" s="110">
        <v>377.57</v>
      </c>
      <c r="Y65" s="79">
        <v>323.14</v>
      </c>
      <c r="Z65" s="79">
        <v>196.26</v>
      </c>
      <c r="AA65" s="79"/>
      <c r="AB65" s="79"/>
      <c r="AC65" s="110"/>
      <c r="AD65" s="79">
        <f t="shared" si="26"/>
        <v>0</v>
      </c>
      <c r="AE65" s="79">
        <f t="shared" si="26"/>
        <v>0</v>
      </c>
      <c r="AF65" s="79">
        <f t="shared" si="26"/>
        <v>0</v>
      </c>
      <c r="AG65" s="79">
        <f t="shared" si="26"/>
        <v>0</v>
      </c>
      <c r="AH65" s="79">
        <f t="shared" si="26"/>
        <v>0</v>
      </c>
      <c r="AI65" s="79">
        <f>H56-T65</f>
        <v>0</v>
      </c>
      <c r="AJ65" s="78">
        <f t="shared" si="27"/>
        <v>0</v>
      </c>
      <c r="AK65" s="78">
        <f t="shared" si="27"/>
        <v>0</v>
      </c>
      <c r="AL65" s="78">
        <f t="shared" si="27"/>
        <v>-600.21</v>
      </c>
      <c r="AM65" s="254">
        <f t="shared" si="27"/>
        <v>-377.57</v>
      </c>
      <c r="AN65" s="254">
        <f t="shared" si="27"/>
        <v>-323.14</v>
      </c>
      <c r="AO65" s="77"/>
      <c r="AP65" s="189"/>
    </row>
    <row r="66" spans="1:47" x14ac:dyDescent="0.25">
      <c r="A66" s="4"/>
      <c r="B66" s="35" t="s">
        <v>62</v>
      </c>
      <c r="C66" s="108">
        <v>311636.96999999997</v>
      </c>
      <c r="D66" s="79">
        <v>362843</v>
      </c>
      <c r="E66" s="79">
        <v>295236.59000000003</v>
      </c>
      <c r="F66" s="79">
        <v>263094.82</v>
      </c>
      <c r="G66" s="79">
        <v>169028.75</v>
      </c>
      <c r="H66" s="204">
        <v>126438.23</v>
      </c>
      <c r="I66" s="79">
        <v>98609.39</v>
      </c>
      <c r="J66" s="79">
        <v>91376.68</v>
      </c>
      <c r="K66" s="79">
        <v>96553.15</v>
      </c>
      <c r="L66" s="110">
        <v>87987.87</v>
      </c>
      <c r="M66" s="79">
        <v>177203.05</v>
      </c>
      <c r="N66" s="79">
        <v>304470.94</v>
      </c>
      <c r="O66" s="79">
        <v>341119.79</v>
      </c>
      <c r="P66" s="79">
        <v>316785.14</v>
      </c>
      <c r="Q66" s="79">
        <v>311960.15999999997</v>
      </c>
      <c r="R66" s="79">
        <v>141613.45000000001</v>
      </c>
      <c r="S66" s="79">
        <v>132979.01</v>
      </c>
      <c r="T66" s="79">
        <v>109082.29</v>
      </c>
      <c r="U66" s="79">
        <v>170562.86</v>
      </c>
      <c r="V66" s="79">
        <v>277996.78999999998</v>
      </c>
      <c r="W66" s="79">
        <v>316108.44</v>
      </c>
      <c r="X66" s="110">
        <v>250640.85</v>
      </c>
      <c r="Y66" s="79">
        <v>250858.89</v>
      </c>
      <c r="Z66" s="79">
        <v>426725.75</v>
      </c>
      <c r="AA66" s="79"/>
      <c r="AB66" s="79"/>
      <c r="AC66" s="110"/>
      <c r="AD66" s="79">
        <f t="shared" si="26"/>
        <v>-29482.820000000007</v>
      </c>
      <c r="AE66" s="79">
        <f t="shared" si="26"/>
        <v>46057.859999999986</v>
      </c>
      <c r="AF66" s="79">
        <f t="shared" si="26"/>
        <v>-16723.569999999949</v>
      </c>
      <c r="AG66" s="79">
        <f t="shared" si="26"/>
        <v>121481.37</v>
      </c>
      <c r="AH66" s="79">
        <f t="shared" si="26"/>
        <v>36049.739999999991</v>
      </c>
      <c r="AI66" s="79">
        <f>H57-T66</f>
        <v>8831.2300000000105</v>
      </c>
      <c r="AJ66" s="78">
        <f t="shared" si="27"/>
        <v>-71953.469999999987</v>
      </c>
      <c r="AK66" s="78">
        <f t="shared" si="27"/>
        <v>-186620.11</v>
      </c>
      <c r="AL66" s="78">
        <f t="shared" si="27"/>
        <v>-219555.29</v>
      </c>
      <c r="AM66" s="254">
        <f t="shared" si="27"/>
        <v>-162652.98000000001</v>
      </c>
      <c r="AN66" s="254">
        <f t="shared" si="27"/>
        <v>-73655.840000000026</v>
      </c>
      <c r="AO66" s="77"/>
      <c r="AP66" s="189"/>
      <c r="AR66" s="239">
        <v>44031</v>
      </c>
      <c r="AS66" s="239">
        <v>44032</v>
      </c>
    </row>
    <row r="67" spans="1:47" x14ac:dyDescent="0.25">
      <c r="A67" s="4"/>
      <c r="B67" s="35" t="s">
        <v>63</v>
      </c>
      <c r="C67" s="108"/>
      <c r="D67" s="79"/>
      <c r="E67" s="79"/>
      <c r="F67" s="79"/>
      <c r="G67" s="79"/>
      <c r="H67" s="204"/>
      <c r="I67" s="79"/>
      <c r="J67" s="79"/>
      <c r="K67" s="79"/>
      <c r="L67" s="110"/>
      <c r="M67" s="79"/>
      <c r="N67" s="79"/>
      <c r="O67" s="79"/>
      <c r="P67" s="79"/>
      <c r="Q67" s="79"/>
      <c r="R67" s="79"/>
      <c r="S67" s="79"/>
      <c r="T67" s="79"/>
      <c r="U67" s="79"/>
      <c r="V67" s="79"/>
      <c r="W67" s="79">
        <v>0</v>
      </c>
      <c r="X67" s="110">
        <v>0</v>
      </c>
      <c r="Y67" s="79">
        <v>0</v>
      </c>
      <c r="Z67" s="79">
        <v>0</v>
      </c>
      <c r="AA67" s="79"/>
      <c r="AB67" s="79"/>
      <c r="AC67" s="110"/>
      <c r="AD67" s="79">
        <f t="shared" si="26"/>
        <v>0</v>
      </c>
      <c r="AE67" s="79">
        <f t="shared" si="26"/>
        <v>0</v>
      </c>
      <c r="AF67" s="79">
        <f t="shared" si="26"/>
        <v>0</v>
      </c>
      <c r="AG67" s="79">
        <f t="shared" si="26"/>
        <v>0</v>
      </c>
      <c r="AH67" s="79">
        <f t="shared" si="26"/>
        <v>0</v>
      </c>
      <c r="AI67" s="79">
        <f>H58-T67</f>
        <v>0</v>
      </c>
      <c r="AJ67" s="78">
        <f t="shared" si="27"/>
        <v>0</v>
      </c>
      <c r="AK67" s="78">
        <f t="shared" si="27"/>
        <v>0</v>
      </c>
      <c r="AL67" s="78">
        <f t="shared" si="27"/>
        <v>0</v>
      </c>
      <c r="AM67" s="254">
        <f t="shared" si="27"/>
        <v>0</v>
      </c>
      <c r="AN67" s="254">
        <f t="shared" si="27"/>
        <v>0</v>
      </c>
      <c r="AO67" s="77"/>
      <c r="AP67" s="189"/>
      <c r="AR67" s="239"/>
      <c r="AS67" s="239"/>
    </row>
    <row r="68" spans="1:47" x14ac:dyDescent="0.25">
      <c r="A68" s="4"/>
      <c r="B68" s="35" t="s">
        <v>38</v>
      </c>
      <c r="C68" s="108">
        <v>22026.82</v>
      </c>
      <c r="D68" s="79">
        <v>39949.379999999997</v>
      </c>
      <c r="E68" s="79">
        <v>38481.879999999997</v>
      </c>
      <c r="F68" s="79">
        <v>34563.61</v>
      </c>
      <c r="G68" s="79">
        <v>17058.490000000002</v>
      </c>
      <c r="H68" s="79">
        <v>12137.06</v>
      </c>
      <c r="I68" s="79">
        <v>9229.06</v>
      </c>
      <c r="J68" s="79">
        <v>7415.67</v>
      </c>
      <c r="K68" s="79">
        <v>8722.85</v>
      </c>
      <c r="L68" s="110">
        <v>9783.5499999999993</v>
      </c>
      <c r="M68" s="79">
        <v>11083.03</v>
      </c>
      <c r="N68" s="79">
        <v>30654</v>
      </c>
      <c r="O68" s="79">
        <v>94776.79</v>
      </c>
      <c r="P68" s="79">
        <v>80308.47</v>
      </c>
      <c r="Q68" s="79">
        <v>106834.29</v>
      </c>
      <c r="R68" s="79">
        <v>67424.75</v>
      </c>
      <c r="S68" s="79">
        <v>47303.16</v>
      </c>
      <c r="T68" s="79">
        <v>27257.7</v>
      </c>
      <c r="U68" s="79">
        <v>9244.34</v>
      </c>
      <c r="V68" s="79">
        <v>10003.379999999999</v>
      </c>
      <c r="W68" s="79">
        <v>12268.17</v>
      </c>
      <c r="X68" s="110">
        <v>14628.96</v>
      </c>
      <c r="Y68" s="79">
        <v>17522.919999999998</v>
      </c>
      <c r="Z68" s="79">
        <v>44895.839999999997</v>
      </c>
      <c r="AA68" s="79"/>
      <c r="AB68" s="79"/>
      <c r="AC68" s="110"/>
      <c r="AD68" s="79">
        <f t="shared" si="26"/>
        <v>-72749.97</v>
      </c>
      <c r="AE68" s="79">
        <f t="shared" si="26"/>
        <v>-40359.090000000004</v>
      </c>
      <c r="AF68" s="79">
        <f t="shared" si="26"/>
        <v>-68352.41</v>
      </c>
      <c r="AG68" s="79">
        <f t="shared" si="26"/>
        <v>-32861.14</v>
      </c>
      <c r="AH68" s="79">
        <f t="shared" si="26"/>
        <v>-30244.670000000002</v>
      </c>
      <c r="AI68" s="79">
        <f>H68-T68</f>
        <v>-15120.640000000001</v>
      </c>
      <c r="AJ68" s="78">
        <f t="shared" si="27"/>
        <v>-15.280000000000655</v>
      </c>
      <c r="AK68" s="78">
        <f t="shared" si="27"/>
        <v>-2587.7099999999991</v>
      </c>
      <c r="AL68" s="78">
        <f t="shared" si="27"/>
        <v>-3545.3199999999997</v>
      </c>
      <c r="AM68" s="254">
        <f t="shared" si="27"/>
        <v>-4845.41</v>
      </c>
      <c r="AN68" s="254">
        <f t="shared" si="27"/>
        <v>-6439.8899999999976</v>
      </c>
      <c r="AO68" s="77"/>
      <c r="AP68" s="189"/>
      <c r="AQ68" s="2" t="s">
        <v>49</v>
      </c>
      <c r="AR68" s="238">
        <f>SUM(G55+G57+G64+G66+G73+G75)</f>
        <v>2972986.3000000003</v>
      </c>
      <c r="AS68" s="238">
        <f>SUM(S55+S57+S64+S66+S73+S75)</f>
        <v>4362843.4799999995</v>
      </c>
      <c r="AT68" s="238">
        <f>AS68-AR68</f>
        <v>1389857.1799999992</v>
      </c>
      <c r="AU68" s="2">
        <f>((AT68/AR68)/2)*100</f>
        <v>23.374765971844525</v>
      </c>
    </row>
    <row r="69" spans="1:47" x14ac:dyDescent="0.25">
      <c r="A69" s="4"/>
      <c r="B69" s="35" t="s">
        <v>39</v>
      </c>
      <c r="C69" s="108">
        <v>5534.49</v>
      </c>
      <c r="D69" s="79">
        <v>39453.089999999997</v>
      </c>
      <c r="E69" s="79">
        <v>33265</v>
      </c>
      <c r="F69" s="79">
        <v>28762.7</v>
      </c>
      <c r="G69" s="79">
        <v>10652.73</v>
      </c>
      <c r="H69" s="79">
        <v>3559.7</v>
      </c>
      <c r="I69" s="79">
        <v>3559.74</v>
      </c>
      <c r="J69" s="79">
        <v>2181.9</v>
      </c>
      <c r="K69" s="79">
        <v>5107.8999999999996</v>
      </c>
      <c r="L69" s="110">
        <v>4680.21</v>
      </c>
      <c r="M69" s="79">
        <v>11144.76</v>
      </c>
      <c r="N69" s="79">
        <v>24862.84</v>
      </c>
      <c r="O69" s="79">
        <v>40777.69</v>
      </c>
      <c r="P69" s="79">
        <v>112536.49</v>
      </c>
      <c r="Q69" s="79">
        <v>153401.39000000001</v>
      </c>
      <c r="R69" s="79">
        <v>85734.79</v>
      </c>
      <c r="S69" s="79">
        <v>56262.77</v>
      </c>
      <c r="T69" s="79">
        <v>22342.16</v>
      </c>
      <c r="U69" s="79">
        <v>10322.44</v>
      </c>
      <c r="V69" s="79">
        <v>14465.34</v>
      </c>
      <c r="W69" s="79">
        <v>7141.64</v>
      </c>
      <c r="X69" s="110">
        <v>9133.86</v>
      </c>
      <c r="Y69" s="79">
        <v>29959.3</v>
      </c>
      <c r="Z69" s="79">
        <v>78470.34</v>
      </c>
      <c r="AA69" s="79"/>
      <c r="AB69" s="79"/>
      <c r="AC69" s="110"/>
      <c r="AD69" s="79">
        <f t="shared" si="26"/>
        <v>-35243.200000000004</v>
      </c>
      <c r="AE69" s="79">
        <f t="shared" si="26"/>
        <v>-73083.400000000009</v>
      </c>
      <c r="AF69" s="79">
        <f t="shared" si="26"/>
        <v>-120136.39000000001</v>
      </c>
      <c r="AG69" s="79">
        <f t="shared" si="26"/>
        <v>-56972.09</v>
      </c>
      <c r="AH69" s="79">
        <f t="shared" si="26"/>
        <v>-45610.039999999994</v>
      </c>
      <c r="AI69" s="79">
        <f>H69-T69</f>
        <v>-18782.46</v>
      </c>
      <c r="AJ69" s="78">
        <f t="shared" si="27"/>
        <v>-6762.7000000000007</v>
      </c>
      <c r="AK69" s="78">
        <f t="shared" si="27"/>
        <v>-12283.44</v>
      </c>
      <c r="AL69" s="78">
        <f t="shared" si="27"/>
        <v>-2033.7400000000007</v>
      </c>
      <c r="AM69" s="254">
        <f t="shared" si="27"/>
        <v>-4453.6500000000005</v>
      </c>
      <c r="AN69" s="254">
        <f t="shared" si="27"/>
        <v>-18814.54</v>
      </c>
      <c r="AO69" s="77"/>
      <c r="AP69" s="189"/>
      <c r="AQ69" s="2" t="s">
        <v>50</v>
      </c>
      <c r="AR69" s="238">
        <f>SUM(G59+G60+G61+G68+G69+G70+G77+G78+G79)</f>
        <v>155764.96799999999</v>
      </c>
      <c r="AS69" s="238">
        <f>SUM(S59+S60+S61+S68+S69+S70+S77+S78+S79)</f>
        <v>687616.20000000007</v>
      </c>
      <c r="AT69" s="238">
        <f>AS69-AR69</f>
        <v>531851.23200000008</v>
      </c>
      <c r="AU69" s="2">
        <f>((AT69/AR69)/2)*100</f>
        <v>170.72235138262928</v>
      </c>
    </row>
    <row r="70" spans="1:47" x14ac:dyDescent="0.25">
      <c r="A70" s="4"/>
      <c r="B70" s="35" t="s">
        <v>40</v>
      </c>
      <c r="C70" s="108">
        <v>0</v>
      </c>
      <c r="D70" s="79">
        <v>0</v>
      </c>
      <c r="E70" s="79">
        <v>0</v>
      </c>
      <c r="F70" s="79">
        <v>0</v>
      </c>
      <c r="G70" s="79">
        <v>0</v>
      </c>
      <c r="H70" s="79">
        <v>0</v>
      </c>
      <c r="I70" s="79">
        <v>19.53</v>
      </c>
      <c r="J70" s="79">
        <v>0</v>
      </c>
      <c r="K70" s="79">
        <v>9.19</v>
      </c>
      <c r="L70" s="110">
        <v>0</v>
      </c>
      <c r="M70" s="79">
        <v>2.19</v>
      </c>
      <c r="N70" s="79">
        <v>12384.7</v>
      </c>
      <c r="O70" s="79">
        <v>0</v>
      </c>
      <c r="P70" s="79">
        <v>0</v>
      </c>
      <c r="Q70" s="79">
        <v>43104.74</v>
      </c>
      <c r="R70" s="79">
        <v>117764.4</v>
      </c>
      <c r="S70" s="79">
        <v>918.5</v>
      </c>
      <c r="T70" s="79">
        <v>25110.5</v>
      </c>
      <c r="U70" s="79">
        <v>1252.43</v>
      </c>
      <c r="V70" s="79">
        <v>1316.52</v>
      </c>
      <c r="W70" s="79">
        <v>606.82000000000005</v>
      </c>
      <c r="X70" s="110">
        <v>0</v>
      </c>
      <c r="Y70" s="79">
        <v>7954.2</v>
      </c>
      <c r="Z70" s="79">
        <v>0</v>
      </c>
      <c r="AA70" s="79"/>
      <c r="AB70" s="79"/>
      <c r="AC70" s="110"/>
      <c r="AD70" s="79">
        <f t="shared" si="26"/>
        <v>0</v>
      </c>
      <c r="AE70" s="79">
        <f t="shared" si="26"/>
        <v>0</v>
      </c>
      <c r="AF70" s="79">
        <f t="shared" si="26"/>
        <v>-43104.74</v>
      </c>
      <c r="AG70" s="79">
        <f t="shared" si="26"/>
        <v>-117764.4</v>
      </c>
      <c r="AH70" s="79">
        <f t="shared" si="26"/>
        <v>-918.5</v>
      </c>
      <c r="AI70" s="79">
        <f>H70-T70</f>
        <v>-25110.5</v>
      </c>
      <c r="AJ70" s="78">
        <f t="shared" si="27"/>
        <v>-1232.9000000000001</v>
      </c>
      <c r="AK70" s="78">
        <f t="shared" si="27"/>
        <v>-1316.52</v>
      </c>
      <c r="AL70" s="78">
        <f t="shared" si="27"/>
        <v>-597.63</v>
      </c>
      <c r="AM70" s="254">
        <f t="shared" si="27"/>
        <v>0</v>
      </c>
      <c r="AN70" s="254">
        <f t="shared" si="27"/>
        <v>-7952.01</v>
      </c>
      <c r="AO70" s="77"/>
      <c r="AP70" s="189"/>
    </row>
    <row r="71" spans="1:47" x14ac:dyDescent="0.25">
      <c r="A71" s="4"/>
      <c r="B71" s="35" t="s">
        <v>41</v>
      </c>
      <c r="C71" s="108">
        <f>SUM(C64:C70)</f>
        <v>904381.45</v>
      </c>
      <c r="D71" s="79">
        <f>SUM(D64:D70)</f>
        <v>1210518.5399999998</v>
      </c>
      <c r="E71" s="79">
        <f t="shared" ref="E71:AK71" si="28">SUM(E64:E70)</f>
        <v>1130296.0699999998</v>
      </c>
      <c r="F71" s="79">
        <f t="shared" si="28"/>
        <v>1041697.4699999999</v>
      </c>
      <c r="G71" s="79">
        <f t="shared" si="28"/>
        <v>568874.97</v>
      </c>
      <c r="H71" s="79">
        <f>SUM(H55:H70)</f>
        <v>1307659.48</v>
      </c>
      <c r="I71" s="79">
        <f t="shared" si="28"/>
        <v>306372.23000000004</v>
      </c>
      <c r="J71" s="79">
        <f t="shared" si="28"/>
        <v>261310.13</v>
      </c>
      <c r="K71" s="79">
        <f t="shared" si="28"/>
        <v>280069.40999999997</v>
      </c>
      <c r="L71" s="110">
        <f t="shared" si="28"/>
        <v>275748.93</v>
      </c>
      <c r="M71" s="79">
        <f t="shared" si="28"/>
        <v>532364.32999999996</v>
      </c>
      <c r="N71" s="79">
        <f t="shared" si="28"/>
        <v>963420.92999999982</v>
      </c>
      <c r="O71" s="79">
        <f t="shared" si="28"/>
        <v>1378108.38</v>
      </c>
      <c r="P71" s="79">
        <f t="shared" si="28"/>
        <v>1487196.42</v>
      </c>
      <c r="Q71" s="79">
        <f t="shared" si="28"/>
        <v>1618479.68</v>
      </c>
      <c r="R71" s="79">
        <f t="shared" si="28"/>
        <v>1317710.06</v>
      </c>
      <c r="S71" s="79">
        <f t="shared" si="28"/>
        <v>908299.72000000009</v>
      </c>
      <c r="T71" s="79">
        <f t="shared" si="28"/>
        <v>472791.58999999997</v>
      </c>
      <c r="U71" s="175">
        <f t="shared" si="28"/>
        <v>426188.24000000005</v>
      </c>
      <c r="V71" s="175">
        <f t="shared" si="28"/>
        <v>545173.7699999999</v>
      </c>
      <c r="W71" s="175">
        <f t="shared" ref="W71:Z71" si="29">SUM(W64:W70)</f>
        <v>569766.54</v>
      </c>
      <c r="X71" s="110">
        <f t="shared" si="29"/>
        <v>533890</v>
      </c>
      <c r="Y71" s="110">
        <f t="shared" si="29"/>
        <v>759654.47000000009</v>
      </c>
      <c r="Z71" s="110">
        <f t="shared" si="29"/>
        <v>1337533.5900000003</v>
      </c>
      <c r="AA71" s="109"/>
      <c r="AB71" s="109"/>
      <c r="AC71" s="110"/>
      <c r="AD71" s="79">
        <f t="shared" si="28"/>
        <v>-473726.93</v>
      </c>
      <c r="AE71" s="79">
        <f t="shared" si="28"/>
        <v>-276677.88</v>
      </c>
      <c r="AF71" s="79">
        <f t="shared" si="28"/>
        <v>-488183.61</v>
      </c>
      <c r="AG71" s="79">
        <f t="shared" si="28"/>
        <v>-276012.59000000008</v>
      </c>
      <c r="AH71" s="79">
        <f t="shared" si="28"/>
        <v>-339424.75</v>
      </c>
      <c r="AI71" s="79">
        <f t="shared" si="28"/>
        <v>-43827.830000000009</v>
      </c>
      <c r="AJ71" s="78">
        <f t="shared" si="28"/>
        <v>-119816.00999999998</v>
      </c>
      <c r="AK71" s="78">
        <f t="shared" si="28"/>
        <v>-283863.64</v>
      </c>
      <c r="AL71" s="78">
        <f t="shared" ref="AL71:AN71" si="30">SUM(AL64:AL70)</f>
        <v>-289697.13</v>
      </c>
      <c r="AM71" s="254">
        <f t="shared" si="30"/>
        <v>-258141.07000000004</v>
      </c>
      <c r="AN71" s="254">
        <f t="shared" si="30"/>
        <v>-227290.14000000007</v>
      </c>
      <c r="AO71" s="77"/>
      <c r="AP71" s="189"/>
      <c r="AR71" s="239">
        <v>44062</v>
      </c>
      <c r="AS71" s="239">
        <v>44063</v>
      </c>
    </row>
    <row r="72" spans="1:47" x14ac:dyDescent="0.25">
      <c r="A72" s="4">
        <f>+A63+1</f>
        <v>8</v>
      </c>
      <c r="B72" s="42" t="s">
        <v>31</v>
      </c>
      <c r="C72" s="108"/>
      <c r="D72" s="79"/>
      <c r="E72" s="79"/>
      <c r="F72" s="79"/>
      <c r="G72" s="79"/>
      <c r="H72" s="79"/>
      <c r="I72" s="79"/>
      <c r="J72" s="79"/>
      <c r="K72" s="79"/>
      <c r="L72" s="110"/>
      <c r="M72" s="79"/>
      <c r="N72" s="79"/>
      <c r="O72" s="79"/>
      <c r="P72" s="79"/>
      <c r="Q72" s="79"/>
      <c r="R72" s="79"/>
      <c r="S72" s="79"/>
      <c r="T72" s="79"/>
      <c r="U72" s="175"/>
      <c r="V72" s="109"/>
      <c r="W72" s="109"/>
      <c r="X72" s="110"/>
      <c r="Y72" s="109"/>
      <c r="Z72" s="109"/>
      <c r="AA72" s="109"/>
      <c r="AB72" s="109"/>
      <c r="AC72" s="110"/>
      <c r="AD72" s="79"/>
      <c r="AE72" s="79"/>
      <c r="AF72" s="79"/>
      <c r="AG72" s="79"/>
      <c r="AH72" s="79"/>
      <c r="AI72" s="79"/>
      <c r="AJ72" s="78"/>
      <c r="AK72" s="314"/>
      <c r="AL72" s="314"/>
      <c r="AM72" s="314"/>
      <c r="AN72" s="429"/>
      <c r="AO72" s="77"/>
      <c r="AP72" s="189"/>
      <c r="AQ72" s="2" t="s">
        <v>49</v>
      </c>
      <c r="AR72" s="238">
        <f>SUM(H55+H64+H73+H57+H66+H75)</f>
        <v>2519413.98</v>
      </c>
      <c r="AS72" s="238">
        <f>SUM(T55+T57+T64+T73+T66+T75)</f>
        <v>4248674.7699999996</v>
      </c>
      <c r="AT72" s="238">
        <f>AS72-AR72</f>
        <v>1729260.7899999996</v>
      </c>
      <c r="AU72" s="2">
        <f>((AT72/AR72)/2)*100</f>
        <v>34.318710694778311</v>
      </c>
    </row>
    <row r="73" spans="1:47" x14ac:dyDescent="0.25">
      <c r="A73" s="4"/>
      <c r="B73" s="35" t="s">
        <v>60</v>
      </c>
      <c r="C73" s="108">
        <v>692742</v>
      </c>
      <c r="D73" s="79">
        <v>761355.51</v>
      </c>
      <c r="E73" s="79">
        <v>921170.16</v>
      </c>
      <c r="F73" s="79">
        <v>1091876.23</v>
      </c>
      <c r="G73" s="79">
        <v>1224051.96</v>
      </c>
      <c r="H73" s="79">
        <v>1079570.78</v>
      </c>
      <c r="I73" s="79">
        <v>880273.3</v>
      </c>
      <c r="J73" s="79">
        <v>745109.21</v>
      </c>
      <c r="K73" s="79">
        <v>687006.25</v>
      </c>
      <c r="L73" s="110">
        <v>660494.64</v>
      </c>
      <c r="M73" s="79">
        <v>594467.72</v>
      </c>
      <c r="N73" s="79">
        <v>625282.68000000005</v>
      </c>
      <c r="O73" s="79">
        <v>863217.86</v>
      </c>
      <c r="P73" s="79">
        <v>1315075.23</v>
      </c>
      <c r="Q73" s="79">
        <v>1829147.8</v>
      </c>
      <c r="R73" s="79">
        <v>2573409.9500000002</v>
      </c>
      <c r="S73" s="79">
        <v>2791178.75</v>
      </c>
      <c r="T73" s="79">
        <v>3010399.39</v>
      </c>
      <c r="U73" s="79">
        <v>2872721.99</v>
      </c>
      <c r="V73" s="79">
        <v>2697880.22</v>
      </c>
      <c r="W73" s="79">
        <v>2553291.2999999998</v>
      </c>
      <c r="X73" s="110">
        <v>2449862.46</v>
      </c>
      <c r="Y73" s="79">
        <v>2509027.7599999998</v>
      </c>
      <c r="Z73" s="79">
        <v>2535710.2799999998</v>
      </c>
      <c r="AA73" s="79"/>
      <c r="AB73" s="79"/>
      <c r="AC73" s="110"/>
      <c r="AD73" s="79">
        <f t="shared" ref="AD73:AN79" si="31">C73-O73</f>
        <v>-170475.86</v>
      </c>
      <c r="AE73" s="79">
        <f t="shared" si="31"/>
        <v>-553719.72</v>
      </c>
      <c r="AF73" s="79">
        <f t="shared" si="31"/>
        <v>-907977.64</v>
      </c>
      <c r="AG73" s="79">
        <f t="shared" si="31"/>
        <v>-1481533.7200000002</v>
      </c>
      <c r="AH73" s="79">
        <f t="shared" si="31"/>
        <v>-1567126.79</v>
      </c>
      <c r="AI73" s="79">
        <f t="shared" si="31"/>
        <v>-1930828.61</v>
      </c>
      <c r="AJ73" s="78">
        <f t="shared" si="31"/>
        <v>-1992448.6900000002</v>
      </c>
      <c r="AK73" s="78">
        <f t="shared" si="31"/>
        <v>-1952771.0100000002</v>
      </c>
      <c r="AL73" s="78">
        <f t="shared" si="31"/>
        <v>-1866285.0499999998</v>
      </c>
      <c r="AM73" s="254">
        <f t="shared" si="31"/>
        <v>-1789367.8199999998</v>
      </c>
      <c r="AN73" s="254">
        <f t="shared" si="31"/>
        <v>-1914560.0399999998</v>
      </c>
      <c r="AO73" s="77"/>
      <c r="AP73" s="189"/>
      <c r="AQ73" s="2" t="s">
        <v>50</v>
      </c>
      <c r="AR73" s="238">
        <f>SUM(H59+H60+H61+H68+H69+H70+H77+H78+H79)</f>
        <v>129406.85999999999</v>
      </c>
      <c r="AS73" s="238">
        <f>SUM(T59+T60+T61+T68+T69+T70+T77+T78+T79)</f>
        <v>731497.36</v>
      </c>
      <c r="AT73" s="238">
        <f>AS73-AR73</f>
        <v>602090.5</v>
      </c>
      <c r="AU73" s="2">
        <f>((AT73/AR73)/2)*100</f>
        <v>232.63469185482131</v>
      </c>
    </row>
    <row r="74" spans="1:47" x14ac:dyDescent="0.25">
      <c r="A74" s="4"/>
      <c r="B74" s="35" t="s">
        <v>61</v>
      </c>
      <c r="C74" s="108"/>
      <c r="D74" s="79"/>
      <c r="E74" s="79"/>
      <c r="F74" s="79"/>
      <c r="G74" s="79"/>
      <c r="H74" s="79"/>
      <c r="I74" s="79"/>
      <c r="J74" s="79"/>
      <c r="K74" s="79"/>
      <c r="L74" s="110"/>
      <c r="M74" s="79"/>
      <c r="N74" s="79"/>
      <c r="O74" s="79"/>
      <c r="P74" s="79"/>
      <c r="Q74" s="79"/>
      <c r="R74" s="79"/>
      <c r="S74" s="79"/>
      <c r="T74" s="79"/>
      <c r="U74" s="79"/>
      <c r="V74" s="79"/>
      <c r="W74" s="79">
        <v>909.86</v>
      </c>
      <c r="X74" s="110">
        <v>316.73</v>
      </c>
      <c r="Y74" s="79">
        <v>38.450000000000003</v>
      </c>
      <c r="Z74" s="79">
        <v>0</v>
      </c>
      <c r="AA74" s="79"/>
      <c r="AB74" s="79"/>
      <c r="AC74" s="110"/>
      <c r="AD74" s="79">
        <f t="shared" si="31"/>
        <v>0</v>
      </c>
      <c r="AE74" s="79">
        <f t="shared" si="31"/>
        <v>0</v>
      </c>
      <c r="AF74" s="79">
        <f t="shared" si="31"/>
        <v>0</v>
      </c>
      <c r="AG74" s="79">
        <f t="shared" si="31"/>
        <v>0</v>
      </c>
      <c r="AH74" s="79">
        <f t="shared" si="31"/>
        <v>0</v>
      </c>
      <c r="AI74" s="79">
        <f t="shared" si="31"/>
        <v>0</v>
      </c>
      <c r="AJ74" s="78">
        <f t="shared" si="31"/>
        <v>0</v>
      </c>
      <c r="AK74" s="78">
        <f t="shared" si="31"/>
        <v>0</v>
      </c>
      <c r="AL74" s="78">
        <f t="shared" si="31"/>
        <v>-909.86</v>
      </c>
      <c r="AM74" s="254">
        <f t="shared" si="31"/>
        <v>-316.73</v>
      </c>
      <c r="AN74" s="254">
        <f t="shared" si="31"/>
        <v>-38.450000000000003</v>
      </c>
      <c r="AO74" s="77"/>
      <c r="AP74" s="189"/>
      <c r="AR74" s="238"/>
      <c r="AS74" s="238"/>
      <c r="AT74" s="238"/>
    </row>
    <row r="75" spans="1:47" x14ac:dyDescent="0.25">
      <c r="A75" s="4"/>
      <c r="B75" s="35" t="s">
        <v>62</v>
      </c>
      <c r="C75" s="108">
        <v>594995.82999999996</v>
      </c>
      <c r="D75" s="79">
        <v>606294.09</v>
      </c>
      <c r="E75" s="79">
        <v>534087.82999999996</v>
      </c>
      <c r="F75" s="79">
        <v>596637.91</v>
      </c>
      <c r="G75" s="79">
        <v>676457.43</v>
      </c>
      <c r="H75" s="79">
        <v>650001.76</v>
      </c>
      <c r="I75" s="79">
        <v>617001.74</v>
      </c>
      <c r="J75" s="79">
        <v>578274.38</v>
      </c>
      <c r="K75" s="79">
        <v>597781.9</v>
      </c>
      <c r="L75" s="110">
        <v>592014.32999999996</v>
      </c>
      <c r="M75" s="79">
        <v>537463.1</v>
      </c>
      <c r="N75" s="79">
        <v>626707.49</v>
      </c>
      <c r="O75" s="79">
        <v>771807.74</v>
      </c>
      <c r="P75" s="79">
        <v>995564.77</v>
      </c>
      <c r="Q75" s="79">
        <v>1099377.82</v>
      </c>
      <c r="R75" s="79">
        <v>390535.24</v>
      </c>
      <c r="S75" s="79">
        <v>245299.22</v>
      </c>
      <c r="T75" s="79">
        <v>332350.06</v>
      </c>
      <c r="U75" s="79">
        <v>474910.78</v>
      </c>
      <c r="V75" s="79">
        <v>431373.76</v>
      </c>
      <c r="W75" s="79">
        <v>669625.74</v>
      </c>
      <c r="X75" s="110">
        <v>878237</v>
      </c>
      <c r="Y75" s="79">
        <v>1014364.72</v>
      </c>
      <c r="Z75" s="79">
        <v>1136633.51</v>
      </c>
      <c r="AA75" s="79"/>
      <c r="AB75" s="79"/>
      <c r="AC75" s="110"/>
      <c r="AD75" s="79">
        <f t="shared" si="31"/>
        <v>-176811.91000000003</v>
      </c>
      <c r="AE75" s="79">
        <f t="shared" si="31"/>
        <v>-389270.68000000005</v>
      </c>
      <c r="AF75" s="79">
        <f t="shared" si="31"/>
        <v>-565289.99000000011</v>
      </c>
      <c r="AG75" s="79">
        <f t="shared" si="31"/>
        <v>206102.67000000004</v>
      </c>
      <c r="AH75" s="79">
        <f t="shared" si="31"/>
        <v>431158.21000000008</v>
      </c>
      <c r="AI75" s="79">
        <f t="shared" si="31"/>
        <v>317651.7</v>
      </c>
      <c r="AJ75" s="78">
        <f t="shared" si="31"/>
        <v>142090.95999999996</v>
      </c>
      <c r="AK75" s="78">
        <f t="shared" si="31"/>
        <v>146900.62</v>
      </c>
      <c r="AL75" s="78">
        <f t="shared" si="31"/>
        <v>-71843.839999999967</v>
      </c>
      <c r="AM75" s="254">
        <f t="shared" si="31"/>
        <v>-286222.67000000004</v>
      </c>
      <c r="AN75" s="254">
        <f t="shared" si="31"/>
        <v>-476901.62</v>
      </c>
      <c r="AO75" s="77"/>
      <c r="AP75" s="189"/>
    </row>
    <row r="76" spans="1:47" x14ac:dyDescent="0.25">
      <c r="A76" s="4"/>
      <c r="B76" s="35" t="s">
        <v>63</v>
      </c>
      <c r="C76" s="108"/>
      <c r="D76" s="79"/>
      <c r="E76" s="79"/>
      <c r="F76" s="79"/>
      <c r="G76" s="79"/>
      <c r="H76" s="79"/>
      <c r="I76" s="79"/>
      <c r="J76" s="79"/>
      <c r="K76" s="79"/>
      <c r="L76" s="110"/>
      <c r="M76" s="79"/>
      <c r="N76" s="79"/>
      <c r="O76" s="79"/>
      <c r="P76" s="79"/>
      <c r="Q76" s="79"/>
      <c r="R76" s="79"/>
      <c r="S76" s="79"/>
      <c r="T76" s="79"/>
      <c r="U76" s="79"/>
      <c r="V76" s="79"/>
      <c r="W76" s="79">
        <v>0</v>
      </c>
      <c r="X76" s="110">
        <v>0</v>
      </c>
      <c r="Y76" s="79">
        <v>0</v>
      </c>
      <c r="Z76" s="79">
        <v>0</v>
      </c>
      <c r="AA76" s="79"/>
      <c r="AB76" s="79"/>
      <c r="AC76" s="110"/>
      <c r="AD76" s="79">
        <f t="shared" si="31"/>
        <v>0</v>
      </c>
      <c r="AE76" s="79">
        <f t="shared" si="31"/>
        <v>0</v>
      </c>
      <c r="AF76" s="79">
        <f t="shared" si="31"/>
        <v>0</v>
      </c>
      <c r="AG76" s="79">
        <f t="shared" si="31"/>
        <v>0</v>
      </c>
      <c r="AH76" s="79">
        <f t="shared" si="31"/>
        <v>0</v>
      </c>
      <c r="AI76" s="79">
        <f t="shared" si="31"/>
        <v>0</v>
      </c>
      <c r="AJ76" s="78">
        <f t="shared" si="31"/>
        <v>0</v>
      </c>
      <c r="AK76" s="78">
        <f t="shared" si="31"/>
        <v>0</v>
      </c>
      <c r="AL76" s="78">
        <f t="shared" si="31"/>
        <v>0</v>
      </c>
      <c r="AM76" s="254">
        <f t="shared" si="31"/>
        <v>0</v>
      </c>
      <c r="AN76" s="254">
        <f t="shared" si="31"/>
        <v>0</v>
      </c>
      <c r="AO76" s="77"/>
      <c r="AP76" s="189"/>
    </row>
    <row r="77" spans="1:47" x14ac:dyDescent="0.25">
      <c r="A77" s="4"/>
      <c r="B77" s="35" t="s">
        <v>38</v>
      </c>
      <c r="C77" s="108">
        <v>18671.939999999999</v>
      </c>
      <c r="D77" s="79">
        <v>23528.560000000001</v>
      </c>
      <c r="E77" s="79">
        <v>47485.83</v>
      </c>
      <c r="F77" s="79">
        <v>50287.82</v>
      </c>
      <c r="G77" s="79">
        <v>53176.01</v>
      </c>
      <c r="H77" s="79">
        <v>42734.400000000001</v>
      </c>
      <c r="I77" s="79">
        <v>35577.599999999999</v>
      </c>
      <c r="J77" s="79">
        <v>28656.83</v>
      </c>
      <c r="K77" s="79">
        <v>25016.720000000001</v>
      </c>
      <c r="L77" s="110">
        <v>17608.330000000002</v>
      </c>
      <c r="M77" s="79">
        <v>16247.36</v>
      </c>
      <c r="N77" s="79">
        <v>17230.52</v>
      </c>
      <c r="O77" s="79">
        <v>23840.560000000001</v>
      </c>
      <c r="P77" s="79">
        <v>50575.73</v>
      </c>
      <c r="Q77" s="79">
        <v>83775.23</v>
      </c>
      <c r="R77" s="79">
        <v>108921.66</v>
      </c>
      <c r="S77" s="79">
        <v>128317.57</v>
      </c>
      <c r="T77" s="79">
        <v>120448.86</v>
      </c>
      <c r="U77" s="79">
        <v>74143.47</v>
      </c>
      <c r="V77" s="79">
        <v>42034.31</v>
      </c>
      <c r="W77" s="79">
        <v>42982.51</v>
      </c>
      <c r="X77" s="110">
        <v>43547.519999999997</v>
      </c>
      <c r="Y77" s="79">
        <v>43378.62</v>
      </c>
      <c r="Z77" s="79">
        <v>44001.2</v>
      </c>
      <c r="AA77" s="79"/>
      <c r="AB77" s="79"/>
      <c r="AC77" s="110"/>
      <c r="AD77" s="79">
        <f t="shared" si="31"/>
        <v>-5168.6200000000026</v>
      </c>
      <c r="AE77" s="79">
        <f t="shared" si="31"/>
        <v>-27047.170000000002</v>
      </c>
      <c r="AF77" s="79">
        <f t="shared" si="31"/>
        <v>-36289.399999999994</v>
      </c>
      <c r="AG77" s="79">
        <f t="shared" si="31"/>
        <v>-58633.840000000004</v>
      </c>
      <c r="AH77" s="79">
        <f t="shared" si="31"/>
        <v>-75141.56</v>
      </c>
      <c r="AI77" s="79">
        <f t="shared" si="31"/>
        <v>-77714.459999999992</v>
      </c>
      <c r="AJ77" s="78">
        <f t="shared" si="31"/>
        <v>-38565.870000000003</v>
      </c>
      <c r="AK77" s="78">
        <f t="shared" si="31"/>
        <v>-13377.479999999996</v>
      </c>
      <c r="AL77" s="78">
        <f t="shared" si="31"/>
        <v>-17965.79</v>
      </c>
      <c r="AM77" s="254">
        <f t="shared" si="31"/>
        <v>-25939.189999999995</v>
      </c>
      <c r="AN77" s="254">
        <f t="shared" si="31"/>
        <v>-27131.260000000002</v>
      </c>
      <c r="AO77" s="77"/>
      <c r="AP77" s="189"/>
    </row>
    <row r="78" spans="1:47" x14ac:dyDescent="0.25">
      <c r="A78" s="4"/>
      <c r="B78" s="35" t="s">
        <v>39</v>
      </c>
      <c r="C78" s="108">
        <v>6436.51</v>
      </c>
      <c r="D78" s="79">
        <v>2351.38</v>
      </c>
      <c r="E78" s="79">
        <v>30735.759999999998</v>
      </c>
      <c r="F78" s="79">
        <v>43293.83</v>
      </c>
      <c r="G78" s="79">
        <v>29072.52</v>
      </c>
      <c r="H78" s="79">
        <v>26548.560000000001</v>
      </c>
      <c r="I78" s="79">
        <v>22905.73</v>
      </c>
      <c r="J78" s="79">
        <v>20243.080000000002</v>
      </c>
      <c r="K78" s="79">
        <v>14202.77</v>
      </c>
      <c r="L78" s="110">
        <v>11601.94</v>
      </c>
      <c r="M78" s="79">
        <v>4112.78</v>
      </c>
      <c r="N78" s="79">
        <v>7812.56</v>
      </c>
      <c r="O78" s="79">
        <v>18959.310000000001</v>
      </c>
      <c r="P78" s="79">
        <v>53415.67</v>
      </c>
      <c r="Q78" s="79">
        <v>115737.54</v>
      </c>
      <c r="R78" s="79">
        <v>198284.34</v>
      </c>
      <c r="S78" s="79">
        <v>231699.51</v>
      </c>
      <c r="T78" s="79">
        <v>239389.4</v>
      </c>
      <c r="U78" s="79">
        <v>136698.09</v>
      </c>
      <c r="V78" s="79">
        <v>128130.21</v>
      </c>
      <c r="W78" s="79">
        <v>132673</v>
      </c>
      <c r="X78" s="110">
        <v>113569.51</v>
      </c>
      <c r="Y78" s="79">
        <v>86869.56</v>
      </c>
      <c r="Z78" s="79">
        <v>68948.39</v>
      </c>
      <c r="AA78" s="79"/>
      <c r="AB78" s="79"/>
      <c r="AC78" s="110"/>
      <c r="AD78" s="79">
        <f t="shared" si="31"/>
        <v>-12522.800000000001</v>
      </c>
      <c r="AE78" s="79">
        <f t="shared" si="31"/>
        <v>-51064.29</v>
      </c>
      <c r="AF78" s="79">
        <f t="shared" si="31"/>
        <v>-85001.78</v>
      </c>
      <c r="AG78" s="79">
        <f t="shared" si="31"/>
        <v>-154990.51</v>
      </c>
      <c r="AH78" s="79">
        <f t="shared" si="31"/>
        <v>-202626.99000000002</v>
      </c>
      <c r="AI78" s="79">
        <f t="shared" si="31"/>
        <v>-212840.84</v>
      </c>
      <c r="AJ78" s="78">
        <f t="shared" si="31"/>
        <v>-113792.36</v>
      </c>
      <c r="AK78" s="78">
        <f t="shared" si="31"/>
        <v>-107887.13</v>
      </c>
      <c r="AL78" s="78">
        <f t="shared" si="31"/>
        <v>-118470.23</v>
      </c>
      <c r="AM78" s="254">
        <f t="shared" si="31"/>
        <v>-101967.56999999999</v>
      </c>
      <c r="AN78" s="254">
        <f t="shared" si="31"/>
        <v>-82756.78</v>
      </c>
      <c r="AO78" s="77"/>
      <c r="AP78" s="189"/>
    </row>
    <row r="79" spans="1:47" x14ac:dyDescent="0.25">
      <c r="A79" s="4"/>
      <c r="B79" s="35" t="s">
        <v>40</v>
      </c>
      <c r="C79" s="108">
        <v>0</v>
      </c>
      <c r="D79" s="79">
        <v>0</v>
      </c>
      <c r="E79" s="79">
        <v>0</v>
      </c>
      <c r="F79" s="79">
        <v>0</v>
      </c>
      <c r="G79" s="79">
        <v>0</v>
      </c>
      <c r="H79" s="79">
        <v>0</v>
      </c>
      <c r="I79" s="79">
        <v>0</v>
      </c>
      <c r="J79" s="79">
        <v>0</v>
      </c>
      <c r="K79" s="79">
        <v>0</v>
      </c>
      <c r="L79" s="110">
        <v>44.71</v>
      </c>
      <c r="M79" s="79">
        <v>239.83</v>
      </c>
      <c r="N79" s="79">
        <v>242.02</v>
      </c>
      <c r="O79" s="79">
        <v>0</v>
      </c>
      <c r="P79" s="79">
        <v>0</v>
      </c>
      <c r="Q79" s="79">
        <v>0</v>
      </c>
      <c r="R79" s="79">
        <v>25423.25</v>
      </c>
      <c r="S79" s="79">
        <v>112115.38</v>
      </c>
      <c r="T79" s="79">
        <v>36715.9</v>
      </c>
      <c r="U79" s="79">
        <v>1972.37</v>
      </c>
      <c r="V79" s="79">
        <v>1252.43</v>
      </c>
      <c r="W79" s="79">
        <v>2568.9499999999998</v>
      </c>
      <c r="X79" s="110">
        <v>0</v>
      </c>
      <c r="Y79" s="79">
        <v>0</v>
      </c>
      <c r="Z79" s="79">
        <v>0</v>
      </c>
      <c r="AA79" s="79"/>
      <c r="AB79" s="79"/>
      <c r="AC79" s="110"/>
      <c r="AD79" s="79">
        <f t="shared" si="31"/>
        <v>0</v>
      </c>
      <c r="AE79" s="79">
        <f t="shared" si="31"/>
        <v>0</v>
      </c>
      <c r="AF79" s="79">
        <f t="shared" si="31"/>
        <v>0</v>
      </c>
      <c r="AG79" s="79">
        <f t="shared" si="31"/>
        <v>-25423.25</v>
      </c>
      <c r="AH79" s="79">
        <f t="shared" si="31"/>
        <v>-112115.38</v>
      </c>
      <c r="AI79" s="79">
        <f t="shared" si="31"/>
        <v>-36715.9</v>
      </c>
      <c r="AJ79" s="78">
        <f t="shared" si="31"/>
        <v>-1972.37</v>
      </c>
      <c r="AK79" s="78">
        <f t="shared" si="31"/>
        <v>-1252.43</v>
      </c>
      <c r="AL79" s="78">
        <f t="shared" si="31"/>
        <v>-2568.9499999999998</v>
      </c>
      <c r="AM79" s="254">
        <f t="shared" si="31"/>
        <v>44.71</v>
      </c>
      <c r="AN79" s="254">
        <f t="shared" si="31"/>
        <v>239.83</v>
      </c>
      <c r="AO79" s="77"/>
      <c r="AP79" s="189"/>
    </row>
    <row r="80" spans="1:47" x14ac:dyDescent="0.25">
      <c r="A80" s="4"/>
      <c r="B80" s="35" t="s">
        <v>41</v>
      </c>
      <c r="C80" s="108">
        <f>SUM(C73:C79)</f>
        <v>1312846.28</v>
      </c>
      <c r="D80" s="79">
        <f>SUM(D73:D79)</f>
        <v>1393529.54</v>
      </c>
      <c r="E80" s="79">
        <f t="shared" ref="E80:AK80" si="32">SUM(E73:E79)</f>
        <v>1533479.58</v>
      </c>
      <c r="F80" s="79">
        <f t="shared" si="32"/>
        <v>1782095.7900000003</v>
      </c>
      <c r="G80" s="79">
        <f t="shared" si="32"/>
        <v>1982757.9200000002</v>
      </c>
      <c r="H80" s="79">
        <f t="shared" si="32"/>
        <v>1798855.5</v>
      </c>
      <c r="I80" s="79">
        <f t="shared" si="32"/>
        <v>1555758.37</v>
      </c>
      <c r="J80" s="79">
        <f t="shared" si="32"/>
        <v>1372283.5</v>
      </c>
      <c r="K80" s="79">
        <f t="shared" si="32"/>
        <v>1324007.6399999999</v>
      </c>
      <c r="L80" s="110">
        <f t="shared" si="32"/>
        <v>1281763.95</v>
      </c>
      <c r="M80" s="79">
        <f t="shared" si="32"/>
        <v>1152530.79</v>
      </c>
      <c r="N80" s="79">
        <f t="shared" si="32"/>
        <v>1277275.27</v>
      </c>
      <c r="O80" s="79">
        <f t="shared" si="32"/>
        <v>1677825.4700000002</v>
      </c>
      <c r="P80" s="79">
        <f t="shared" si="32"/>
        <v>2414631.4</v>
      </c>
      <c r="Q80" s="79">
        <f t="shared" si="32"/>
        <v>3128038.39</v>
      </c>
      <c r="R80" s="79">
        <f t="shared" si="32"/>
        <v>3296574.4400000004</v>
      </c>
      <c r="S80" s="79">
        <f t="shared" si="32"/>
        <v>3508610.4299999997</v>
      </c>
      <c r="T80" s="79">
        <f t="shared" si="32"/>
        <v>3739303.61</v>
      </c>
      <c r="U80" s="175">
        <f t="shared" si="32"/>
        <v>3560446.7000000007</v>
      </c>
      <c r="V80" s="175">
        <f t="shared" si="32"/>
        <v>3300670.9300000006</v>
      </c>
      <c r="W80" s="175">
        <f t="shared" ref="W80:Z80" si="33">SUM(W73:W79)</f>
        <v>3402051.3599999994</v>
      </c>
      <c r="X80" s="110">
        <f t="shared" si="33"/>
        <v>3485533.2199999997</v>
      </c>
      <c r="Y80" s="110">
        <f t="shared" si="33"/>
        <v>3653679.11</v>
      </c>
      <c r="Z80" s="110">
        <f t="shared" si="33"/>
        <v>3785293.3800000004</v>
      </c>
      <c r="AA80" s="109"/>
      <c r="AB80" s="109"/>
      <c r="AC80" s="110"/>
      <c r="AD80" s="79">
        <f t="shared" si="32"/>
        <v>-364979.19</v>
      </c>
      <c r="AE80" s="79">
        <f t="shared" si="32"/>
        <v>-1021101.8600000001</v>
      </c>
      <c r="AF80" s="79">
        <f t="shared" si="32"/>
        <v>-1594558.81</v>
      </c>
      <c r="AG80" s="79">
        <f t="shared" si="32"/>
        <v>-1514478.6500000004</v>
      </c>
      <c r="AH80" s="79">
        <f t="shared" si="32"/>
        <v>-1525852.5100000002</v>
      </c>
      <c r="AI80" s="79">
        <f t="shared" si="32"/>
        <v>-1940448.11</v>
      </c>
      <c r="AJ80" s="78">
        <f t="shared" si="32"/>
        <v>-2004688.3300000005</v>
      </c>
      <c r="AK80" s="78">
        <f t="shared" si="32"/>
        <v>-1928387.43</v>
      </c>
      <c r="AL80" s="78">
        <f t="shared" ref="AL80:AN80" si="34">SUM(AL73:AL79)</f>
        <v>-2078043.72</v>
      </c>
      <c r="AM80" s="254">
        <f t="shared" si="34"/>
        <v>-2203769.2699999996</v>
      </c>
      <c r="AN80" s="254">
        <f t="shared" si="34"/>
        <v>-2501148.3199999994</v>
      </c>
      <c r="AO80" s="77"/>
      <c r="AP80" s="189"/>
    </row>
    <row r="81" spans="1:42" x14ac:dyDescent="0.25">
      <c r="A81" s="4">
        <f>+A72+1</f>
        <v>9</v>
      </c>
      <c r="B81" s="42" t="s">
        <v>42</v>
      </c>
      <c r="C81" s="108"/>
      <c r="D81" s="79"/>
      <c r="E81" s="79"/>
      <c r="F81" s="79"/>
      <c r="G81" s="79"/>
      <c r="H81" s="79"/>
      <c r="I81" s="79"/>
      <c r="J81" s="79"/>
      <c r="K81" s="79"/>
      <c r="L81" s="110"/>
      <c r="M81" s="79"/>
      <c r="N81" s="79"/>
      <c r="O81" s="79"/>
      <c r="P81" s="79"/>
      <c r="Q81" s="79"/>
      <c r="R81" s="79"/>
      <c r="S81" s="79"/>
      <c r="T81" s="79"/>
      <c r="U81" s="175"/>
      <c r="V81" s="109"/>
      <c r="W81" s="109"/>
      <c r="X81" s="110"/>
      <c r="Y81" s="109"/>
      <c r="Z81" s="109"/>
      <c r="AA81" s="109"/>
      <c r="AB81" s="109"/>
      <c r="AC81" s="110"/>
      <c r="AD81" s="79"/>
      <c r="AE81" s="79"/>
      <c r="AF81" s="79"/>
      <c r="AG81" s="79"/>
      <c r="AH81" s="79"/>
      <c r="AI81" s="79"/>
      <c r="AJ81" s="78"/>
      <c r="AK81" s="314"/>
      <c r="AL81" s="314"/>
      <c r="AM81" s="314"/>
      <c r="AN81" s="429"/>
      <c r="AO81" s="77"/>
      <c r="AP81" s="189"/>
    </row>
    <row r="82" spans="1:42" x14ac:dyDescent="0.25">
      <c r="A82" s="4"/>
      <c r="B82" s="35" t="s">
        <v>60</v>
      </c>
      <c r="C82" s="108">
        <f>SUM(C55+C64+C73)</f>
        <v>3078951.17</v>
      </c>
      <c r="D82" s="77">
        <f>SUM(D55+D64+D73)</f>
        <v>3180627.34</v>
      </c>
      <c r="E82" s="77">
        <f>SUM(E55+E64+E73)</f>
        <v>2861146.44</v>
      </c>
      <c r="F82" s="77">
        <f t="shared" ref="F82:V82" si="35">SUM(F55+F64+F73)</f>
        <v>2476669.91</v>
      </c>
      <c r="G82" s="77">
        <f t="shared" si="35"/>
        <v>1976984.96</v>
      </c>
      <c r="H82" s="77">
        <f>SUM(H55+H73+H64)</f>
        <v>1625060.47</v>
      </c>
      <c r="I82" s="77">
        <f t="shared" si="35"/>
        <v>1332224.3</v>
      </c>
      <c r="J82" s="77">
        <f t="shared" si="35"/>
        <v>1157506.21</v>
      </c>
      <c r="K82" s="77">
        <f t="shared" si="35"/>
        <v>1136902.6400000001</v>
      </c>
      <c r="L82" s="78">
        <f t="shared" si="35"/>
        <v>1471549.4900000002</v>
      </c>
      <c r="M82" s="79">
        <f t="shared" si="35"/>
        <v>2144349.6100000003</v>
      </c>
      <c r="N82" s="79">
        <f t="shared" si="35"/>
        <v>2879225.98</v>
      </c>
      <c r="O82" s="79">
        <f t="shared" si="35"/>
        <v>3393412.36</v>
      </c>
      <c r="P82" s="79">
        <f t="shared" si="35"/>
        <v>3790769.37</v>
      </c>
      <c r="Q82" s="79">
        <f t="shared" si="35"/>
        <v>4158584.8200000003</v>
      </c>
      <c r="R82" s="79">
        <f t="shared" si="35"/>
        <v>4447489.66</v>
      </c>
      <c r="S82" s="79">
        <f t="shared" si="35"/>
        <v>3854649.3600000003</v>
      </c>
      <c r="T82" s="79">
        <f t="shared" si="35"/>
        <v>3620404.22</v>
      </c>
      <c r="U82" s="189">
        <f t="shared" si="35"/>
        <v>3439204.49</v>
      </c>
      <c r="V82" s="189">
        <f t="shared" si="35"/>
        <v>3228951.7800000003</v>
      </c>
      <c r="W82" s="189">
        <f t="shared" ref="W82:Z82" si="36">SUM(W55+W64+W73)</f>
        <v>3166809.8099999996</v>
      </c>
      <c r="X82" s="78">
        <f t="shared" si="36"/>
        <v>3370744.1</v>
      </c>
      <c r="Y82" s="78">
        <f t="shared" si="36"/>
        <v>4165683.71</v>
      </c>
      <c r="Z82" s="78">
        <f t="shared" si="36"/>
        <v>5473367.3300000001</v>
      </c>
      <c r="AA82" s="109"/>
      <c r="AB82" s="109"/>
      <c r="AC82" s="110"/>
      <c r="AD82" s="79">
        <f t="shared" ref="AD82:AN88" si="37">C82-O82</f>
        <v>-314461.18999999994</v>
      </c>
      <c r="AE82" s="79">
        <f t="shared" si="37"/>
        <v>-610142.03000000026</v>
      </c>
      <c r="AF82" s="79">
        <f t="shared" si="37"/>
        <v>-1297438.3800000004</v>
      </c>
      <c r="AG82" s="79">
        <f t="shared" si="37"/>
        <v>-1970819.75</v>
      </c>
      <c r="AH82" s="79">
        <f t="shared" si="37"/>
        <v>-1877664.4000000004</v>
      </c>
      <c r="AI82" s="79">
        <f t="shared" si="37"/>
        <v>-1995343.7500000002</v>
      </c>
      <c r="AJ82" s="78">
        <f t="shared" si="37"/>
        <v>-2106980.1900000004</v>
      </c>
      <c r="AK82" s="78">
        <f t="shared" si="37"/>
        <v>-2071445.5700000003</v>
      </c>
      <c r="AL82" s="78">
        <f t="shared" si="37"/>
        <v>-2029907.1699999995</v>
      </c>
      <c r="AM82" s="254">
        <f t="shared" si="37"/>
        <v>-1899194.6099999999</v>
      </c>
      <c r="AN82" s="254">
        <f t="shared" si="37"/>
        <v>-2021334.0999999996</v>
      </c>
      <c r="AO82" s="77"/>
      <c r="AP82" s="189"/>
    </row>
    <row r="83" spans="1:42" x14ac:dyDescent="0.25">
      <c r="A83" s="4"/>
      <c r="B83" s="35" t="s">
        <v>61</v>
      </c>
      <c r="C83" s="108"/>
      <c r="D83" s="77"/>
      <c r="E83" s="77"/>
      <c r="F83" s="77"/>
      <c r="G83" s="77"/>
      <c r="H83" s="77"/>
      <c r="I83" s="77"/>
      <c r="J83" s="77"/>
      <c r="K83" s="77"/>
      <c r="L83" s="109"/>
      <c r="M83" s="109"/>
      <c r="N83" s="79"/>
      <c r="O83" s="79"/>
      <c r="P83" s="79"/>
      <c r="Q83" s="79"/>
      <c r="R83" s="79"/>
      <c r="S83" s="79"/>
      <c r="T83" s="79"/>
      <c r="U83" s="189"/>
      <c r="V83" s="189"/>
      <c r="W83" s="189">
        <f>SUM(W56+W65+W74)</f>
        <v>3691.8500000000004</v>
      </c>
      <c r="X83" s="78">
        <f>SUM(X56+X65+X74)</f>
        <v>11572.09</v>
      </c>
      <c r="Y83" s="78">
        <f>SUM(Y56+Y65+Y74)</f>
        <v>19112.689999999999</v>
      </c>
      <c r="Z83" s="78">
        <f t="shared" ref="Z83" si="38">SUM(Z56+Z65+Z74)</f>
        <v>26157.41</v>
      </c>
      <c r="AA83" s="109"/>
      <c r="AB83" s="109"/>
      <c r="AC83" s="110"/>
      <c r="AD83" s="79">
        <f t="shared" si="37"/>
        <v>0</v>
      </c>
      <c r="AE83" s="79">
        <f t="shared" si="37"/>
        <v>0</v>
      </c>
      <c r="AF83" s="79">
        <f t="shared" si="37"/>
        <v>0</v>
      </c>
      <c r="AG83" s="79">
        <f t="shared" si="37"/>
        <v>0</v>
      </c>
      <c r="AH83" s="79">
        <f t="shared" si="37"/>
        <v>0</v>
      </c>
      <c r="AI83" s="79">
        <f t="shared" si="37"/>
        <v>0</v>
      </c>
      <c r="AJ83" s="78">
        <f t="shared" si="37"/>
        <v>0</v>
      </c>
      <c r="AK83" s="78">
        <f t="shared" si="37"/>
        <v>0</v>
      </c>
      <c r="AL83" s="78">
        <f t="shared" si="37"/>
        <v>-3691.8500000000004</v>
      </c>
      <c r="AM83" s="254">
        <f t="shared" si="37"/>
        <v>-11572.09</v>
      </c>
      <c r="AN83" s="254">
        <f t="shared" si="37"/>
        <v>-19112.689999999999</v>
      </c>
      <c r="AO83" s="77"/>
      <c r="AP83" s="189"/>
    </row>
    <row r="84" spans="1:42" x14ac:dyDescent="0.25">
      <c r="A84" s="4"/>
      <c r="B84" s="35" t="s">
        <v>62</v>
      </c>
      <c r="C84" s="108">
        <f>SUM(C57+C66+C75)</f>
        <v>1497238.7</v>
      </c>
      <c r="D84" s="77">
        <f t="shared" ref="D84:V84" si="39">SUM(D57+D66+D75)</f>
        <v>1469460.12</v>
      </c>
      <c r="E84" s="77">
        <f t="shared" si="39"/>
        <v>1163198.8700000001</v>
      </c>
      <c r="F84" s="77">
        <f t="shared" si="39"/>
        <v>1071717.02</v>
      </c>
      <c r="G84" s="77">
        <f>SUM(G57+G66+G75)</f>
        <v>996001.34000000008</v>
      </c>
      <c r="H84" s="77">
        <f>SUM(H57+H66+H75)</f>
        <v>894353.51</v>
      </c>
      <c r="I84" s="77">
        <f t="shared" si="39"/>
        <v>828359.91999999993</v>
      </c>
      <c r="J84" s="77">
        <f t="shared" si="39"/>
        <v>787617.59</v>
      </c>
      <c r="K84" s="77">
        <f t="shared" si="39"/>
        <v>824109.14</v>
      </c>
      <c r="L84" s="109">
        <f t="shared" si="39"/>
        <v>948375.52</v>
      </c>
      <c r="M84" s="108">
        <f t="shared" si="39"/>
        <v>1109618.5499999998</v>
      </c>
      <c r="N84" s="77">
        <f t="shared" si="39"/>
        <v>1345640.97</v>
      </c>
      <c r="O84" s="77">
        <f t="shared" si="39"/>
        <v>1477971.38</v>
      </c>
      <c r="P84" s="77">
        <f t="shared" si="39"/>
        <v>1717545.99</v>
      </c>
      <c r="Q84" s="77">
        <f t="shared" si="39"/>
        <v>1765582.08</v>
      </c>
      <c r="R84" s="77">
        <f t="shared" si="39"/>
        <v>736333.82000000007</v>
      </c>
      <c r="S84" s="77">
        <f t="shared" si="39"/>
        <v>508194.12</v>
      </c>
      <c r="T84" s="77">
        <f t="shared" si="39"/>
        <v>628270.55000000005</v>
      </c>
      <c r="U84" s="189">
        <f t="shared" si="39"/>
        <v>967984.77</v>
      </c>
      <c r="V84" s="189">
        <f t="shared" si="39"/>
        <v>1062875.19</v>
      </c>
      <c r="W84" s="189">
        <f t="shared" ref="W84:Z85" si="40">SUM(W57+W66+W75)</f>
        <v>1274302.1499999999</v>
      </c>
      <c r="X84" s="78">
        <f t="shared" si="40"/>
        <v>1422583.9</v>
      </c>
      <c r="Y84" s="78">
        <f t="shared" si="40"/>
        <v>1864154.9</v>
      </c>
      <c r="Z84" s="78">
        <f t="shared" si="40"/>
        <v>2472487.79</v>
      </c>
      <c r="AA84" s="109"/>
      <c r="AB84" s="109"/>
      <c r="AC84" s="110"/>
      <c r="AD84" s="79">
        <f t="shared" si="37"/>
        <v>19267.320000000065</v>
      </c>
      <c r="AE84" s="79">
        <f t="shared" si="37"/>
        <v>-248085.86999999988</v>
      </c>
      <c r="AF84" s="79">
        <f t="shared" si="37"/>
        <v>-602383.21</v>
      </c>
      <c r="AG84" s="79">
        <f t="shared" si="37"/>
        <v>335383.19999999995</v>
      </c>
      <c r="AH84" s="79">
        <f t="shared" si="37"/>
        <v>487807.22000000009</v>
      </c>
      <c r="AI84" s="79">
        <f t="shared" si="37"/>
        <v>266082.95999999996</v>
      </c>
      <c r="AJ84" s="78">
        <f t="shared" si="37"/>
        <v>-139624.85000000009</v>
      </c>
      <c r="AK84" s="78">
        <f t="shared" si="37"/>
        <v>-275257.59999999998</v>
      </c>
      <c r="AL84" s="78">
        <f t="shared" si="37"/>
        <v>-450193.00999999989</v>
      </c>
      <c r="AM84" s="254">
        <f t="shared" si="37"/>
        <v>-474208.37999999989</v>
      </c>
      <c r="AN84" s="254">
        <f t="shared" si="37"/>
        <v>-754536.35000000009</v>
      </c>
      <c r="AO84" s="77"/>
      <c r="AP84" s="189"/>
    </row>
    <row r="85" spans="1:42" x14ac:dyDescent="0.25">
      <c r="A85" s="4"/>
      <c r="B85" s="35" t="s">
        <v>63</v>
      </c>
      <c r="C85" s="108"/>
      <c r="D85" s="77"/>
      <c r="E85" s="77"/>
      <c r="F85" s="77"/>
      <c r="G85" s="77"/>
      <c r="H85" s="77"/>
      <c r="I85" s="77"/>
      <c r="J85" s="77"/>
      <c r="K85" s="77"/>
      <c r="L85" s="109"/>
      <c r="M85" s="108"/>
      <c r="N85" s="77"/>
      <c r="O85" s="77"/>
      <c r="P85" s="77"/>
      <c r="Q85" s="77"/>
      <c r="R85" s="77"/>
      <c r="S85" s="77"/>
      <c r="T85" s="77"/>
      <c r="U85" s="189"/>
      <c r="V85" s="189"/>
      <c r="W85" s="189">
        <f t="shared" si="40"/>
        <v>0</v>
      </c>
      <c r="X85" s="78">
        <f t="shared" si="40"/>
        <v>0</v>
      </c>
      <c r="Y85" s="78">
        <f t="shared" si="40"/>
        <v>0</v>
      </c>
      <c r="Z85" s="78">
        <f t="shared" si="40"/>
        <v>0</v>
      </c>
      <c r="AA85" s="109"/>
      <c r="AB85" s="109"/>
      <c r="AC85" s="110"/>
      <c r="AD85" s="79">
        <f t="shared" si="37"/>
        <v>0</v>
      </c>
      <c r="AE85" s="79">
        <f t="shared" si="37"/>
        <v>0</v>
      </c>
      <c r="AF85" s="79">
        <f t="shared" si="37"/>
        <v>0</v>
      </c>
      <c r="AG85" s="79">
        <f t="shared" si="37"/>
        <v>0</v>
      </c>
      <c r="AH85" s="79">
        <f t="shared" si="37"/>
        <v>0</v>
      </c>
      <c r="AI85" s="79">
        <f t="shared" si="37"/>
        <v>0</v>
      </c>
      <c r="AJ85" s="78">
        <f t="shared" si="37"/>
        <v>0</v>
      </c>
      <c r="AK85" s="78">
        <f t="shared" si="37"/>
        <v>0</v>
      </c>
      <c r="AL85" s="78">
        <f t="shared" si="37"/>
        <v>0</v>
      </c>
      <c r="AM85" s="254">
        <f t="shared" si="37"/>
        <v>0</v>
      </c>
      <c r="AN85" s="254">
        <f t="shared" si="37"/>
        <v>0</v>
      </c>
      <c r="AO85" s="77"/>
      <c r="AP85" s="189"/>
    </row>
    <row r="86" spans="1:42" x14ac:dyDescent="0.25">
      <c r="A86" s="4"/>
      <c r="B86" s="35" t="s">
        <v>38</v>
      </c>
      <c r="C86" s="108">
        <f>SUM(C59+C68+C77)</f>
        <v>361940.41000000003</v>
      </c>
      <c r="D86" s="77">
        <f t="shared" ref="D86:V86" si="41">SUM(D59+D68+D77)</f>
        <v>203534.76</v>
      </c>
      <c r="E86" s="77">
        <f t="shared" si="41"/>
        <v>174104.93</v>
      </c>
      <c r="F86" s="77">
        <f t="shared" si="41"/>
        <v>134061.98000000001</v>
      </c>
      <c r="G86" s="77">
        <f t="shared" si="41"/>
        <v>96921.518000000011</v>
      </c>
      <c r="H86" s="77">
        <f t="shared" si="41"/>
        <v>77322.989999999991</v>
      </c>
      <c r="I86" s="77">
        <f t="shared" si="41"/>
        <v>66746.23</v>
      </c>
      <c r="J86" s="77">
        <f t="shared" si="41"/>
        <v>53856.480000000003</v>
      </c>
      <c r="K86" s="77">
        <f t="shared" si="41"/>
        <v>56464.43</v>
      </c>
      <c r="L86" s="109">
        <f t="shared" si="41"/>
        <v>69575.600000000006</v>
      </c>
      <c r="M86" s="108">
        <f t="shared" si="41"/>
        <v>140243.15</v>
      </c>
      <c r="N86" s="77">
        <f t="shared" si="41"/>
        <v>264376.21000000002</v>
      </c>
      <c r="O86" s="77">
        <f t="shared" si="41"/>
        <v>280170.52999999997</v>
      </c>
      <c r="P86" s="77">
        <f t="shared" si="41"/>
        <v>340627.68999999994</v>
      </c>
      <c r="Q86" s="77">
        <f t="shared" si="41"/>
        <v>402349.93</v>
      </c>
      <c r="R86" s="77">
        <f t="shared" si="41"/>
        <v>263644.13</v>
      </c>
      <c r="S86" s="77">
        <f t="shared" si="41"/>
        <v>215340.03000000003</v>
      </c>
      <c r="T86" s="77">
        <f t="shared" si="41"/>
        <v>335555.45</v>
      </c>
      <c r="U86" s="189">
        <f t="shared" si="41"/>
        <v>105351.69</v>
      </c>
      <c r="V86" s="189">
        <f t="shared" si="41"/>
        <v>73553.859999999986</v>
      </c>
      <c r="W86" s="189">
        <f t="shared" ref="W86:Z86" si="42">SUM(W59+W68+W77)</f>
        <v>87754.209999999992</v>
      </c>
      <c r="X86" s="78">
        <f t="shared" si="42"/>
        <v>117223.41999999998</v>
      </c>
      <c r="Y86" s="78">
        <f t="shared" si="42"/>
        <v>203729.39</v>
      </c>
      <c r="Z86" s="78">
        <f t="shared" si="42"/>
        <v>351447.10000000003</v>
      </c>
      <c r="AA86" s="109"/>
      <c r="AB86" s="109"/>
      <c r="AC86" s="110"/>
      <c r="AD86" s="79">
        <f t="shared" si="37"/>
        <v>81769.880000000063</v>
      </c>
      <c r="AE86" s="79">
        <f t="shared" si="37"/>
        <v>-137092.92999999993</v>
      </c>
      <c r="AF86" s="79">
        <f t="shared" si="37"/>
        <v>-228245</v>
      </c>
      <c r="AG86" s="79">
        <f t="shared" si="37"/>
        <v>-129582.15</v>
      </c>
      <c r="AH86" s="79">
        <f t="shared" si="37"/>
        <v>-118418.51200000002</v>
      </c>
      <c r="AI86" s="79">
        <f t="shared" si="37"/>
        <v>-258232.46000000002</v>
      </c>
      <c r="AJ86" s="78">
        <f t="shared" si="37"/>
        <v>-38605.460000000006</v>
      </c>
      <c r="AK86" s="78">
        <f t="shared" si="37"/>
        <v>-19697.379999999983</v>
      </c>
      <c r="AL86" s="78">
        <f t="shared" si="37"/>
        <v>-31289.779999999992</v>
      </c>
      <c r="AM86" s="254">
        <f t="shared" si="37"/>
        <v>-47647.819999999978</v>
      </c>
      <c r="AN86" s="254">
        <f t="shared" si="37"/>
        <v>-63486.24000000002</v>
      </c>
      <c r="AO86" s="77"/>
      <c r="AP86" s="189"/>
    </row>
    <row r="87" spans="1:42" x14ac:dyDescent="0.25">
      <c r="A87" s="4"/>
      <c r="B87" s="35" t="s">
        <v>39</v>
      </c>
      <c r="C87" s="108">
        <f>SUM(C60+C69+C78)</f>
        <v>191205.14</v>
      </c>
      <c r="D87" s="77">
        <f t="shared" ref="D87:V87" si="43">SUM(D60+D69+D78)</f>
        <v>207785.49</v>
      </c>
      <c r="E87" s="77">
        <f t="shared" si="43"/>
        <v>161081.43</v>
      </c>
      <c r="F87" s="77">
        <f t="shared" si="43"/>
        <v>129680.17</v>
      </c>
      <c r="G87" s="77">
        <f t="shared" si="43"/>
        <v>58796.94</v>
      </c>
      <c r="H87" s="77">
        <f t="shared" si="43"/>
        <v>51133.73</v>
      </c>
      <c r="I87" s="77">
        <f t="shared" si="43"/>
        <v>43472.33</v>
      </c>
      <c r="J87" s="77">
        <f t="shared" si="43"/>
        <v>32816.25</v>
      </c>
      <c r="K87" s="77">
        <f t="shared" si="43"/>
        <v>44728.490000000005</v>
      </c>
      <c r="L87" s="109">
        <f t="shared" si="43"/>
        <v>62382.32</v>
      </c>
      <c r="M87" s="108">
        <f t="shared" si="43"/>
        <v>115385.65</v>
      </c>
      <c r="N87" s="77">
        <f t="shared" si="43"/>
        <v>213897.46</v>
      </c>
      <c r="O87" s="77">
        <f t="shared" si="43"/>
        <v>231841.03</v>
      </c>
      <c r="P87" s="77">
        <f t="shared" si="43"/>
        <v>422259.57</v>
      </c>
      <c r="Q87" s="77">
        <f t="shared" si="43"/>
        <v>457225.60000000003</v>
      </c>
      <c r="R87" s="77">
        <f t="shared" si="43"/>
        <v>394544.94999999995</v>
      </c>
      <c r="S87" s="77">
        <f t="shared" si="43"/>
        <v>327628.18</v>
      </c>
      <c r="T87" s="77">
        <f t="shared" si="43"/>
        <v>308741.02</v>
      </c>
      <c r="U87" s="189">
        <f t="shared" si="43"/>
        <v>171199.03999999998</v>
      </c>
      <c r="V87" s="189">
        <f t="shared" si="43"/>
        <v>216023.5</v>
      </c>
      <c r="W87" s="189">
        <f t="shared" ref="W87:Z87" si="44">SUM(W60+W69+W78)</f>
        <v>188279.2</v>
      </c>
      <c r="X87" s="78">
        <f t="shared" si="44"/>
        <v>234956.9</v>
      </c>
      <c r="Y87" s="78">
        <f t="shared" si="44"/>
        <v>363464.43</v>
      </c>
      <c r="Z87" s="78">
        <f t="shared" si="44"/>
        <v>655131.94000000006</v>
      </c>
      <c r="AA87" s="109"/>
      <c r="AB87" s="109"/>
      <c r="AC87" s="110"/>
      <c r="AD87" s="79">
        <f t="shared" si="37"/>
        <v>-40635.889999999985</v>
      </c>
      <c r="AE87" s="79">
        <f t="shared" si="37"/>
        <v>-214474.08000000002</v>
      </c>
      <c r="AF87" s="79">
        <f t="shared" si="37"/>
        <v>-296144.17000000004</v>
      </c>
      <c r="AG87" s="79">
        <f t="shared" si="37"/>
        <v>-264864.77999999997</v>
      </c>
      <c r="AH87" s="79">
        <f t="shared" si="37"/>
        <v>-268831.24</v>
      </c>
      <c r="AI87" s="79">
        <f t="shared" si="37"/>
        <v>-257607.29</v>
      </c>
      <c r="AJ87" s="78">
        <f t="shared" si="37"/>
        <v>-127726.70999999998</v>
      </c>
      <c r="AK87" s="78">
        <f t="shared" si="37"/>
        <v>-183207.25</v>
      </c>
      <c r="AL87" s="78">
        <f t="shared" si="37"/>
        <v>-143550.71000000002</v>
      </c>
      <c r="AM87" s="254">
        <f t="shared" si="37"/>
        <v>-172574.58</v>
      </c>
      <c r="AN87" s="254">
        <f t="shared" si="37"/>
        <v>-248078.78</v>
      </c>
      <c r="AO87" s="77"/>
      <c r="AP87" s="189"/>
    </row>
    <row r="88" spans="1:42" x14ac:dyDescent="0.25">
      <c r="A88" s="4"/>
      <c r="B88" s="35" t="s">
        <v>40</v>
      </c>
      <c r="C88" s="108">
        <f>SUM(C61+C70+C79)</f>
        <v>0</v>
      </c>
      <c r="D88" s="77">
        <f t="shared" ref="D88:T88" si="45">SUM(D61+D70+D79)</f>
        <v>17568.169999999998</v>
      </c>
      <c r="E88" s="77">
        <f t="shared" si="45"/>
        <v>15.32</v>
      </c>
      <c r="F88" s="77">
        <f t="shared" si="45"/>
        <v>16898.810000000001</v>
      </c>
      <c r="G88" s="77">
        <f t="shared" si="45"/>
        <v>46.51</v>
      </c>
      <c r="H88" s="77">
        <f t="shared" si="45"/>
        <v>950.14</v>
      </c>
      <c r="I88" s="77">
        <f t="shared" si="45"/>
        <v>947.11</v>
      </c>
      <c r="J88" s="77">
        <f t="shared" si="45"/>
        <v>9.19</v>
      </c>
      <c r="K88" s="77">
        <f t="shared" si="45"/>
        <v>1562.6000000000001</v>
      </c>
      <c r="L88" s="109">
        <f t="shared" si="45"/>
        <v>242.02</v>
      </c>
      <c r="M88" s="108">
        <f t="shared" si="45"/>
        <v>12626.720000000001</v>
      </c>
      <c r="N88" s="77">
        <f t="shared" si="45"/>
        <v>30003.530000000002</v>
      </c>
      <c r="O88" s="77">
        <f t="shared" si="45"/>
        <v>0</v>
      </c>
      <c r="P88" s="77">
        <f t="shared" si="45"/>
        <v>63980.44</v>
      </c>
      <c r="Q88" s="77">
        <f t="shared" si="45"/>
        <v>180095.77</v>
      </c>
      <c r="R88" s="77">
        <f t="shared" si="45"/>
        <v>185388.12</v>
      </c>
      <c r="S88" s="77">
        <f t="shared" si="45"/>
        <v>144647.99</v>
      </c>
      <c r="T88" s="77">
        <f t="shared" si="45"/>
        <v>87200.890000000014</v>
      </c>
      <c r="U88" s="189">
        <f>SUM(U61+U70+U79)</f>
        <v>11399.349999999999</v>
      </c>
      <c r="V88" s="189">
        <f t="shared" ref="V88:W88" si="46">SUM(V61+V70+V79)</f>
        <v>3175.7700000000004</v>
      </c>
      <c r="W88" s="189">
        <f t="shared" si="46"/>
        <v>43230.84</v>
      </c>
      <c r="X88" s="78">
        <f t="shared" ref="X88:Z88" si="47">SUM(X61+X70+X79)</f>
        <v>16426.810000000001</v>
      </c>
      <c r="Y88" s="78">
        <f t="shared" si="47"/>
        <v>41414.18</v>
      </c>
      <c r="Z88" s="78">
        <f t="shared" si="47"/>
        <v>85993.41</v>
      </c>
      <c r="AA88" s="109"/>
      <c r="AB88" s="109"/>
      <c r="AC88" s="110"/>
      <c r="AD88" s="79">
        <f t="shared" si="37"/>
        <v>0</v>
      </c>
      <c r="AE88" s="79">
        <f t="shared" si="37"/>
        <v>-46412.270000000004</v>
      </c>
      <c r="AF88" s="79">
        <f t="shared" si="37"/>
        <v>-180080.44999999998</v>
      </c>
      <c r="AG88" s="79">
        <f t="shared" si="37"/>
        <v>-168489.31</v>
      </c>
      <c r="AH88" s="79">
        <f t="shared" si="37"/>
        <v>-144601.47999999998</v>
      </c>
      <c r="AI88" s="79">
        <f t="shared" si="37"/>
        <v>-86250.750000000015</v>
      </c>
      <c r="AJ88" s="78">
        <f t="shared" si="37"/>
        <v>-10452.239999999998</v>
      </c>
      <c r="AK88" s="78">
        <f t="shared" si="37"/>
        <v>-3166.5800000000004</v>
      </c>
      <c r="AL88" s="78">
        <f t="shared" si="37"/>
        <v>-41668.239999999998</v>
      </c>
      <c r="AM88" s="254">
        <f t="shared" si="37"/>
        <v>-16184.79</v>
      </c>
      <c r="AN88" s="254">
        <f t="shared" si="37"/>
        <v>-28787.46</v>
      </c>
      <c r="AO88" s="77"/>
      <c r="AP88" s="189"/>
    </row>
    <row r="89" spans="1:42" ht="15.75" thickBot="1" x14ac:dyDescent="0.3">
      <c r="A89" s="4"/>
      <c r="B89" s="37" t="s">
        <v>41</v>
      </c>
      <c r="C89" s="100">
        <f>SUM(C82:C88)</f>
        <v>5129335.42</v>
      </c>
      <c r="D89" s="81">
        <f>SUM(D82:D88)</f>
        <v>5078975.88</v>
      </c>
      <c r="E89" s="81">
        <f t="shared" ref="E89:AK89" si="48">SUM(E82:E88)</f>
        <v>4359546.99</v>
      </c>
      <c r="F89" s="81">
        <f t="shared" si="48"/>
        <v>3829027.89</v>
      </c>
      <c r="G89" s="81">
        <f t="shared" si="48"/>
        <v>3128751.2679999997</v>
      </c>
      <c r="H89" s="81">
        <f t="shared" si="48"/>
        <v>2648820.84</v>
      </c>
      <c r="I89" s="81">
        <f t="shared" si="48"/>
        <v>2271749.8899999997</v>
      </c>
      <c r="J89" s="81">
        <f t="shared" si="48"/>
        <v>2031805.7199999997</v>
      </c>
      <c r="K89" s="81">
        <f t="shared" si="48"/>
        <v>2063767.3000000003</v>
      </c>
      <c r="L89" s="160">
        <f t="shared" si="48"/>
        <v>2552124.9500000002</v>
      </c>
      <c r="M89" s="81">
        <f t="shared" si="48"/>
        <v>3522223.68</v>
      </c>
      <c r="N89" s="81">
        <f t="shared" si="48"/>
        <v>4733144.1500000004</v>
      </c>
      <c r="O89" s="81">
        <f t="shared" si="48"/>
        <v>5383395.3000000007</v>
      </c>
      <c r="P89" s="81">
        <f t="shared" si="48"/>
        <v>6335183.0600000015</v>
      </c>
      <c r="Q89" s="81">
        <f t="shared" si="48"/>
        <v>6963838.1999999993</v>
      </c>
      <c r="R89" s="81">
        <f t="shared" si="48"/>
        <v>6027400.6800000006</v>
      </c>
      <c r="S89" s="81">
        <f t="shared" si="48"/>
        <v>5050459.6800000006</v>
      </c>
      <c r="T89" s="81">
        <f t="shared" si="48"/>
        <v>4980172.13</v>
      </c>
      <c r="U89" s="176">
        <f t="shared" si="48"/>
        <v>4695139.34</v>
      </c>
      <c r="V89" s="176">
        <f t="shared" si="48"/>
        <v>4584580.1000000006</v>
      </c>
      <c r="W89" s="176">
        <f>SUM(W82:W88)</f>
        <v>4764068.0599999996</v>
      </c>
      <c r="X89" s="160">
        <f>SUM(X82:X88)</f>
        <v>5173507.22</v>
      </c>
      <c r="Y89" s="160">
        <f>SUM(Y82:Y88)</f>
        <v>6657559.2999999989</v>
      </c>
      <c r="Z89" s="160">
        <f>SUM(Z82:Z88)</f>
        <v>9064584.9800000004</v>
      </c>
      <c r="AA89" s="159"/>
      <c r="AB89" s="159"/>
      <c r="AC89" s="160"/>
      <c r="AD89" s="81">
        <f t="shared" si="48"/>
        <v>-254059.8799999998</v>
      </c>
      <c r="AE89" s="81">
        <f t="shared" si="48"/>
        <v>-1256207.1800000002</v>
      </c>
      <c r="AF89" s="81">
        <f t="shared" si="48"/>
        <v>-2604291.2100000004</v>
      </c>
      <c r="AG89" s="81">
        <f t="shared" si="48"/>
        <v>-2198372.79</v>
      </c>
      <c r="AH89" s="81">
        <f t="shared" si="48"/>
        <v>-1921708.4120000002</v>
      </c>
      <c r="AI89" s="81">
        <f t="shared" si="48"/>
        <v>-2331351.29</v>
      </c>
      <c r="AJ89" s="80">
        <f t="shared" si="48"/>
        <v>-2423389.4500000007</v>
      </c>
      <c r="AK89" s="80">
        <f t="shared" si="48"/>
        <v>-2552774.3800000004</v>
      </c>
      <c r="AL89" s="80">
        <f t="shared" ref="AL89:AN89" si="49">SUM(AL82:AL88)</f>
        <v>-2700300.7599999993</v>
      </c>
      <c r="AM89" s="263">
        <f t="shared" si="49"/>
        <v>-2621382.27</v>
      </c>
      <c r="AN89" s="263">
        <f t="shared" si="49"/>
        <v>-3135335.6199999996</v>
      </c>
      <c r="AO89" s="77"/>
      <c r="AP89" s="189"/>
    </row>
    <row r="90" spans="1:42" x14ac:dyDescent="0.25">
      <c r="A90" s="4">
        <f>+A81+1</f>
        <v>10</v>
      </c>
      <c r="B90" s="41" t="s">
        <v>33</v>
      </c>
      <c r="C90" s="155"/>
      <c r="D90" s="64"/>
      <c r="E90" s="64"/>
      <c r="F90" s="64"/>
      <c r="G90" s="64"/>
      <c r="H90" s="64"/>
      <c r="I90" s="64"/>
      <c r="J90" s="64"/>
      <c r="K90" s="64"/>
      <c r="L90" s="165"/>
      <c r="M90" s="64"/>
      <c r="N90" s="64"/>
      <c r="O90" s="64"/>
      <c r="P90" s="64"/>
      <c r="Q90" s="64"/>
      <c r="R90" s="64"/>
      <c r="S90" s="64"/>
      <c r="T90" s="64"/>
      <c r="U90" s="177"/>
      <c r="V90" s="320"/>
      <c r="W90" s="320"/>
      <c r="X90" s="165"/>
      <c r="Y90" s="320"/>
      <c r="Z90" s="320"/>
      <c r="AA90" s="320"/>
      <c r="AB90" s="320"/>
      <c r="AC90" s="165"/>
      <c r="AD90" s="64"/>
      <c r="AE90" s="64"/>
      <c r="AF90" s="64"/>
      <c r="AG90" s="64"/>
      <c r="AH90" s="64"/>
      <c r="AI90" s="64"/>
      <c r="AJ90" s="63"/>
      <c r="AK90" s="315"/>
      <c r="AL90" s="315"/>
      <c r="AM90" s="315"/>
      <c r="AN90" s="430"/>
      <c r="AO90" s="435"/>
      <c r="AP90" s="436"/>
    </row>
    <row r="91" spans="1:42" x14ac:dyDescent="0.25">
      <c r="A91" s="4"/>
      <c r="B91" s="35" t="s">
        <v>36</v>
      </c>
      <c r="C91" s="156">
        <v>5366874</v>
      </c>
      <c r="D91" s="83">
        <v>3843919</v>
      </c>
      <c r="E91" s="83">
        <v>2029240</v>
      </c>
      <c r="F91" s="83">
        <v>1280398</v>
      </c>
      <c r="G91" s="83">
        <v>760851</v>
      </c>
      <c r="H91" s="83">
        <v>653524</v>
      </c>
      <c r="I91" s="83">
        <v>677153</v>
      </c>
      <c r="J91" s="83">
        <v>800554</v>
      </c>
      <c r="K91" s="83">
        <v>2207554</v>
      </c>
      <c r="L91" s="166">
        <v>4164660</v>
      </c>
      <c r="M91" s="83">
        <v>5561927</v>
      </c>
      <c r="N91" s="83">
        <v>4805071</v>
      </c>
      <c r="O91" s="83">
        <v>4322498</v>
      </c>
      <c r="P91" s="83">
        <f>27905+3084147+10169+359794+5524+16802</f>
        <v>3504341</v>
      </c>
      <c r="Q91" s="83">
        <f>26163+2581468+8610+282457+5653+14216</f>
        <v>2918567</v>
      </c>
      <c r="R91" s="83">
        <f>18437+1011410+6791+122311+2243+7157</f>
        <v>1168349</v>
      </c>
      <c r="S91" s="83">
        <f>14522+630257+5955+82322+1520+5076</f>
        <v>739652</v>
      </c>
      <c r="T91" s="83">
        <f>14719+626732+4899+59754+1576+5111</f>
        <v>712791</v>
      </c>
      <c r="U91" s="178">
        <f>14770+603454+4629+45781+1515+5168</f>
        <v>675317</v>
      </c>
      <c r="V91" s="257">
        <f>17940+820582+6183+89015+2056+6619</f>
        <v>942395</v>
      </c>
      <c r="W91" s="257">
        <f>21974+1620601+6970+189690+2958+10994</f>
        <v>1853187</v>
      </c>
      <c r="X91" s="166">
        <f>25683+2946769+7452+245551+4880+17495</f>
        <v>3247830</v>
      </c>
      <c r="Y91" s="257">
        <f>33038+4927478+11868+600235+8935+25417</f>
        <v>5606971</v>
      </c>
      <c r="Z91" s="257">
        <f>29898+4951954+9163+528924+7862+23607</f>
        <v>5551408</v>
      </c>
      <c r="AA91" s="257"/>
      <c r="AB91" s="257"/>
      <c r="AC91" s="166"/>
      <c r="AD91" s="83">
        <f t="shared" ref="AD91:AN95" si="50">C91-O91</f>
        <v>1044376</v>
      </c>
      <c r="AE91" s="83">
        <f t="shared" si="50"/>
        <v>339578</v>
      </c>
      <c r="AF91" s="83">
        <f t="shared" si="50"/>
        <v>-889327</v>
      </c>
      <c r="AG91" s="83">
        <f t="shared" si="50"/>
        <v>112049</v>
      </c>
      <c r="AH91" s="83">
        <f t="shared" si="50"/>
        <v>21199</v>
      </c>
      <c r="AI91" s="83">
        <f t="shared" si="50"/>
        <v>-59267</v>
      </c>
      <c r="AJ91" s="82">
        <f t="shared" si="50"/>
        <v>1836</v>
      </c>
      <c r="AK91" s="82">
        <f t="shared" si="50"/>
        <v>-141841</v>
      </c>
      <c r="AL91" s="82">
        <f t="shared" si="50"/>
        <v>354367</v>
      </c>
      <c r="AM91" s="256">
        <f t="shared" si="50"/>
        <v>916830</v>
      </c>
      <c r="AN91" s="256">
        <f t="shared" si="50"/>
        <v>-45044</v>
      </c>
      <c r="AO91" s="437"/>
      <c r="AP91" s="438"/>
    </row>
    <row r="92" spans="1:42" x14ac:dyDescent="0.25">
      <c r="A92" s="4"/>
      <c r="B92" s="35" t="s">
        <v>37</v>
      </c>
      <c r="C92" s="156">
        <v>1296596</v>
      </c>
      <c r="D92" s="83">
        <v>900416</v>
      </c>
      <c r="E92" s="83">
        <v>501599</v>
      </c>
      <c r="F92" s="83">
        <v>292243</v>
      </c>
      <c r="G92" s="83">
        <v>164728</v>
      </c>
      <c r="H92" s="83">
        <v>147819</v>
      </c>
      <c r="I92" s="83">
        <v>158035</v>
      </c>
      <c r="J92" s="83">
        <v>211099</v>
      </c>
      <c r="K92" s="83">
        <v>595112</v>
      </c>
      <c r="L92" s="166">
        <v>1032468</v>
      </c>
      <c r="M92" s="83">
        <v>1345041</v>
      </c>
      <c r="N92" s="83">
        <v>1128913</v>
      </c>
      <c r="O92" s="83">
        <v>1047081</v>
      </c>
      <c r="P92" s="83">
        <f>4526+546+839005+16115</f>
        <v>860192</v>
      </c>
      <c r="Q92" s="83">
        <f>4174+683194+679+13645</f>
        <v>701692</v>
      </c>
      <c r="R92" s="83">
        <f>2809+245005+459+5849</f>
        <v>254122</v>
      </c>
      <c r="S92" s="83">
        <f>2058+147576+449+3377</f>
        <v>153460</v>
      </c>
      <c r="T92" s="83">
        <f>2160+151558+395+3106</f>
        <v>157219</v>
      </c>
      <c r="U92" s="178">
        <f>2278+154941+398+2851</f>
        <v>160468</v>
      </c>
      <c r="V92" s="257">
        <f>2788+221210+484+4320</f>
        <v>228802</v>
      </c>
      <c r="W92" s="257">
        <f>3690+456289+607+9731</f>
        <v>470317</v>
      </c>
      <c r="X92" s="166">
        <f>4593+636+820235+11618</f>
        <v>837082</v>
      </c>
      <c r="Y92" s="257">
        <f>6177+1269254+763+26617</f>
        <v>1302811</v>
      </c>
      <c r="Z92" s="257">
        <f>5452+1271075+1312+24665</f>
        <v>1302504</v>
      </c>
      <c r="AA92" s="257"/>
      <c r="AB92" s="257"/>
      <c r="AC92" s="166"/>
      <c r="AD92" s="83">
        <f t="shared" si="50"/>
        <v>249515</v>
      </c>
      <c r="AE92" s="83">
        <f t="shared" si="50"/>
        <v>40224</v>
      </c>
      <c r="AF92" s="83">
        <f t="shared" si="50"/>
        <v>-200093</v>
      </c>
      <c r="AG92" s="83">
        <f t="shared" si="50"/>
        <v>38121</v>
      </c>
      <c r="AH92" s="83">
        <f t="shared" si="50"/>
        <v>11268</v>
      </c>
      <c r="AI92" s="83">
        <f t="shared" si="50"/>
        <v>-9400</v>
      </c>
      <c r="AJ92" s="82">
        <f t="shared" si="50"/>
        <v>-2433</v>
      </c>
      <c r="AK92" s="82">
        <f t="shared" si="50"/>
        <v>-17703</v>
      </c>
      <c r="AL92" s="82">
        <f t="shared" si="50"/>
        <v>124795</v>
      </c>
      <c r="AM92" s="256">
        <f t="shared" si="50"/>
        <v>195386</v>
      </c>
      <c r="AN92" s="256">
        <f t="shared" si="50"/>
        <v>42230</v>
      </c>
      <c r="AO92" s="437"/>
      <c r="AP92" s="438"/>
    </row>
    <row r="93" spans="1:42" x14ac:dyDescent="0.25">
      <c r="A93" s="4"/>
      <c r="B93" s="35" t="s">
        <v>38</v>
      </c>
      <c r="C93" s="156">
        <v>1160981</v>
      </c>
      <c r="D93" s="83">
        <v>753929</v>
      </c>
      <c r="E93" s="83">
        <v>392329</v>
      </c>
      <c r="F93" s="83">
        <v>254003</v>
      </c>
      <c r="G93" s="83">
        <v>139772</v>
      </c>
      <c r="H93" s="83">
        <v>109583</v>
      </c>
      <c r="I93" s="83">
        <v>130036</v>
      </c>
      <c r="J93" s="83">
        <v>168747</v>
      </c>
      <c r="K93" s="83">
        <v>419539</v>
      </c>
      <c r="L93" s="166">
        <v>864360</v>
      </c>
      <c r="M93" s="83">
        <v>1233580</v>
      </c>
      <c r="N93" s="83">
        <v>1032346</v>
      </c>
      <c r="O93" s="83">
        <v>904553</v>
      </c>
      <c r="P93" s="83">
        <f>401861+64454+106802+24532+56545+9762+4348+828</f>
        <v>669132</v>
      </c>
      <c r="Q93" s="83">
        <f>282626+62041+71264+18624+48890+10616+3196+706</f>
        <v>497963</v>
      </c>
      <c r="R93" s="83">
        <f>57728+46972+20450+16231+17215+7017+950+607</f>
        <v>167170</v>
      </c>
      <c r="S93" s="83">
        <f>38864+43892+3421+16447+10526+5695-1765+599</f>
        <v>117679</v>
      </c>
      <c r="T93" s="83">
        <f>42200+51761+4878+15179+9162+4927+359+531</f>
        <v>128997</v>
      </c>
      <c r="U93" s="178">
        <f>37174+59811+1227+14458+10559+4883+378+478</f>
        <v>128968</v>
      </c>
      <c r="V93" s="257">
        <f>54371+58702+9751+18708+17985+7299+732+575</f>
        <v>168123</v>
      </c>
      <c r="W93" s="257">
        <f>166686+61665+43200+19663+31833+9220+1428+734+6085</f>
        <v>340514</v>
      </c>
      <c r="X93" s="166">
        <f>374868+67287+67773+20186+59905+11327+3065+814</f>
        <v>605225</v>
      </c>
      <c r="Y93" s="257">
        <f>687484+109726+207042+33163+97422+16821+8199+1824</f>
        <v>1161681</v>
      </c>
      <c r="Z93" s="257">
        <f>747702+114035+190001+29332+95874+14234+11444+1596</f>
        <v>1204218</v>
      </c>
      <c r="AA93" s="257"/>
      <c r="AB93" s="257"/>
      <c r="AC93" s="166"/>
      <c r="AD93" s="83">
        <f t="shared" si="50"/>
        <v>256428</v>
      </c>
      <c r="AE93" s="83">
        <f t="shared" si="50"/>
        <v>84797</v>
      </c>
      <c r="AF93" s="83">
        <f t="shared" si="50"/>
        <v>-105634</v>
      </c>
      <c r="AG93" s="83">
        <f t="shared" si="50"/>
        <v>86833</v>
      </c>
      <c r="AH93" s="83">
        <f t="shared" si="50"/>
        <v>22093</v>
      </c>
      <c r="AI93" s="83">
        <f t="shared" si="50"/>
        <v>-19414</v>
      </c>
      <c r="AJ93" s="82">
        <f t="shared" si="50"/>
        <v>1068</v>
      </c>
      <c r="AK93" s="82">
        <f t="shared" si="50"/>
        <v>624</v>
      </c>
      <c r="AL93" s="82">
        <f t="shared" si="50"/>
        <v>79025</v>
      </c>
      <c r="AM93" s="256">
        <f t="shared" si="50"/>
        <v>259135</v>
      </c>
      <c r="AN93" s="256">
        <f t="shared" si="50"/>
        <v>71899</v>
      </c>
      <c r="AO93" s="437"/>
      <c r="AP93" s="438"/>
    </row>
    <row r="94" spans="1:42" x14ac:dyDescent="0.25">
      <c r="A94" s="4"/>
      <c r="B94" s="35" t="s">
        <v>39</v>
      </c>
      <c r="C94" s="156">
        <v>1832559</v>
      </c>
      <c r="D94" s="83">
        <v>1593328</v>
      </c>
      <c r="E94" s="83">
        <v>1143305</v>
      </c>
      <c r="F94" s="83">
        <v>-120567</v>
      </c>
      <c r="G94" s="83">
        <v>277636</v>
      </c>
      <c r="H94" s="83">
        <v>250359</v>
      </c>
      <c r="I94" s="83">
        <v>301515</v>
      </c>
      <c r="J94" s="83">
        <v>366581</v>
      </c>
      <c r="K94" s="83">
        <v>858441</v>
      </c>
      <c r="L94" s="166">
        <v>1400961</v>
      </c>
      <c r="M94" s="83">
        <v>1954815</v>
      </c>
      <c r="N94" s="83">
        <v>1712295</v>
      </c>
      <c r="O94" s="83">
        <v>1525431</v>
      </c>
      <c r="P94" s="83">
        <f>412535+87917+94644+36379+445562+105674+34133+28998</f>
        <v>1245842</v>
      </c>
      <c r="Q94" s="83">
        <f>313581+85131+64725+27184+335997+24040+94896+22806</f>
        <v>968360</v>
      </c>
      <c r="R94" s="83">
        <f>99702+66636+21874+24555+88564+66860+8218+9668</f>
        <v>386077</v>
      </c>
      <c r="S94" s="83">
        <f>27482+67126+5539+25005+98687+50338+4292+7260</f>
        <v>285729</v>
      </c>
      <c r="T94" s="83">
        <f>31613+81235+3137+24944+65552+51929+3365+10038</f>
        <v>271813</v>
      </c>
      <c r="U94" s="178">
        <f>26057+83338-10335+21395+78295+90090+3914+10727</f>
        <v>303481</v>
      </c>
      <c r="V94" s="257">
        <f>94172+9357+27233+63407+124390+79182+4770+15607</f>
        <v>418118</v>
      </c>
      <c r="W94" s="257">
        <f>162005+103592+37033+31032+245912+87605+13412+21509+60902</f>
        <v>763002</v>
      </c>
      <c r="X94" s="166">
        <f>334260+112723+55068+28776+398559+100245+19402+25252</f>
        <v>1074285</v>
      </c>
      <c r="Y94" s="257">
        <f>588856+160031+149852+53504+690348+163573+49538+45946</f>
        <v>1901648</v>
      </c>
      <c r="Z94" s="257">
        <f>569393+138266+141304+47142+634972+140520+38114+47403</f>
        <v>1757114</v>
      </c>
      <c r="AA94" s="257"/>
      <c r="AB94" s="257"/>
      <c r="AC94" s="166"/>
      <c r="AD94" s="83">
        <f t="shared" si="50"/>
        <v>307128</v>
      </c>
      <c r="AE94" s="83">
        <f t="shared" si="50"/>
        <v>347486</v>
      </c>
      <c r="AF94" s="83">
        <f t="shared" si="50"/>
        <v>174945</v>
      </c>
      <c r="AG94" s="83">
        <f t="shared" si="50"/>
        <v>-506644</v>
      </c>
      <c r="AH94" s="83">
        <f t="shared" si="50"/>
        <v>-8093</v>
      </c>
      <c r="AI94" s="83">
        <f t="shared" si="50"/>
        <v>-21454</v>
      </c>
      <c r="AJ94" s="82">
        <f t="shared" si="50"/>
        <v>-1966</v>
      </c>
      <c r="AK94" s="82">
        <f t="shared" si="50"/>
        <v>-51537</v>
      </c>
      <c r="AL94" s="82">
        <f t="shared" si="50"/>
        <v>95439</v>
      </c>
      <c r="AM94" s="256">
        <f t="shared" si="50"/>
        <v>326676</v>
      </c>
      <c r="AN94" s="256">
        <f t="shared" si="50"/>
        <v>53167</v>
      </c>
      <c r="AO94" s="437"/>
      <c r="AP94" s="438"/>
    </row>
    <row r="95" spans="1:42" x14ac:dyDescent="0.25">
      <c r="A95" s="4"/>
      <c r="B95" s="35" t="s">
        <v>40</v>
      </c>
      <c r="C95" s="156">
        <v>780918</v>
      </c>
      <c r="D95" s="83">
        <v>485463</v>
      </c>
      <c r="E95" s="83">
        <v>444220</v>
      </c>
      <c r="F95" s="83">
        <v>381375</v>
      </c>
      <c r="G95" s="83">
        <v>376404</v>
      </c>
      <c r="H95" s="83">
        <v>404716</v>
      </c>
      <c r="I95" s="83">
        <v>327508</v>
      </c>
      <c r="J95" s="83">
        <v>457890</v>
      </c>
      <c r="K95" s="83">
        <v>614398</v>
      </c>
      <c r="L95" s="166">
        <v>694020</v>
      </c>
      <c r="M95" s="83">
        <v>735559</v>
      </c>
      <c r="N95" s="83">
        <v>650080</v>
      </c>
      <c r="O95" s="83">
        <v>648187</v>
      </c>
      <c r="P95" s="83">
        <f>201117+385175</f>
        <v>586292</v>
      </c>
      <c r="Q95" s="83">
        <f>7127+58981+60110+281408+38681</f>
        <v>446307</v>
      </c>
      <c r="R95" s="83">
        <f>770+151075+12887+316624+29747</f>
        <v>511103</v>
      </c>
      <c r="S95" s="83">
        <f>31+118052+5993+302767+23927</f>
        <v>450770</v>
      </c>
      <c r="T95" s="83">
        <f>2455+141387-17809+303878+23754</f>
        <v>453665</v>
      </c>
      <c r="U95" s="178">
        <f>110975-821+4674+346671+24275</f>
        <v>485774</v>
      </c>
      <c r="V95" s="257">
        <f>1582+84887+18739+378216+31734</f>
        <v>515158</v>
      </c>
      <c r="W95" s="257">
        <f>8947+81249+28112+365149+40867+187781</f>
        <v>712105</v>
      </c>
      <c r="X95" s="166">
        <f>24186+125771+50015+418796+43914</f>
        <v>662682</v>
      </c>
      <c r="Y95" s="257">
        <f>94597+118528+87305+486542+66937</f>
        <v>853909</v>
      </c>
      <c r="Z95" s="257">
        <f>93948+46624+64584+396226+65609</f>
        <v>666991</v>
      </c>
      <c r="AA95" s="257"/>
      <c r="AB95" s="257"/>
      <c r="AC95" s="166"/>
      <c r="AD95" s="83">
        <f t="shared" si="50"/>
        <v>132731</v>
      </c>
      <c r="AE95" s="83">
        <f t="shared" si="50"/>
        <v>-100829</v>
      </c>
      <c r="AF95" s="83">
        <f t="shared" si="50"/>
        <v>-2087</v>
      </c>
      <c r="AG95" s="83">
        <f t="shared" si="50"/>
        <v>-129728</v>
      </c>
      <c r="AH95" s="83">
        <f t="shared" si="50"/>
        <v>-74366</v>
      </c>
      <c r="AI95" s="83">
        <f t="shared" si="50"/>
        <v>-48949</v>
      </c>
      <c r="AJ95" s="82">
        <f t="shared" si="50"/>
        <v>-158266</v>
      </c>
      <c r="AK95" s="82">
        <f t="shared" si="50"/>
        <v>-57268</v>
      </c>
      <c r="AL95" s="82">
        <f t="shared" si="50"/>
        <v>-97707</v>
      </c>
      <c r="AM95" s="256">
        <f t="shared" si="50"/>
        <v>31338</v>
      </c>
      <c r="AN95" s="256">
        <f t="shared" si="50"/>
        <v>-118350</v>
      </c>
      <c r="AO95" s="437"/>
      <c r="AP95" s="438"/>
    </row>
    <row r="96" spans="1:42" x14ac:dyDescent="0.25">
      <c r="A96" s="4"/>
      <c r="B96" s="35" t="s">
        <v>41</v>
      </c>
      <c r="C96" s="156">
        <f>SUM(C91:C95)</f>
        <v>10437928</v>
      </c>
      <c r="D96" s="83">
        <f>SUM(D91:D95)</f>
        <v>7577055</v>
      </c>
      <c r="E96" s="83">
        <f t="shared" ref="E96:AK96" si="51">SUM(E91:E95)</f>
        <v>4510693</v>
      </c>
      <c r="F96" s="83">
        <f t="shared" si="51"/>
        <v>2087452</v>
      </c>
      <c r="G96" s="83">
        <f t="shared" si="51"/>
        <v>1719391</v>
      </c>
      <c r="H96" s="83">
        <f t="shared" si="51"/>
        <v>1566001</v>
      </c>
      <c r="I96" s="83">
        <f t="shared" si="51"/>
        <v>1594247</v>
      </c>
      <c r="J96" s="83">
        <f t="shared" si="51"/>
        <v>2004871</v>
      </c>
      <c r="K96" s="83">
        <f t="shared" si="51"/>
        <v>4695044</v>
      </c>
      <c r="L96" s="166">
        <f t="shared" si="51"/>
        <v>8156469</v>
      </c>
      <c r="M96" s="83">
        <f t="shared" si="51"/>
        <v>10830922</v>
      </c>
      <c r="N96" s="83">
        <f t="shared" si="51"/>
        <v>9328705</v>
      </c>
      <c r="O96" s="83">
        <f t="shared" si="51"/>
        <v>8447750</v>
      </c>
      <c r="P96" s="83">
        <f t="shared" si="51"/>
        <v>6865799</v>
      </c>
      <c r="Q96" s="83">
        <f t="shared" si="51"/>
        <v>5532889</v>
      </c>
      <c r="R96" s="83">
        <f t="shared" si="51"/>
        <v>2486821</v>
      </c>
      <c r="S96" s="83">
        <f t="shared" si="51"/>
        <v>1747290</v>
      </c>
      <c r="T96" s="83">
        <f t="shared" si="51"/>
        <v>1724485</v>
      </c>
      <c r="U96" s="178">
        <f t="shared" si="51"/>
        <v>1754008</v>
      </c>
      <c r="V96" s="178">
        <f t="shared" si="51"/>
        <v>2272596</v>
      </c>
      <c r="W96" s="178">
        <f t="shared" ref="W96:Z96" si="52">SUM(W91:W95)</f>
        <v>4139125</v>
      </c>
      <c r="X96" s="166">
        <f t="shared" si="52"/>
        <v>6427104</v>
      </c>
      <c r="Y96" s="166">
        <f t="shared" si="52"/>
        <v>10827020</v>
      </c>
      <c r="Z96" s="166">
        <f t="shared" si="52"/>
        <v>10482235</v>
      </c>
      <c r="AA96" s="257"/>
      <c r="AB96" s="257"/>
      <c r="AC96" s="166"/>
      <c r="AD96" s="83">
        <f t="shared" si="51"/>
        <v>1990178</v>
      </c>
      <c r="AE96" s="83">
        <f t="shared" si="51"/>
        <v>711256</v>
      </c>
      <c r="AF96" s="83">
        <f t="shared" si="51"/>
        <v>-1022196</v>
      </c>
      <c r="AG96" s="83">
        <f t="shared" si="51"/>
        <v>-399369</v>
      </c>
      <c r="AH96" s="83">
        <f t="shared" si="51"/>
        <v>-27899</v>
      </c>
      <c r="AI96" s="83">
        <f t="shared" si="51"/>
        <v>-158484</v>
      </c>
      <c r="AJ96" s="82">
        <f t="shared" si="51"/>
        <v>-159761</v>
      </c>
      <c r="AK96" s="82">
        <f t="shared" si="51"/>
        <v>-267725</v>
      </c>
      <c r="AL96" s="82">
        <f t="shared" ref="AL96:AN96" si="53">SUM(AL91:AL95)</f>
        <v>555919</v>
      </c>
      <c r="AM96" s="256">
        <f t="shared" si="53"/>
        <v>1729365</v>
      </c>
      <c r="AN96" s="256">
        <f t="shared" si="53"/>
        <v>3902</v>
      </c>
      <c r="AO96" s="437"/>
      <c r="AP96" s="438"/>
    </row>
    <row r="97" spans="1:42" x14ac:dyDescent="0.25">
      <c r="A97" s="4">
        <f>+A90+1</f>
        <v>11</v>
      </c>
      <c r="B97" s="42" t="s">
        <v>34</v>
      </c>
      <c r="C97" s="157"/>
      <c r="D97" s="85"/>
      <c r="E97" s="85"/>
      <c r="F97" s="85"/>
      <c r="G97" s="85"/>
      <c r="H97" s="85"/>
      <c r="I97" s="85"/>
      <c r="J97" s="85"/>
      <c r="K97" s="85"/>
      <c r="L97" s="167"/>
      <c r="M97" s="85"/>
      <c r="N97" s="85"/>
      <c r="O97" s="85"/>
      <c r="P97" s="85"/>
      <c r="Q97" s="85"/>
      <c r="R97" s="85"/>
      <c r="S97" s="85"/>
      <c r="T97" s="85"/>
      <c r="U97" s="179"/>
      <c r="V97" s="322"/>
      <c r="W97" s="322"/>
      <c r="X97" s="167"/>
      <c r="Y97" s="322"/>
      <c r="Z97" s="322"/>
      <c r="AA97" s="322"/>
      <c r="AB97" s="322"/>
      <c r="AC97" s="167"/>
      <c r="AD97" s="85"/>
      <c r="AE97" s="85"/>
      <c r="AF97" s="85"/>
      <c r="AG97" s="85"/>
      <c r="AH97" s="85"/>
      <c r="AI97" s="85"/>
      <c r="AJ97" s="84"/>
      <c r="AK97" s="315"/>
      <c r="AL97" s="315"/>
      <c r="AM97" s="315"/>
      <c r="AN97" s="430"/>
      <c r="AO97" s="435"/>
      <c r="AP97" s="436"/>
    </row>
    <row r="98" spans="1:42" x14ac:dyDescent="0.25">
      <c r="A98" s="4"/>
      <c r="B98" s="35" t="s">
        <v>36</v>
      </c>
      <c r="C98" s="97">
        <v>7320652</v>
      </c>
      <c r="D98" s="89">
        <v>5383472</v>
      </c>
      <c r="E98" s="89">
        <v>2835928</v>
      </c>
      <c r="F98" s="89">
        <v>1635234</v>
      </c>
      <c r="G98" s="89">
        <v>1190977</v>
      </c>
      <c r="H98" s="89">
        <v>1073742</v>
      </c>
      <c r="I98" s="89">
        <v>1093327</v>
      </c>
      <c r="J98" s="89">
        <v>1204853</v>
      </c>
      <c r="K98" s="89">
        <v>2832598</v>
      </c>
      <c r="L98" s="99">
        <v>6007193</v>
      </c>
      <c r="M98" s="89">
        <v>7862432</v>
      </c>
      <c r="N98" s="89">
        <v>6861669</v>
      </c>
      <c r="O98" s="89">
        <v>6223104</v>
      </c>
      <c r="P98" s="89">
        <f>80207+5036727+4831+14829</f>
        <v>5136594</v>
      </c>
      <c r="Q98" s="89">
        <f>71392+3880725+4955+12980</f>
        <v>3970052</v>
      </c>
      <c r="R98" s="89">
        <f>54505+1517335+2383+7644</f>
        <v>1581867</v>
      </c>
      <c r="S98" s="89">
        <f>49697+1137411+1828+6045</f>
        <v>1194981</v>
      </c>
      <c r="T98" s="89">
        <f>48710+1110162+1871+6023</f>
        <v>1166766</v>
      </c>
      <c r="U98" s="79">
        <v>1163542.1200000001</v>
      </c>
      <c r="V98" s="79">
        <f>53526+1317258+2240+7230</f>
        <v>1380254</v>
      </c>
      <c r="W98" s="79">
        <f>62853+2498204+3044+11188</f>
        <v>2575289</v>
      </c>
      <c r="X98" s="110">
        <f>76500+5039403+4910+17384</f>
        <v>5138197</v>
      </c>
      <c r="Y98" s="79">
        <f>93322+8213360+8442+24284</f>
        <v>8339408</v>
      </c>
      <c r="Z98" s="79">
        <f>81959+7821609+7508+22707</f>
        <v>7933783</v>
      </c>
      <c r="AA98" s="79"/>
      <c r="AB98" s="79"/>
      <c r="AC98" s="110"/>
      <c r="AD98" s="79">
        <f t="shared" ref="AD98:AN102" si="54">C98-O98</f>
        <v>1097548</v>
      </c>
      <c r="AE98" s="79">
        <f t="shared" si="54"/>
        <v>246878</v>
      </c>
      <c r="AF98" s="79">
        <f t="shared" si="54"/>
        <v>-1134124</v>
      </c>
      <c r="AG98" s="79">
        <f t="shared" si="54"/>
        <v>53367</v>
      </c>
      <c r="AH98" s="79">
        <f t="shared" si="54"/>
        <v>-4004</v>
      </c>
      <c r="AI98" s="79">
        <f t="shared" si="54"/>
        <v>-93024</v>
      </c>
      <c r="AJ98" s="79">
        <f t="shared" si="54"/>
        <v>-70215.120000000112</v>
      </c>
      <c r="AK98" s="79">
        <f t="shared" si="54"/>
        <v>-175401</v>
      </c>
      <c r="AL98" s="79">
        <f t="shared" si="54"/>
        <v>257309</v>
      </c>
      <c r="AM98" s="109">
        <f t="shared" si="54"/>
        <v>868996</v>
      </c>
      <c r="AN98" s="109">
        <f t="shared" si="54"/>
        <v>-476976</v>
      </c>
      <c r="AO98" s="77"/>
      <c r="AP98" s="189"/>
    </row>
    <row r="99" spans="1:42" x14ac:dyDescent="0.25">
      <c r="A99" s="4"/>
      <c r="B99" s="35" t="s">
        <v>37</v>
      </c>
      <c r="C99" s="97">
        <v>1333487</v>
      </c>
      <c r="D99" s="89">
        <v>958085</v>
      </c>
      <c r="E99" s="89">
        <v>508395</v>
      </c>
      <c r="F99" s="89">
        <v>288279</v>
      </c>
      <c r="G99" s="89">
        <v>199067</v>
      </c>
      <c r="H99" s="89">
        <v>185727</v>
      </c>
      <c r="I99" s="89">
        <v>191423</v>
      </c>
      <c r="J99" s="89">
        <v>225239</v>
      </c>
      <c r="K99" s="89">
        <v>582954</v>
      </c>
      <c r="L99" s="99">
        <v>1116062</v>
      </c>
      <c r="M99" s="89">
        <v>1429370</v>
      </c>
      <c r="N99" s="89">
        <v>1214330</v>
      </c>
      <c r="O99" s="89">
        <v>1133263</v>
      </c>
      <c r="P99" s="89">
        <f>8015+941488</f>
        <v>949503</v>
      </c>
      <c r="Q99" s="89">
        <f>7334+683105</f>
        <v>690439</v>
      </c>
      <c r="R99" s="89">
        <f>5430+262146</f>
        <v>267576</v>
      </c>
      <c r="S99" s="89">
        <f>4639+186405</f>
        <v>191044</v>
      </c>
      <c r="T99" s="89">
        <f>4777+191744</f>
        <v>196521</v>
      </c>
      <c r="U99" s="79">
        <v>195920.27</v>
      </c>
      <c r="V99" s="79">
        <f>5440+240660</f>
        <v>246100</v>
      </c>
      <c r="W99" s="79">
        <f>6989+498118</f>
        <v>505107</v>
      </c>
      <c r="X99" s="110">
        <f>8625+979285</f>
        <v>987910</v>
      </c>
      <c r="Y99" s="79">
        <f>10311+1433805</f>
        <v>1444116</v>
      </c>
      <c r="Z99" s="79">
        <f>9943+1385803</f>
        <v>1395746</v>
      </c>
      <c r="AA99" s="79"/>
      <c r="AB99" s="79"/>
      <c r="AC99" s="110"/>
      <c r="AD99" s="79">
        <f t="shared" si="54"/>
        <v>200224</v>
      </c>
      <c r="AE99" s="79">
        <f t="shared" si="54"/>
        <v>8582</v>
      </c>
      <c r="AF99" s="79">
        <f t="shared" si="54"/>
        <v>-182044</v>
      </c>
      <c r="AG99" s="79">
        <f t="shared" si="54"/>
        <v>20703</v>
      </c>
      <c r="AH99" s="79">
        <f t="shared" si="54"/>
        <v>8023</v>
      </c>
      <c r="AI99" s="79">
        <f t="shared" si="54"/>
        <v>-10794</v>
      </c>
      <c r="AJ99" s="79">
        <f t="shared" si="54"/>
        <v>-4497.2699999999895</v>
      </c>
      <c r="AK99" s="79">
        <f t="shared" si="54"/>
        <v>-20861</v>
      </c>
      <c r="AL99" s="79">
        <f t="shared" si="54"/>
        <v>77847</v>
      </c>
      <c r="AM99" s="109">
        <f t="shared" si="54"/>
        <v>128152</v>
      </c>
      <c r="AN99" s="109">
        <f t="shared" si="54"/>
        <v>-14746</v>
      </c>
      <c r="AO99" s="77"/>
      <c r="AP99" s="189"/>
    </row>
    <row r="100" spans="1:42" x14ac:dyDescent="0.25">
      <c r="A100" s="4"/>
      <c r="B100" s="35" t="s">
        <v>38</v>
      </c>
      <c r="C100" s="97">
        <v>1375645</v>
      </c>
      <c r="D100" s="89">
        <v>923452</v>
      </c>
      <c r="E100" s="89">
        <v>464298</v>
      </c>
      <c r="F100" s="89">
        <v>262485</v>
      </c>
      <c r="G100" s="89">
        <v>183929</v>
      </c>
      <c r="H100" s="89">
        <v>161920</v>
      </c>
      <c r="I100" s="89">
        <v>174763</v>
      </c>
      <c r="J100" s="89">
        <v>203931</v>
      </c>
      <c r="K100" s="89">
        <v>442864</v>
      </c>
      <c r="L100" s="99">
        <v>1061728</v>
      </c>
      <c r="M100" s="89">
        <v>1471763</v>
      </c>
      <c r="N100" s="89">
        <v>1247966</v>
      </c>
      <c r="O100" s="89">
        <v>1100675</v>
      </c>
      <c r="P100" s="89">
        <f>682855+110187+41988+6360</f>
        <v>841390</v>
      </c>
      <c r="Q100" s="89">
        <f>434178+85533+34438+6329</f>
        <v>560478</v>
      </c>
      <c r="R100" s="89">
        <f>125956+51392+14156+4263</f>
        <v>195767</v>
      </c>
      <c r="S100" s="89">
        <f>107355+50009+9295+3687</f>
        <v>170346</v>
      </c>
      <c r="T100" s="89">
        <f>111049+53746+9623+3277</f>
        <v>177695</v>
      </c>
      <c r="U100" s="79">
        <v>144707.44</v>
      </c>
      <c r="V100" s="79">
        <f>122346+59566+14559+4388</f>
        <v>200859</v>
      </c>
      <c r="W100" s="79">
        <f>275228+78966+25972+6085</f>
        <v>386251</v>
      </c>
      <c r="X100" s="110">
        <f>652774+116589+51715+8403</f>
        <v>829481</v>
      </c>
      <c r="Y100" s="79">
        <f>1212268+176007+83451+12327</f>
        <v>1484053</v>
      </c>
      <c r="Z100" s="79">
        <f>1207448+167084+84662+10621</f>
        <v>1469815</v>
      </c>
      <c r="AA100" s="79"/>
      <c r="AB100" s="79"/>
      <c r="AC100" s="110"/>
      <c r="AD100" s="79">
        <f t="shared" si="54"/>
        <v>274970</v>
      </c>
      <c r="AE100" s="79">
        <f t="shared" si="54"/>
        <v>82062</v>
      </c>
      <c r="AF100" s="79">
        <f t="shared" si="54"/>
        <v>-96180</v>
      </c>
      <c r="AG100" s="79">
        <f t="shared" si="54"/>
        <v>66718</v>
      </c>
      <c r="AH100" s="79">
        <f t="shared" si="54"/>
        <v>13583</v>
      </c>
      <c r="AI100" s="79">
        <f t="shared" si="54"/>
        <v>-15775</v>
      </c>
      <c r="AJ100" s="79">
        <f t="shared" si="54"/>
        <v>30055.559999999998</v>
      </c>
      <c r="AK100" s="79">
        <f t="shared" si="54"/>
        <v>3072</v>
      </c>
      <c r="AL100" s="79">
        <f t="shared" si="54"/>
        <v>56613</v>
      </c>
      <c r="AM100" s="109">
        <f t="shared" si="54"/>
        <v>232247</v>
      </c>
      <c r="AN100" s="109">
        <f t="shared" si="54"/>
        <v>-12290</v>
      </c>
      <c r="AO100" s="77"/>
      <c r="AP100" s="189"/>
    </row>
    <row r="101" spans="1:42" x14ac:dyDescent="0.25">
      <c r="A101" s="4"/>
      <c r="B101" s="35" t="s">
        <v>39</v>
      </c>
      <c r="C101" s="97">
        <v>1666953</v>
      </c>
      <c r="D101" s="89">
        <v>1501755</v>
      </c>
      <c r="E101" s="89">
        <v>726742</v>
      </c>
      <c r="F101" s="89">
        <v>-52742</v>
      </c>
      <c r="G101" s="89">
        <v>186325</v>
      </c>
      <c r="H101" s="89">
        <v>169635</v>
      </c>
      <c r="I101" s="89">
        <v>207469</v>
      </c>
      <c r="J101" s="89">
        <v>242404</v>
      </c>
      <c r="K101" s="89">
        <v>626174</v>
      </c>
      <c r="L101" s="99">
        <v>1231489</v>
      </c>
      <c r="M101" s="89">
        <v>1713085</v>
      </c>
      <c r="N101" s="89">
        <v>1512733</v>
      </c>
      <c r="O101" s="89">
        <v>1355241</v>
      </c>
      <c r="P101" s="89">
        <f>597439+143085+288361+76303</f>
        <v>1105188</v>
      </c>
      <c r="Q101" s="89">
        <f>385529+104745+208367+63659</f>
        <v>762300</v>
      </c>
      <c r="R101" s="89">
        <f>92999+61289+56147+38909</f>
        <v>249344</v>
      </c>
      <c r="S101" s="89">
        <f>31184+62380+62201+29845</f>
        <v>185610</v>
      </c>
      <c r="T101" s="89">
        <f>32927+71177+43916+31766</f>
        <v>179786</v>
      </c>
      <c r="U101" s="79">
        <v>130804.54</v>
      </c>
      <c r="V101" s="79">
        <f>59151+80752+76514+47331</f>
        <v>263748</v>
      </c>
      <c r="W101" s="79">
        <f>191971+117843+166442+60902</f>
        <v>537158</v>
      </c>
      <c r="X101" s="110">
        <f>504457+175100+305773+83493</f>
        <v>1068823</v>
      </c>
      <c r="Y101" s="79">
        <f>923302+253619+536663+137901</f>
        <v>1851485</v>
      </c>
      <c r="Z101" s="79">
        <f>842890+210783+488628+123314</f>
        <v>1665615</v>
      </c>
      <c r="AA101" s="79"/>
      <c r="AB101" s="79"/>
      <c r="AC101" s="110"/>
      <c r="AD101" s="79">
        <f t="shared" si="54"/>
        <v>311712</v>
      </c>
      <c r="AE101" s="79">
        <f t="shared" si="54"/>
        <v>396567</v>
      </c>
      <c r="AF101" s="79">
        <f t="shared" si="54"/>
        <v>-35558</v>
      </c>
      <c r="AG101" s="79">
        <f t="shared" si="54"/>
        <v>-302086</v>
      </c>
      <c r="AH101" s="79">
        <f t="shared" si="54"/>
        <v>715</v>
      </c>
      <c r="AI101" s="79">
        <f t="shared" si="54"/>
        <v>-10151</v>
      </c>
      <c r="AJ101" s="79">
        <f t="shared" si="54"/>
        <v>76664.460000000006</v>
      </c>
      <c r="AK101" s="79">
        <f t="shared" si="54"/>
        <v>-21344</v>
      </c>
      <c r="AL101" s="79">
        <f t="shared" si="54"/>
        <v>89016</v>
      </c>
      <c r="AM101" s="109">
        <f t="shared" si="54"/>
        <v>162666</v>
      </c>
      <c r="AN101" s="109">
        <f t="shared" si="54"/>
        <v>-138400</v>
      </c>
      <c r="AO101" s="77"/>
      <c r="AP101" s="189"/>
    </row>
    <row r="102" spans="1:42" x14ac:dyDescent="0.25">
      <c r="A102" s="4"/>
      <c r="B102" s="35" t="s">
        <v>40</v>
      </c>
      <c r="C102" s="97">
        <v>409398</v>
      </c>
      <c r="D102" s="89">
        <v>272619</v>
      </c>
      <c r="E102" s="89">
        <v>206669</v>
      </c>
      <c r="F102" s="89">
        <v>170691</v>
      </c>
      <c r="G102" s="89">
        <v>184866</v>
      </c>
      <c r="H102" s="89">
        <v>165594</v>
      </c>
      <c r="I102" s="89">
        <v>138728</v>
      </c>
      <c r="J102" s="89">
        <v>186073</v>
      </c>
      <c r="K102" s="89">
        <v>250238</v>
      </c>
      <c r="L102" s="99">
        <v>315212</v>
      </c>
      <c r="M102" s="89">
        <v>332792</v>
      </c>
      <c r="N102" s="89">
        <v>267787</v>
      </c>
      <c r="O102" s="89">
        <v>289423</v>
      </c>
      <c r="P102" s="89">
        <f>41169+117515+28457+136309</f>
        <v>323450</v>
      </c>
      <c r="Q102" s="89">
        <f>7547+33835+16815+130936</f>
        <v>189133</v>
      </c>
      <c r="R102" s="89">
        <f>2279+57537+8449+113397</f>
        <v>181662</v>
      </c>
      <c r="S102" s="89">
        <f>1855+43977+6207+127758</f>
        <v>179797</v>
      </c>
      <c r="T102" s="89">
        <f>4565+51519-3774+123637</f>
        <v>175947</v>
      </c>
      <c r="U102" s="79">
        <v>191095.52</v>
      </c>
      <c r="V102" s="79">
        <f>2746+33258+10676+142905</f>
        <v>189585</v>
      </c>
      <c r="W102" s="79">
        <f>9178+49349+17008+187781</f>
        <v>263316</v>
      </c>
      <c r="X102" s="110">
        <f>27975+103900+27875+198848</f>
        <v>358598</v>
      </c>
      <c r="Y102" s="79">
        <f>101569+95261+49125+219382</f>
        <v>465337</v>
      </c>
      <c r="Z102" s="79">
        <f>38809+94383+36378+197950</f>
        <v>367520</v>
      </c>
      <c r="AA102" s="79"/>
      <c r="AB102" s="79"/>
      <c r="AC102" s="110"/>
      <c r="AD102" s="79">
        <f t="shared" si="54"/>
        <v>119975</v>
      </c>
      <c r="AE102" s="79">
        <f t="shared" si="54"/>
        <v>-50831</v>
      </c>
      <c r="AF102" s="79">
        <f t="shared" si="54"/>
        <v>17536</v>
      </c>
      <c r="AG102" s="79">
        <f t="shared" si="54"/>
        <v>-10971</v>
      </c>
      <c r="AH102" s="79">
        <f t="shared" si="54"/>
        <v>5069</v>
      </c>
      <c r="AI102" s="79">
        <f t="shared" si="54"/>
        <v>-10353</v>
      </c>
      <c r="AJ102" s="79">
        <f t="shared" si="54"/>
        <v>-52367.51999999999</v>
      </c>
      <c r="AK102" s="79">
        <f t="shared" si="54"/>
        <v>-3512</v>
      </c>
      <c r="AL102" s="79">
        <f t="shared" si="54"/>
        <v>-13078</v>
      </c>
      <c r="AM102" s="109">
        <f t="shared" si="54"/>
        <v>-43386</v>
      </c>
      <c r="AN102" s="109">
        <f t="shared" si="54"/>
        <v>-132545</v>
      </c>
      <c r="AO102" s="77"/>
      <c r="AP102" s="189"/>
    </row>
    <row r="103" spans="1:42" x14ac:dyDescent="0.25">
      <c r="A103" s="4"/>
      <c r="B103" s="35" t="s">
        <v>41</v>
      </c>
      <c r="C103" s="97">
        <f>SUM(C98:C102)</f>
        <v>12106135</v>
      </c>
      <c r="D103" s="89">
        <f>SUM(D98:D102)</f>
        <v>9039383</v>
      </c>
      <c r="E103" s="89">
        <f t="shared" ref="E103:AK103" si="55">SUM(E98:E102)</f>
        <v>4742032</v>
      </c>
      <c r="F103" s="89">
        <f t="shared" si="55"/>
        <v>2303947</v>
      </c>
      <c r="G103" s="89">
        <f t="shared" si="55"/>
        <v>1945164</v>
      </c>
      <c r="H103" s="89">
        <f t="shared" si="55"/>
        <v>1756618</v>
      </c>
      <c r="I103" s="89">
        <f t="shared" si="55"/>
        <v>1805710</v>
      </c>
      <c r="J103" s="89">
        <f t="shared" si="55"/>
        <v>2062500</v>
      </c>
      <c r="K103" s="89">
        <f t="shared" si="55"/>
        <v>4734828</v>
      </c>
      <c r="L103" s="99">
        <f t="shared" si="55"/>
        <v>9731684</v>
      </c>
      <c r="M103" s="89">
        <f t="shared" si="55"/>
        <v>12809442</v>
      </c>
      <c r="N103" s="89">
        <f t="shared" si="55"/>
        <v>11104485</v>
      </c>
      <c r="O103" s="89">
        <f t="shared" si="55"/>
        <v>10101706</v>
      </c>
      <c r="P103" s="89">
        <f t="shared" si="55"/>
        <v>8356125</v>
      </c>
      <c r="Q103" s="89">
        <f t="shared" si="55"/>
        <v>6172402</v>
      </c>
      <c r="R103" s="89">
        <f t="shared" si="55"/>
        <v>2476216</v>
      </c>
      <c r="S103" s="89">
        <f t="shared" si="55"/>
        <v>1921778</v>
      </c>
      <c r="T103" s="89">
        <f t="shared" si="55"/>
        <v>1896715</v>
      </c>
      <c r="U103" s="180">
        <f t="shared" ref="U103:Z103" si="56">SUM(U98:U102)</f>
        <v>1826069.8900000001</v>
      </c>
      <c r="V103" s="180">
        <f t="shared" si="56"/>
        <v>2280546</v>
      </c>
      <c r="W103" s="180">
        <f t="shared" si="56"/>
        <v>4267121</v>
      </c>
      <c r="X103" s="99">
        <f t="shared" si="56"/>
        <v>8383009</v>
      </c>
      <c r="Y103" s="99">
        <f t="shared" si="56"/>
        <v>13584399</v>
      </c>
      <c r="Z103" s="99">
        <f t="shared" si="56"/>
        <v>12832479</v>
      </c>
      <c r="AA103" s="98"/>
      <c r="AB103" s="98"/>
      <c r="AC103" s="99"/>
      <c r="AD103" s="89">
        <f t="shared" si="55"/>
        <v>2004429</v>
      </c>
      <c r="AE103" s="89">
        <f t="shared" si="55"/>
        <v>683258</v>
      </c>
      <c r="AF103" s="89">
        <f t="shared" si="55"/>
        <v>-1430370</v>
      </c>
      <c r="AG103" s="89">
        <f t="shared" si="55"/>
        <v>-172269</v>
      </c>
      <c r="AH103" s="89">
        <f t="shared" si="55"/>
        <v>23386</v>
      </c>
      <c r="AI103" s="89">
        <f t="shared" si="55"/>
        <v>-140097</v>
      </c>
      <c r="AJ103" s="89">
        <f t="shared" si="55"/>
        <v>-20359.890000000087</v>
      </c>
      <c r="AK103" s="89">
        <f t="shared" si="55"/>
        <v>-218046</v>
      </c>
      <c r="AL103" s="89">
        <f t="shared" ref="AL103:AN103" si="57">SUM(AL98:AL102)</f>
        <v>467707</v>
      </c>
      <c r="AM103" s="98">
        <f t="shared" si="57"/>
        <v>1348675</v>
      </c>
      <c r="AN103" s="98">
        <f t="shared" si="57"/>
        <v>-774957</v>
      </c>
      <c r="AO103" s="77"/>
      <c r="AP103" s="189"/>
    </row>
    <row r="104" spans="1:42" x14ac:dyDescent="0.25">
      <c r="A104" s="4">
        <f>+A97+1</f>
        <v>12</v>
      </c>
      <c r="B104" s="42" t="s">
        <v>45</v>
      </c>
      <c r="C104" s="158"/>
      <c r="D104" s="93"/>
      <c r="E104" s="93"/>
      <c r="F104" s="93"/>
      <c r="G104" s="93"/>
      <c r="H104" s="93"/>
      <c r="I104" s="93"/>
      <c r="J104" s="93"/>
      <c r="K104" s="93"/>
      <c r="L104" s="168"/>
      <c r="M104" s="93"/>
      <c r="N104" s="93"/>
      <c r="O104" s="93"/>
      <c r="P104" s="93"/>
      <c r="Q104" s="93"/>
      <c r="R104" s="93"/>
      <c r="S104" s="93"/>
      <c r="T104" s="93"/>
      <c r="U104" s="181"/>
      <c r="V104" s="323"/>
      <c r="W104" s="323"/>
      <c r="X104" s="168"/>
      <c r="Y104" s="323"/>
      <c r="Z104" s="323"/>
      <c r="AA104" s="323"/>
      <c r="AB104" s="323"/>
      <c r="AC104" s="168"/>
      <c r="AD104" s="93"/>
      <c r="AE104" s="93"/>
      <c r="AF104" s="93"/>
      <c r="AG104" s="93"/>
      <c r="AH104" s="93"/>
      <c r="AI104" s="93"/>
      <c r="AJ104" s="92"/>
      <c r="AK104" s="315"/>
      <c r="AL104" s="315"/>
      <c r="AM104" s="315"/>
      <c r="AN104" s="430"/>
      <c r="AO104" s="435"/>
      <c r="AP104" s="436"/>
    </row>
    <row r="105" spans="1:42" x14ac:dyDescent="0.25">
      <c r="A105" s="4"/>
      <c r="B105" s="35" t="s">
        <v>36</v>
      </c>
      <c r="C105" s="190"/>
      <c r="D105" s="191"/>
      <c r="E105" s="191"/>
      <c r="F105" s="191"/>
      <c r="G105" s="191"/>
      <c r="H105" s="191"/>
      <c r="I105" s="191"/>
      <c r="J105" s="191"/>
      <c r="K105" s="191"/>
      <c r="L105" s="192"/>
      <c r="M105" s="191"/>
      <c r="N105" s="191"/>
      <c r="O105" s="191"/>
      <c r="P105" s="191"/>
      <c r="Q105" s="191"/>
      <c r="R105" s="191"/>
      <c r="S105" s="191"/>
      <c r="T105" s="191"/>
      <c r="U105" s="193"/>
      <c r="V105" s="324"/>
      <c r="W105" s="324"/>
      <c r="X105" s="192"/>
      <c r="Y105" s="324"/>
      <c r="Z105" s="324"/>
      <c r="AA105" s="324"/>
      <c r="AB105" s="324"/>
      <c r="AC105" s="192"/>
      <c r="AD105" s="83">
        <f t="shared" ref="AD105:AN110" si="58">C105-O105</f>
        <v>0</v>
      </c>
      <c r="AE105" s="83">
        <f t="shared" si="58"/>
        <v>0</v>
      </c>
      <c r="AF105" s="83">
        <f t="shared" si="58"/>
        <v>0</v>
      </c>
      <c r="AG105" s="83">
        <f t="shared" si="58"/>
        <v>0</v>
      </c>
      <c r="AH105" s="83">
        <f t="shared" si="58"/>
        <v>0</v>
      </c>
      <c r="AI105" s="83">
        <f t="shared" si="58"/>
        <v>0</v>
      </c>
      <c r="AJ105" s="82">
        <f t="shared" si="58"/>
        <v>0</v>
      </c>
      <c r="AK105" s="82">
        <f t="shared" si="58"/>
        <v>0</v>
      </c>
      <c r="AL105" s="82">
        <f t="shared" si="58"/>
        <v>0</v>
      </c>
      <c r="AM105" s="256">
        <f t="shared" si="58"/>
        <v>0</v>
      </c>
      <c r="AN105" s="256">
        <f t="shared" si="58"/>
        <v>0</v>
      </c>
      <c r="AO105" s="437"/>
      <c r="AP105" s="438"/>
    </row>
    <row r="106" spans="1:42" x14ac:dyDescent="0.25">
      <c r="A106" s="4"/>
      <c r="B106" s="35" t="s">
        <v>37</v>
      </c>
      <c r="C106" s="190"/>
      <c r="D106" s="191"/>
      <c r="E106" s="191"/>
      <c r="F106" s="191"/>
      <c r="G106" s="191"/>
      <c r="H106" s="191"/>
      <c r="I106" s="191"/>
      <c r="J106" s="191"/>
      <c r="K106" s="191"/>
      <c r="L106" s="192"/>
      <c r="M106" s="191"/>
      <c r="N106" s="191"/>
      <c r="O106" s="191"/>
      <c r="P106" s="191"/>
      <c r="Q106" s="191"/>
      <c r="R106" s="191"/>
      <c r="S106" s="191"/>
      <c r="T106" s="191"/>
      <c r="U106" s="193"/>
      <c r="V106" s="324"/>
      <c r="W106" s="324"/>
      <c r="X106" s="192"/>
      <c r="Y106" s="324"/>
      <c r="Z106" s="324"/>
      <c r="AA106" s="324"/>
      <c r="AB106" s="324"/>
      <c r="AC106" s="192"/>
      <c r="AD106" s="83">
        <f t="shared" si="58"/>
        <v>0</v>
      </c>
      <c r="AE106" s="83">
        <f t="shared" si="58"/>
        <v>0</v>
      </c>
      <c r="AF106" s="83">
        <f t="shared" si="58"/>
        <v>0</v>
      </c>
      <c r="AG106" s="83">
        <f t="shared" si="58"/>
        <v>0</v>
      </c>
      <c r="AH106" s="83">
        <f t="shared" si="58"/>
        <v>0</v>
      </c>
      <c r="AI106" s="83">
        <f t="shared" si="58"/>
        <v>0</v>
      </c>
      <c r="AJ106" s="82">
        <f t="shared" si="58"/>
        <v>0</v>
      </c>
      <c r="AK106" s="82">
        <f t="shared" si="58"/>
        <v>0</v>
      </c>
      <c r="AL106" s="82">
        <f t="shared" si="58"/>
        <v>0</v>
      </c>
      <c r="AM106" s="256">
        <f t="shared" si="58"/>
        <v>0</v>
      </c>
      <c r="AN106" s="256">
        <f t="shared" si="58"/>
        <v>0</v>
      </c>
      <c r="AO106" s="437"/>
      <c r="AP106" s="438"/>
    </row>
    <row r="107" spans="1:42" x14ac:dyDescent="0.25">
      <c r="A107" s="4"/>
      <c r="B107" s="35" t="s">
        <v>38</v>
      </c>
      <c r="C107" s="190"/>
      <c r="D107" s="191"/>
      <c r="E107" s="191"/>
      <c r="F107" s="191"/>
      <c r="G107" s="191"/>
      <c r="H107" s="191"/>
      <c r="I107" s="191"/>
      <c r="J107" s="191"/>
      <c r="K107" s="191"/>
      <c r="L107" s="192"/>
      <c r="M107" s="191"/>
      <c r="N107" s="191"/>
      <c r="O107" s="191"/>
      <c r="P107" s="191"/>
      <c r="Q107" s="191"/>
      <c r="R107" s="191"/>
      <c r="S107" s="191"/>
      <c r="T107" s="191"/>
      <c r="U107" s="193"/>
      <c r="V107" s="324"/>
      <c r="W107" s="324"/>
      <c r="X107" s="192"/>
      <c r="Y107" s="324"/>
      <c r="Z107" s="324"/>
      <c r="AA107" s="324"/>
      <c r="AB107" s="324"/>
      <c r="AC107" s="192"/>
      <c r="AD107" s="83">
        <f t="shared" si="58"/>
        <v>0</v>
      </c>
      <c r="AE107" s="83">
        <f t="shared" si="58"/>
        <v>0</v>
      </c>
      <c r="AF107" s="83">
        <f t="shared" si="58"/>
        <v>0</v>
      </c>
      <c r="AG107" s="83">
        <f t="shared" si="58"/>
        <v>0</v>
      </c>
      <c r="AH107" s="83">
        <f t="shared" si="58"/>
        <v>0</v>
      </c>
      <c r="AI107" s="83">
        <f t="shared" si="58"/>
        <v>0</v>
      </c>
      <c r="AJ107" s="82">
        <f t="shared" si="58"/>
        <v>0</v>
      </c>
      <c r="AK107" s="82">
        <f t="shared" si="58"/>
        <v>0</v>
      </c>
      <c r="AL107" s="82">
        <f t="shared" si="58"/>
        <v>0</v>
      </c>
      <c r="AM107" s="256">
        <f t="shared" si="58"/>
        <v>0</v>
      </c>
      <c r="AN107" s="256">
        <f t="shared" si="58"/>
        <v>0</v>
      </c>
      <c r="AO107" s="437"/>
      <c r="AP107" s="438"/>
    </row>
    <row r="108" spans="1:42" x14ac:dyDescent="0.25">
      <c r="A108" s="4"/>
      <c r="B108" s="35" t="s">
        <v>39</v>
      </c>
      <c r="C108" s="190"/>
      <c r="D108" s="191"/>
      <c r="E108" s="191"/>
      <c r="F108" s="191"/>
      <c r="G108" s="191"/>
      <c r="H108" s="191"/>
      <c r="I108" s="191"/>
      <c r="J108" s="191"/>
      <c r="K108" s="191"/>
      <c r="L108" s="192"/>
      <c r="M108" s="191"/>
      <c r="N108" s="191"/>
      <c r="O108" s="191"/>
      <c r="P108" s="191"/>
      <c r="Q108" s="191"/>
      <c r="R108" s="191"/>
      <c r="S108" s="191"/>
      <c r="T108" s="191"/>
      <c r="U108" s="193"/>
      <c r="V108" s="324"/>
      <c r="W108" s="324"/>
      <c r="X108" s="192"/>
      <c r="Y108" s="324"/>
      <c r="Z108" s="324"/>
      <c r="AA108" s="324"/>
      <c r="AB108" s="324"/>
      <c r="AC108" s="192"/>
      <c r="AD108" s="83">
        <f t="shared" si="58"/>
        <v>0</v>
      </c>
      <c r="AE108" s="83">
        <f t="shared" si="58"/>
        <v>0</v>
      </c>
      <c r="AF108" s="83">
        <f t="shared" si="58"/>
        <v>0</v>
      </c>
      <c r="AG108" s="83">
        <f t="shared" si="58"/>
        <v>0</v>
      </c>
      <c r="AH108" s="83">
        <f t="shared" si="58"/>
        <v>0</v>
      </c>
      <c r="AI108" s="83">
        <f t="shared" si="58"/>
        <v>0</v>
      </c>
      <c r="AJ108" s="82">
        <f t="shared" si="58"/>
        <v>0</v>
      </c>
      <c r="AK108" s="82">
        <f t="shared" si="58"/>
        <v>0</v>
      </c>
      <c r="AL108" s="82">
        <f t="shared" si="58"/>
        <v>0</v>
      </c>
      <c r="AM108" s="256">
        <f t="shared" si="58"/>
        <v>0</v>
      </c>
      <c r="AN108" s="256">
        <f t="shared" si="58"/>
        <v>0</v>
      </c>
      <c r="AO108" s="437"/>
      <c r="AP108" s="438"/>
    </row>
    <row r="109" spans="1:42" x14ac:dyDescent="0.25">
      <c r="A109" s="4"/>
      <c r="B109" s="35" t="s">
        <v>40</v>
      </c>
      <c r="C109" s="190"/>
      <c r="D109" s="191"/>
      <c r="E109" s="191"/>
      <c r="F109" s="191"/>
      <c r="G109" s="191"/>
      <c r="H109" s="191"/>
      <c r="I109" s="191"/>
      <c r="J109" s="191"/>
      <c r="K109" s="191"/>
      <c r="L109" s="192"/>
      <c r="M109" s="191"/>
      <c r="N109" s="191"/>
      <c r="O109" s="191"/>
      <c r="P109" s="191"/>
      <c r="Q109" s="191"/>
      <c r="R109" s="191"/>
      <c r="S109" s="191"/>
      <c r="T109" s="191"/>
      <c r="U109" s="193"/>
      <c r="V109" s="324"/>
      <c r="W109" s="324"/>
      <c r="X109" s="192"/>
      <c r="Y109" s="324"/>
      <c r="Z109" s="324"/>
      <c r="AA109" s="324"/>
      <c r="AB109" s="324"/>
      <c r="AC109" s="192"/>
      <c r="AD109" s="83">
        <f t="shared" si="58"/>
        <v>0</v>
      </c>
      <c r="AE109" s="83">
        <f t="shared" si="58"/>
        <v>0</v>
      </c>
      <c r="AF109" s="83">
        <f t="shared" si="58"/>
        <v>0</v>
      </c>
      <c r="AG109" s="83">
        <f t="shared" si="58"/>
        <v>0</v>
      </c>
      <c r="AH109" s="83">
        <f t="shared" si="58"/>
        <v>0</v>
      </c>
      <c r="AI109" s="83">
        <f t="shared" si="58"/>
        <v>0</v>
      </c>
      <c r="AJ109" s="82">
        <f t="shared" si="58"/>
        <v>0</v>
      </c>
      <c r="AK109" s="82">
        <f t="shared" si="58"/>
        <v>0</v>
      </c>
      <c r="AL109" s="82">
        <f t="shared" si="58"/>
        <v>0</v>
      </c>
      <c r="AM109" s="256">
        <f t="shared" si="58"/>
        <v>0</v>
      </c>
      <c r="AN109" s="256">
        <f t="shared" si="58"/>
        <v>0</v>
      </c>
      <c r="AO109" s="437"/>
      <c r="AP109" s="438"/>
    </row>
    <row r="110" spans="1:42" x14ac:dyDescent="0.25">
      <c r="A110" s="4"/>
      <c r="B110" s="35" t="s">
        <v>41</v>
      </c>
      <c r="C110" s="156">
        <f>SUM(C105:C109)</f>
        <v>0</v>
      </c>
      <c r="D110" s="191">
        <f>SUM(D105:D109)</f>
        <v>0</v>
      </c>
      <c r="E110" s="191">
        <f t="shared" ref="E110:AJ110" si="59">SUM(E105:E109)</f>
        <v>0</v>
      </c>
      <c r="F110" s="191">
        <f t="shared" si="59"/>
        <v>0</v>
      </c>
      <c r="G110" s="191">
        <f t="shared" si="59"/>
        <v>0</v>
      </c>
      <c r="H110" s="191">
        <f t="shared" si="59"/>
        <v>0</v>
      </c>
      <c r="I110" s="191">
        <f t="shared" si="59"/>
        <v>0</v>
      </c>
      <c r="J110" s="191">
        <f t="shared" si="59"/>
        <v>0</v>
      </c>
      <c r="K110" s="191">
        <f t="shared" si="59"/>
        <v>0</v>
      </c>
      <c r="L110" s="192">
        <f t="shared" si="59"/>
        <v>0</v>
      </c>
      <c r="M110" s="191">
        <f t="shared" si="59"/>
        <v>0</v>
      </c>
      <c r="N110" s="191">
        <f t="shared" si="59"/>
        <v>0</v>
      </c>
      <c r="O110" s="191">
        <f t="shared" si="59"/>
        <v>0</v>
      </c>
      <c r="P110" s="191">
        <f t="shared" si="59"/>
        <v>0</v>
      </c>
      <c r="Q110" s="191">
        <f t="shared" si="59"/>
        <v>0</v>
      </c>
      <c r="R110" s="191">
        <f t="shared" si="59"/>
        <v>0</v>
      </c>
      <c r="S110" s="191">
        <f t="shared" si="59"/>
        <v>0</v>
      </c>
      <c r="T110" s="191">
        <f t="shared" si="59"/>
        <v>0</v>
      </c>
      <c r="U110" s="193">
        <f t="shared" si="59"/>
        <v>0</v>
      </c>
      <c r="V110" s="324"/>
      <c r="W110" s="324"/>
      <c r="X110" s="192"/>
      <c r="Y110" s="324"/>
      <c r="Z110" s="324"/>
      <c r="AA110" s="324"/>
      <c r="AB110" s="324"/>
      <c r="AC110" s="192"/>
      <c r="AD110" s="191">
        <f t="shared" si="59"/>
        <v>0</v>
      </c>
      <c r="AE110" s="191">
        <f t="shared" si="59"/>
        <v>0</v>
      </c>
      <c r="AF110" s="191">
        <f t="shared" si="59"/>
        <v>0</v>
      </c>
      <c r="AG110" s="191">
        <f t="shared" si="59"/>
        <v>0</v>
      </c>
      <c r="AH110" s="191">
        <f t="shared" si="59"/>
        <v>0</v>
      </c>
      <c r="AI110" s="191">
        <f t="shared" si="59"/>
        <v>0</v>
      </c>
      <c r="AJ110" s="194">
        <f t="shared" si="59"/>
        <v>0</v>
      </c>
      <c r="AK110" s="82">
        <f>J110-V110</f>
        <v>0</v>
      </c>
      <c r="AL110" s="82">
        <f>K110-W110</f>
        <v>0</v>
      </c>
      <c r="AM110" s="256">
        <f>L110-X110</f>
        <v>0</v>
      </c>
      <c r="AN110" s="256">
        <f t="shared" si="58"/>
        <v>0</v>
      </c>
      <c r="AO110" s="437"/>
      <c r="AP110" s="438"/>
    </row>
    <row r="111" spans="1:42" x14ac:dyDescent="0.25">
      <c r="A111" s="4">
        <f>+A104+1</f>
        <v>13</v>
      </c>
      <c r="B111" s="43" t="s">
        <v>43</v>
      </c>
      <c r="C111" s="90"/>
      <c r="D111" s="91"/>
      <c r="E111" s="91"/>
      <c r="F111" s="91"/>
      <c r="G111" s="91"/>
      <c r="H111" s="91"/>
      <c r="I111" s="91"/>
      <c r="J111" s="91"/>
      <c r="K111" s="91"/>
      <c r="L111" s="92"/>
      <c r="M111" s="93"/>
      <c r="N111" s="91"/>
      <c r="O111" s="93"/>
      <c r="P111" s="91"/>
      <c r="Q111" s="91"/>
      <c r="R111" s="91"/>
      <c r="S111" s="91"/>
      <c r="T111" s="91"/>
      <c r="U111" s="182"/>
      <c r="V111" s="323"/>
      <c r="W111" s="323"/>
      <c r="X111" s="168"/>
      <c r="Y111" s="323"/>
      <c r="Z111" s="323"/>
      <c r="AA111" s="323"/>
      <c r="AB111" s="323"/>
      <c r="AC111" s="168"/>
      <c r="AD111" s="85"/>
      <c r="AE111" s="94"/>
      <c r="AF111" s="95"/>
      <c r="AG111" s="95"/>
      <c r="AH111" s="95"/>
      <c r="AI111" s="95"/>
      <c r="AJ111" s="96"/>
      <c r="AK111" s="231"/>
      <c r="AL111" s="231"/>
      <c r="AM111" s="231"/>
      <c r="AN111" s="428"/>
      <c r="AO111" s="212"/>
      <c r="AP111" s="434"/>
    </row>
    <row r="112" spans="1:42" x14ac:dyDescent="0.25">
      <c r="A112" s="4"/>
      <c r="B112" s="35" t="s">
        <v>36</v>
      </c>
      <c r="C112" s="97">
        <f>C98+C105</f>
        <v>7320652</v>
      </c>
      <c r="D112" s="98">
        <f t="shared" ref="D112:V116" si="60">D98+D105</f>
        <v>5383472</v>
      </c>
      <c r="E112" s="98">
        <f t="shared" si="60"/>
        <v>2835928</v>
      </c>
      <c r="F112" s="98">
        <f t="shared" si="60"/>
        <v>1635234</v>
      </c>
      <c r="G112" s="98">
        <f t="shared" si="60"/>
        <v>1190977</v>
      </c>
      <c r="H112" s="98">
        <f t="shared" si="60"/>
        <v>1073742</v>
      </c>
      <c r="I112" s="98">
        <f t="shared" si="60"/>
        <v>1093327</v>
      </c>
      <c r="J112" s="98">
        <f t="shared" si="60"/>
        <v>1204853</v>
      </c>
      <c r="K112" s="98">
        <f t="shared" si="60"/>
        <v>2832598</v>
      </c>
      <c r="L112" s="99">
        <f t="shared" si="60"/>
        <v>6007193</v>
      </c>
      <c r="M112" s="98">
        <f t="shared" si="60"/>
        <v>7862432</v>
      </c>
      <c r="N112" s="89">
        <f t="shared" si="60"/>
        <v>6861669</v>
      </c>
      <c r="O112" s="98">
        <f t="shared" si="60"/>
        <v>6223104</v>
      </c>
      <c r="P112" s="98">
        <f t="shared" si="60"/>
        <v>5136594</v>
      </c>
      <c r="Q112" s="98">
        <f t="shared" si="60"/>
        <v>3970052</v>
      </c>
      <c r="R112" s="98">
        <f t="shared" si="60"/>
        <v>1581867</v>
      </c>
      <c r="S112" s="98">
        <f t="shared" si="60"/>
        <v>1194981</v>
      </c>
      <c r="T112" s="98">
        <f t="shared" si="60"/>
        <v>1166766</v>
      </c>
      <c r="U112" s="98">
        <f t="shared" si="60"/>
        <v>1163542.1200000001</v>
      </c>
      <c r="V112" s="98">
        <f t="shared" si="60"/>
        <v>1380254</v>
      </c>
      <c r="W112" s="98">
        <f t="shared" ref="W112:Z112" si="61">W98+W105</f>
        <v>2575289</v>
      </c>
      <c r="X112" s="99">
        <f t="shared" si="61"/>
        <v>5138197</v>
      </c>
      <c r="Y112" s="99">
        <f t="shared" si="61"/>
        <v>8339408</v>
      </c>
      <c r="Z112" s="99">
        <f t="shared" si="61"/>
        <v>7933783</v>
      </c>
      <c r="AA112" s="98"/>
      <c r="AB112" s="98"/>
      <c r="AC112" s="99"/>
      <c r="AD112" s="89">
        <f t="shared" ref="AD112:AN116" si="62">C112-O112</f>
        <v>1097548</v>
      </c>
      <c r="AE112" s="89">
        <f t="shared" si="62"/>
        <v>246878</v>
      </c>
      <c r="AF112" s="89">
        <f t="shared" si="62"/>
        <v>-1134124</v>
      </c>
      <c r="AG112" s="89">
        <f t="shared" si="62"/>
        <v>53367</v>
      </c>
      <c r="AH112" s="89">
        <f t="shared" si="62"/>
        <v>-4004</v>
      </c>
      <c r="AI112" s="89">
        <f t="shared" si="62"/>
        <v>-93024</v>
      </c>
      <c r="AJ112" s="88">
        <f t="shared" si="62"/>
        <v>-70215.120000000112</v>
      </c>
      <c r="AK112" s="88">
        <f t="shared" si="62"/>
        <v>-175401</v>
      </c>
      <c r="AL112" s="88">
        <f t="shared" si="62"/>
        <v>257309</v>
      </c>
      <c r="AM112" s="259">
        <f t="shared" si="62"/>
        <v>868996</v>
      </c>
      <c r="AN112" s="259">
        <f t="shared" si="62"/>
        <v>-476976</v>
      </c>
      <c r="AO112" s="77"/>
      <c r="AP112" s="189"/>
    </row>
    <row r="113" spans="1:42" x14ac:dyDescent="0.25">
      <c r="A113" s="4"/>
      <c r="B113" s="35" t="s">
        <v>37</v>
      </c>
      <c r="C113" s="97">
        <f>C99+C106</f>
        <v>1333487</v>
      </c>
      <c r="D113" s="98">
        <f t="shared" ref="D113:R113" si="63">D99+D106</f>
        <v>958085</v>
      </c>
      <c r="E113" s="98">
        <f t="shared" si="63"/>
        <v>508395</v>
      </c>
      <c r="F113" s="98">
        <f t="shared" si="63"/>
        <v>288279</v>
      </c>
      <c r="G113" s="98">
        <f t="shared" si="63"/>
        <v>199067</v>
      </c>
      <c r="H113" s="98">
        <f t="shared" si="63"/>
        <v>185727</v>
      </c>
      <c r="I113" s="98">
        <f t="shared" si="63"/>
        <v>191423</v>
      </c>
      <c r="J113" s="98">
        <f t="shared" si="63"/>
        <v>225239</v>
      </c>
      <c r="K113" s="98">
        <f t="shared" si="63"/>
        <v>582954</v>
      </c>
      <c r="L113" s="99">
        <f t="shared" si="63"/>
        <v>1116062</v>
      </c>
      <c r="M113" s="98">
        <f t="shared" si="63"/>
        <v>1429370</v>
      </c>
      <c r="N113" s="89">
        <f t="shared" si="63"/>
        <v>1214330</v>
      </c>
      <c r="O113" s="98">
        <f t="shared" si="63"/>
        <v>1133263</v>
      </c>
      <c r="P113" s="98">
        <f t="shared" si="63"/>
        <v>949503</v>
      </c>
      <c r="Q113" s="98">
        <f t="shared" si="63"/>
        <v>690439</v>
      </c>
      <c r="R113" s="98">
        <f t="shared" si="63"/>
        <v>267576</v>
      </c>
      <c r="S113" s="98">
        <f t="shared" si="60"/>
        <v>191044</v>
      </c>
      <c r="T113" s="98">
        <f t="shared" si="60"/>
        <v>196521</v>
      </c>
      <c r="U113" s="98">
        <f t="shared" ref="U113:V113" si="64">U99+U106</f>
        <v>195920.27</v>
      </c>
      <c r="V113" s="98">
        <f t="shared" si="64"/>
        <v>246100</v>
      </c>
      <c r="W113" s="98">
        <f t="shared" ref="W113:Z113" si="65">W99+W106</f>
        <v>505107</v>
      </c>
      <c r="X113" s="99">
        <f t="shared" si="65"/>
        <v>987910</v>
      </c>
      <c r="Y113" s="99">
        <f t="shared" si="65"/>
        <v>1444116</v>
      </c>
      <c r="Z113" s="99">
        <f t="shared" si="65"/>
        <v>1395746</v>
      </c>
      <c r="AA113" s="98"/>
      <c r="AB113" s="98"/>
      <c r="AC113" s="99"/>
      <c r="AD113" s="89">
        <f t="shared" si="62"/>
        <v>200224</v>
      </c>
      <c r="AE113" s="89">
        <f t="shared" si="62"/>
        <v>8582</v>
      </c>
      <c r="AF113" s="89">
        <f t="shared" si="62"/>
        <v>-182044</v>
      </c>
      <c r="AG113" s="89">
        <f t="shared" si="62"/>
        <v>20703</v>
      </c>
      <c r="AH113" s="89">
        <f t="shared" si="62"/>
        <v>8023</v>
      </c>
      <c r="AI113" s="89">
        <f t="shared" si="62"/>
        <v>-10794</v>
      </c>
      <c r="AJ113" s="88">
        <f t="shared" si="62"/>
        <v>-4497.2699999999895</v>
      </c>
      <c r="AK113" s="88">
        <f t="shared" si="62"/>
        <v>-20861</v>
      </c>
      <c r="AL113" s="88">
        <f t="shared" si="62"/>
        <v>77847</v>
      </c>
      <c r="AM113" s="259">
        <f t="shared" si="62"/>
        <v>128152</v>
      </c>
      <c r="AN113" s="259">
        <f t="shared" si="62"/>
        <v>-14746</v>
      </c>
      <c r="AO113" s="77"/>
      <c r="AP113" s="189"/>
    </row>
    <row r="114" spans="1:42" x14ac:dyDescent="0.25">
      <c r="A114" s="4"/>
      <c r="B114" s="35" t="s">
        <v>38</v>
      </c>
      <c r="C114" s="97">
        <f>C100+C107</f>
        <v>1375645</v>
      </c>
      <c r="D114" s="98">
        <f t="shared" si="60"/>
        <v>923452</v>
      </c>
      <c r="E114" s="98">
        <f t="shared" si="60"/>
        <v>464298</v>
      </c>
      <c r="F114" s="98">
        <f t="shared" si="60"/>
        <v>262485</v>
      </c>
      <c r="G114" s="98">
        <f t="shared" si="60"/>
        <v>183929</v>
      </c>
      <c r="H114" s="98">
        <f t="shared" si="60"/>
        <v>161920</v>
      </c>
      <c r="I114" s="98">
        <f t="shared" si="60"/>
        <v>174763</v>
      </c>
      <c r="J114" s="98">
        <f t="shared" si="60"/>
        <v>203931</v>
      </c>
      <c r="K114" s="98">
        <f t="shared" si="60"/>
        <v>442864</v>
      </c>
      <c r="L114" s="99">
        <f t="shared" si="60"/>
        <v>1061728</v>
      </c>
      <c r="M114" s="98">
        <f t="shared" si="60"/>
        <v>1471763</v>
      </c>
      <c r="N114" s="89">
        <f t="shared" si="60"/>
        <v>1247966</v>
      </c>
      <c r="O114" s="98">
        <f t="shared" si="60"/>
        <v>1100675</v>
      </c>
      <c r="P114" s="98">
        <f t="shared" si="60"/>
        <v>841390</v>
      </c>
      <c r="Q114" s="98">
        <f t="shared" si="60"/>
        <v>560478</v>
      </c>
      <c r="R114" s="98">
        <f t="shared" si="60"/>
        <v>195767</v>
      </c>
      <c r="S114" s="98">
        <f t="shared" si="60"/>
        <v>170346</v>
      </c>
      <c r="T114" s="98">
        <f t="shared" si="60"/>
        <v>177695</v>
      </c>
      <c r="U114" s="98">
        <f t="shared" ref="U114:V114" si="66">U100+U107</f>
        <v>144707.44</v>
      </c>
      <c r="V114" s="98">
        <f t="shared" si="66"/>
        <v>200859</v>
      </c>
      <c r="W114" s="98">
        <f t="shared" ref="W114:Z114" si="67">W100+W107</f>
        <v>386251</v>
      </c>
      <c r="X114" s="99">
        <f t="shared" si="67"/>
        <v>829481</v>
      </c>
      <c r="Y114" s="99">
        <f t="shared" si="67"/>
        <v>1484053</v>
      </c>
      <c r="Z114" s="99">
        <f t="shared" si="67"/>
        <v>1469815</v>
      </c>
      <c r="AA114" s="98"/>
      <c r="AB114" s="98"/>
      <c r="AC114" s="99"/>
      <c r="AD114" s="89">
        <f t="shared" si="62"/>
        <v>274970</v>
      </c>
      <c r="AE114" s="89">
        <f t="shared" si="62"/>
        <v>82062</v>
      </c>
      <c r="AF114" s="89">
        <f t="shared" si="62"/>
        <v>-96180</v>
      </c>
      <c r="AG114" s="89">
        <f t="shared" si="62"/>
        <v>66718</v>
      </c>
      <c r="AH114" s="89">
        <f t="shared" si="62"/>
        <v>13583</v>
      </c>
      <c r="AI114" s="89">
        <f t="shared" si="62"/>
        <v>-15775</v>
      </c>
      <c r="AJ114" s="88">
        <f t="shared" si="62"/>
        <v>30055.559999999998</v>
      </c>
      <c r="AK114" s="88">
        <f t="shared" si="62"/>
        <v>3072</v>
      </c>
      <c r="AL114" s="88">
        <f t="shared" si="62"/>
        <v>56613</v>
      </c>
      <c r="AM114" s="259">
        <f t="shared" si="62"/>
        <v>232247</v>
      </c>
      <c r="AN114" s="259">
        <f t="shared" si="62"/>
        <v>-12290</v>
      </c>
      <c r="AO114" s="77"/>
      <c r="AP114" s="189"/>
    </row>
    <row r="115" spans="1:42" x14ac:dyDescent="0.25">
      <c r="A115" s="4"/>
      <c r="B115" s="35" t="s">
        <v>39</v>
      </c>
      <c r="C115" s="97">
        <f>C101+C108</f>
        <v>1666953</v>
      </c>
      <c r="D115" s="98">
        <f t="shared" si="60"/>
        <v>1501755</v>
      </c>
      <c r="E115" s="98">
        <f t="shared" si="60"/>
        <v>726742</v>
      </c>
      <c r="F115" s="98">
        <f t="shared" si="60"/>
        <v>-52742</v>
      </c>
      <c r="G115" s="98">
        <f t="shared" si="60"/>
        <v>186325</v>
      </c>
      <c r="H115" s="98">
        <f t="shared" si="60"/>
        <v>169635</v>
      </c>
      <c r="I115" s="98">
        <f t="shared" si="60"/>
        <v>207469</v>
      </c>
      <c r="J115" s="98">
        <f t="shared" si="60"/>
        <v>242404</v>
      </c>
      <c r="K115" s="98">
        <f t="shared" si="60"/>
        <v>626174</v>
      </c>
      <c r="L115" s="99">
        <f t="shared" si="60"/>
        <v>1231489</v>
      </c>
      <c r="M115" s="98">
        <f t="shared" si="60"/>
        <v>1713085</v>
      </c>
      <c r="N115" s="89">
        <f t="shared" si="60"/>
        <v>1512733</v>
      </c>
      <c r="O115" s="98">
        <f t="shared" si="60"/>
        <v>1355241</v>
      </c>
      <c r="P115" s="98">
        <f t="shared" si="60"/>
        <v>1105188</v>
      </c>
      <c r="Q115" s="98">
        <f t="shared" si="60"/>
        <v>762300</v>
      </c>
      <c r="R115" s="98">
        <f t="shared" si="60"/>
        <v>249344</v>
      </c>
      <c r="S115" s="98">
        <f t="shared" si="60"/>
        <v>185610</v>
      </c>
      <c r="T115" s="98">
        <f t="shared" si="60"/>
        <v>179786</v>
      </c>
      <c r="U115" s="98">
        <f t="shared" ref="U115:V115" si="68">U101+U108</f>
        <v>130804.54</v>
      </c>
      <c r="V115" s="98">
        <f t="shared" si="68"/>
        <v>263748</v>
      </c>
      <c r="W115" s="98">
        <f t="shared" ref="W115:Z115" si="69">W101+W108</f>
        <v>537158</v>
      </c>
      <c r="X115" s="99">
        <f t="shared" si="69"/>
        <v>1068823</v>
      </c>
      <c r="Y115" s="99">
        <f t="shared" si="69"/>
        <v>1851485</v>
      </c>
      <c r="Z115" s="99">
        <f t="shared" si="69"/>
        <v>1665615</v>
      </c>
      <c r="AA115" s="98"/>
      <c r="AB115" s="98"/>
      <c r="AC115" s="99"/>
      <c r="AD115" s="89">
        <f t="shared" si="62"/>
        <v>311712</v>
      </c>
      <c r="AE115" s="89">
        <f t="shared" si="62"/>
        <v>396567</v>
      </c>
      <c r="AF115" s="89">
        <f t="shared" si="62"/>
        <v>-35558</v>
      </c>
      <c r="AG115" s="89">
        <f t="shared" si="62"/>
        <v>-302086</v>
      </c>
      <c r="AH115" s="89">
        <f t="shared" si="62"/>
        <v>715</v>
      </c>
      <c r="AI115" s="89">
        <f t="shared" si="62"/>
        <v>-10151</v>
      </c>
      <c r="AJ115" s="88">
        <f t="shared" si="62"/>
        <v>76664.460000000006</v>
      </c>
      <c r="AK115" s="88">
        <f t="shared" si="62"/>
        <v>-21344</v>
      </c>
      <c r="AL115" s="88">
        <f t="shared" si="62"/>
        <v>89016</v>
      </c>
      <c r="AM115" s="259">
        <f t="shared" si="62"/>
        <v>162666</v>
      </c>
      <c r="AN115" s="259">
        <f t="shared" si="62"/>
        <v>-138400</v>
      </c>
      <c r="AO115" s="77"/>
      <c r="AP115" s="189"/>
    </row>
    <row r="116" spans="1:42" x14ac:dyDescent="0.25">
      <c r="A116" s="4"/>
      <c r="B116" s="35" t="s">
        <v>40</v>
      </c>
      <c r="C116" s="97">
        <f>C102+C109</f>
        <v>409398</v>
      </c>
      <c r="D116" s="98">
        <f t="shared" si="60"/>
        <v>272619</v>
      </c>
      <c r="E116" s="98">
        <f t="shared" si="60"/>
        <v>206669</v>
      </c>
      <c r="F116" s="98">
        <f t="shared" si="60"/>
        <v>170691</v>
      </c>
      <c r="G116" s="98">
        <f t="shared" si="60"/>
        <v>184866</v>
      </c>
      <c r="H116" s="98">
        <f t="shared" si="60"/>
        <v>165594</v>
      </c>
      <c r="I116" s="98">
        <f t="shared" si="60"/>
        <v>138728</v>
      </c>
      <c r="J116" s="98">
        <f t="shared" si="60"/>
        <v>186073</v>
      </c>
      <c r="K116" s="98">
        <f t="shared" si="60"/>
        <v>250238</v>
      </c>
      <c r="L116" s="99">
        <f t="shared" si="60"/>
        <v>315212</v>
      </c>
      <c r="M116" s="98">
        <f t="shared" si="60"/>
        <v>332792</v>
      </c>
      <c r="N116" s="89">
        <f t="shared" si="60"/>
        <v>267787</v>
      </c>
      <c r="O116" s="98">
        <f t="shared" si="60"/>
        <v>289423</v>
      </c>
      <c r="P116" s="98">
        <f t="shared" si="60"/>
        <v>323450</v>
      </c>
      <c r="Q116" s="98">
        <f t="shared" si="60"/>
        <v>189133</v>
      </c>
      <c r="R116" s="98">
        <f t="shared" si="60"/>
        <v>181662</v>
      </c>
      <c r="S116" s="98">
        <f t="shared" si="60"/>
        <v>179797</v>
      </c>
      <c r="T116" s="98">
        <f t="shared" si="60"/>
        <v>175947</v>
      </c>
      <c r="U116" s="98">
        <f t="shared" ref="U116:V116" si="70">U102+U109</f>
        <v>191095.52</v>
      </c>
      <c r="V116" s="98">
        <f t="shared" si="70"/>
        <v>189585</v>
      </c>
      <c r="W116" s="98">
        <f t="shared" ref="W116:Z116" si="71">W102+W109</f>
        <v>263316</v>
      </c>
      <c r="X116" s="99">
        <f t="shared" si="71"/>
        <v>358598</v>
      </c>
      <c r="Y116" s="99">
        <f t="shared" si="71"/>
        <v>465337</v>
      </c>
      <c r="Z116" s="99">
        <f t="shared" si="71"/>
        <v>367520</v>
      </c>
      <c r="AA116" s="98"/>
      <c r="AB116" s="98"/>
      <c r="AC116" s="99"/>
      <c r="AD116" s="89">
        <f t="shared" si="62"/>
        <v>119975</v>
      </c>
      <c r="AE116" s="89">
        <f t="shared" si="62"/>
        <v>-50831</v>
      </c>
      <c r="AF116" s="89">
        <f t="shared" si="62"/>
        <v>17536</v>
      </c>
      <c r="AG116" s="89">
        <f t="shared" si="62"/>
        <v>-10971</v>
      </c>
      <c r="AH116" s="89">
        <f t="shared" si="62"/>
        <v>5069</v>
      </c>
      <c r="AI116" s="89">
        <f t="shared" si="62"/>
        <v>-10353</v>
      </c>
      <c r="AJ116" s="88">
        <f t="shared" si="62"/>
        <v>-52367.51999999999</v>
      </c>
      <c r="AK116" s="88">
        <f t="shared" si="62"/>
        <v>-3512</v>
      </c>
      <c r="AL116" s="88">
        <f t="shared" si="62"/>
        <v>-13078</v>
      </c>
      <c r="AM116" s="259">
        <f t="shared" si="62"/>
        <v>-43386</v>
      </c>
      <c r="AN116" s="259">
        <f t="shared" si="62"/>
        <v>-132545</v>
      </c>
      <c r="AO116" s="77"/>
      <c r="AP116" s="189"/>
    </row>
    <row r="117" spans="1:42" ht="15.75" thickBot="1" x14ac:dyDescent="0.3">
      <c r="A117" s="4"/>
      <c r="B117" s="37" t="s">
        <v>41</v>
      </c>
      <c r="C117" s="100">
        <f>SUM(C112:C116)</f>
        <v>12106135</v>
      </c>
      <c r="D117" s="159">
        <f t="shared" ref="D117:V117" si="72">SUM(D112:D116)</f>
        <v>9039383</v>
      </c>
      <c r="E117" s="159">
        <f t="shared" si="72"/>
        <v>4742032</v>
      </c>
      <c r="F117" s="159">
        <f t="shared" si="72"/>
        <v>2303947</v>
      </c>
      <c r="G117" s="159">
        <f t="shared" si="72"/>
        <v>1945164</v>
      </c>
      <c r="H117" s="159">
        <f t="shared" si="72"/>
        <v>1756618</v>
      </c>
      <c r="I117" s="159">
        <f t="shared" si="72"/>
        <v>1805710</v>
      </c>
      <c r="J117" s="159">
        <f t="shared" si="72"/>
        <v>2062500</v>
      </c>
      <c r="K117" s="159">
        <f t="shared" si="72"/>
        <v>4734828</v>
      </c>
      <c r="L117" s="160">
        <f t="shared" si="72"/>
        <v>9731684</v>
      </c>
      <c r="M117" s="159">
        <f t="shared" si="72"/>
        <v>12809442</v>
      </c>
      <c r="N117" s="81">
        <f t="shared" si="72"/>
        <v>11104485</v>
      </c>
      <c r="O117" s="159">
        <f t="shared" si="72"/>
        <v>10101706</v>
      </c>
      <c r="P117" s="159">
        <f t="shared" si="72"/>
        <v>8356125</v>
      </c>
      <c r="Q117" s="159">
        <f t="shared" si="72"/>
        <v>6172402</v>
      </c>
      <c r="R117" s="159">
        <f t="shared" si="72"/>
        <v>2476216</v>
      </c>
      <c r="S117" s="159">
        <f t="shared" si="72"/>
        <v>1921778</v>
      </c>
      <c r="T117" s="101">
        <f t="shared" si="72"/>
        <v>1896715</v>
      </c>
      <c r="U117" s="101">
        <f t="shared" si="72"/>
        <v>1826069.8900000001</v>
      </c>
      <c r="V117" s="101">
        <f t="shared" si="72"/>
        <v>2280546</v>
      </c>
      <c r="W117" s="101">
        <f t="shared" ref="W117:Z117" si="73">SUM(W112:W116)</f>
        <v>4267121</v>
      </c>
      <c r="X117" s="406">
        <f t="shared" si="73"/>
        <v>8383009</v>
      </c>
      <c r="Y117" s="406">
        <f t="shared" si="73"/>
        <v>13584399</v>
      </c>
      <c r="Z117" s="406">
        <f t="shared" si="73"/>
        <v>12832479</v>
      </c>
      <c r="AA117" s="98"/>
      <c r="AB117" s="98"/>
      <c r="AC117" s="99"/>
      <c r="AD117" s="81">
        <f t="shared" ref="AD117:AK117" si="74">SUM(AD112:AD116)</f>
        <v>2004429</v>
      </c>
      <c r="AE117" s="81">
        <f t="shared" si="74"/>
        <v>683258</v>
      </c>
      <c r="AF117" s="81">
        <f t="shared" si="74"/>
        <v>-1430370</v>
      </c>
      <c r="AG117" s="81">
        <f t="shared" si="74"/>
        <v>-172269</v>
      </c>
      <c r="AH117" s="81">
        <f t="shared" si="74"/>
        <v>23386</v>
      </c>
      <c r="AI117" s="81">
        <f t="shared" si="74"/>
        <v>-140097</v>
      </c>
      <c r="AJ117" s="80">
        <f t="shared" si="74"/>
        <v>-20359.890000000087</v>
      </c>
      <c r="AK117" s="80">
        <f t="shared" si="74"/>
        <v>-218046</v>
      </c>
      <c r="AL117" s="80">
        <f t="shared" ref="AL117:AN117" si="75">SUM(AL112:AL116)</f>
        <v>467707</v>
      </c>
      <c r="AM117" s="263">
        <f t="shared" si="75"/>
        <v>1348675</v>
      </c>
      <c r="AN117" s="263">
        <f t="shared" si="75"/>
        <v>-774957</v>
      </c>
      <c r="AO117" s="77"/>
      <c r="AP117" s="189"/>
    </row>
    <row r="118" spans="1:42" x14ac:dyDescent="0.25">
      <c r="A118" s="4">
        <f>+A111+1</f>
        <v>14</v>
      </c>
      <c r="B118" s="44" t="s">
        <v>35</v>
      </c>
      <c r="C118" s="102"/>
      <c r="D118" s="103"/>
      <c r="E118" s="103"/>
      <c r="F118" s="103"/>
      <c r="G118" s="103"/>
      <c r="H118" s="103"/>
      <c r="I118" s="103"/>
      <c r="J118" s="103"/>
      <c r="K118" s="103"/>
      <c r="L118" s="104"/>
      <c r="M118" s="161"/>
      <c r="N118" s="103"/>
      <c r="O118" s="161"/>
      <c r="P118" s="103"/>
      <c r="Q118" s="103"/>
      <c r="R118" s="103"/>
      <c r="S118" s="103"/>
      <c r="T118" s="103"/>
      <c r="U118" s="183"/>
      <c r="V118" s="314"/>
      <c r="W118" s="314"/>
      <c r="X118" s="407"/>
      <c r="Y118" s="314"/>
      <c r="Z118" s="314"/>
      <c r="AA118" s="314"/>
      <c r="AB118" s="314"/>
      <c r="AC118" s="407"/>
      <c r="AD118" s="169"/>
      <c r="AE118" s="105"/>
      <c r="AF118" s="106"/>
      <c r="AG118" s="106"/>
      <c r="AH118" s="106"/>
      <c r="AI118" s="106"/>
      <c r="AJ118" s="107"/>
      <c r="AK118" s="316"/>
      <c r="AL118" s="316"/>
      <c r="AM118" s="316"/>
      <c r="AN118" s="431"/>
      <c r="AO118" s="439"/>
      <c r="AP118" s="440"/>
    </row>
    <row r="119" spans="1:42" x14ac:dyDescent="0.25">
      <c r="A119" s="4"/>
      <c r="B119" s="35" t="s">
        <v>36</v>
      </c>
      <c r="C119" s="86">
        <v>6224696.2800000003</v>
      </c>
      <c r="D119" s="87">
        <v>5966497.21</v>
      </c>
      <c r="E119" s="87">
        <v>4109908.97</v>
      </c>
      <c r="F119" s="89">
        <v>2389317.29</v>
      </c>
      <c r="G119" s="87">
        <v>1869752.79</v>
      </c>
      <c r="H119" s="87">
        <v>1382025.56</v>
      </c>
      <c r="I119" s="87">
        <v>1280183.56</v>
      </c>
      <c r="J119" s="87">
        <v>1381879.3</v>
      </c>
      <c r="K119" s="87">
        <v>1370910.83</v>
      </c>
      <c r="L119" s="88">
        <v>3476734.93</v>
      </c>
      <c r="M119" s="89">
        <v>5089419.13</v>
      </c>
      <c r="N119" s="87">
        <v>6093875.9000000004</v>
      </c>
      <c r="O119" s="89">
        <v>6288096.2400000002</v>
      </c>
      <c r="P119" s="87">
        <v>5142196.13</v>
      </c>
      <c r="Q119" s="87">
        <v>4068503.46</v>
      </c>
      <c r="R119" s="87">
        <v>3756883.99</v>
      </c>
      <c r="S119" s="87">
        <v>1873972.34</v>
      </c>
      <c r="T119" s="87">
        <v>1460567.9</v>
      </c>
      <c r="U119" s="184">
        <v>1376164.47</v>
      </c>
      <c r="V119" s="98">
        <v>1484271.12</v>
      </c>
      <c r="W119" s="98">
        <v>1553679.22</v>
      </c>
      <c r="X119" s="99">
        <v>3091867.4</v>
      </c>
      <c r="Y119" s="98">
        <v>4969355.67</v>
      </c>
      <c r="Z119" s="98">
        <v>5624037.3700000001</v>
      </c>
      <c r="AA119" s="98"/>
      <c r="AB119" s="98"/>
      <c r="AC119" s="99"/>
      <c r="AD119" s="89">
        <f t="shared" ref="AD119:AN123" si="76">C119-O119</f>
        <v>-63399.959999999963</v>
      </c>
      <c r="AE119" s="89">
        <f t="shared" si="76"/>
        <v>824301.08000000007</v>
      </c>
      <c r="AF119" s="89">
        <f t="shared" si="76"/>
        <v>41405.510000000242</v>
      </c>
      <c r="AG119" s="89">
        <f t="shared" si="76"/>
        <v>-1367566.7000000002</v>
      </c>
      <c r="AH119" s="89">
        <f t="shared" si="76"/>
        <v>-4219.5500000000466</v>
      </c>
      <c r="AI119" s="89">
        <f t="shared" si="76"/>
        <v>-78542.339999999851</v>
      </c>
      <c r="AJ119" s="88">
        <f t="shared" si="76"/>
        <v>-95980.909999999916</v>
      </c>
      <c r="AK119" s="88">
        <f t="shared" si="76"/>
        <v>-102391.82000000007</v>
      </c>
      <c r="AL119" s="88">
        <f t="shared" si="76"/>
        <v>-182768.3899999999</v>
      </c>
      <c r="AM119" s="259">
        <f t="shared" si="76"/>
        <v>384867.53000000026</v>
      </c>
      <c r="AN119" s="259">
        <f t="shared" si="76"/>
        <v>120063.45999999996</v>
      </c>
      <c r="AO119" s="77"/>
      <c r="AP119" s="189"/>
    </row>
    <row r="120" spans="1:42" x14ac:dyDescent="0.25">
      <c r="A120" s="4"/>
      <c r="B120" s="35" t="s">
        <v>37</v>
      </c>
      <c r="C120" s="86">
        <v>1152704.6599999999</v>
      </c>
      <c r="D120" s="87">
        <v>1205346.18</v>
      </c>
      <c r="E120" s="87">
        <v>1113240.8999999999</v>
      </c>
      <c r="F120" s="89">
        <v>334407.42</v>
      </c>
      <c r="G120" s="87">
        <v>243720.66</v>
      </c>
      <c r="H120" s="87">
        <v>206173.58</v>
      </c>
      <c r="I120" s="87">
        <v>178229.8</v>
      </c>
      <c r="J120" s="87">
        <v>188945.35</v>
      </c>
      <c r="K120" s="87">
        <v>288079.65000000002</v>
      </c>
      <c r="L120" s="88">
        <v>538926.78</v>
      </c>
      <c r="M120" s="89">
        <v>1370380.67</v>
      </c>
      <c r="N120" s="87">
        <v>1174618.57</v>
      </c>
      <c r="O120" s="89">
        <v>1223880.3400000001</v>
      </c>
      <c r="P120" s="87">
        <v>572923.34</v>
      </c>
      <c r="Q120" s="87">
        <v>790662.2</v>
      </c>
      <c r="R120" s="87">
        <v>540631.37</v>
      </c>
      <c r="S120" s="87">
        <v>322995.63</v>
      </c>
      <c r="T120" s="87">
        <v>163410.35999999999</v>
      </c>
      <c r="U120" s="184">
        <v>144194.82</v>
      </c>
      <c r="V120" s="98">
        <v>142063.85</v>
      </c>
      <c r="W120" s="98">
        <v>131282.1</v>
      </c>
      <c r="X120" s="99">
        <v>363426.81</v>
      </c>
      <c r="Y120" s="98">
        <v>597678.12</v>
      </c>
      <c r="Z120" s="98">
        <v>837373.62</v>
      </c>
      <c r="AA120" s="98"/>
      <c r="AB120" s="98"/>
      <c r="AC120" s="99"/>
      <c r="AD120" s="89">
        <f t="shared" si="76"/>
        <v>-71175.680000000168</v>
      </c>
      <c r="AE120" s="89">
        <f t="shared" si="76"/>
        <v>632422.84</v>
      </c>
      <c r="AF120" s="89">
        <f t="shared" si="76"/>
        <v>322578.69999999995</v>
      </c>
      <c r="AG120" s="89">
        <f t="shared" si="76"/>
        <v>-206223.95</v>
      </c>
      <c r="AH120" s="89">
        <f t="shared" si="76"/>
        <v>-79274.97</v>
      </c>
      <c r="AI120" s="89">
        <f t="shared" si="76"/>
        <v>42763.22</v>
      </c>
      <c r="AJ120" s="88">
        <f t="shared" si="76"/>
        <v>34034.979999999981</v>
      </c>
      <c r="AK120" s="88">
        <f t="shared" si="76"/>
        <v>46881.5</v>
      </c>
      <c r="AL120" s="88">
        <f t="shared" si="76"/>
        <v>156797.55000000002</v>
      </c>
      <c r="AM120" s="259">
        <f t="shared" si="76"/>
        <v>175499.97000000003</v>
      </c>
      <c r="AN120" s="259">
        <f t="shared" si="76"/>
        <v>772702.54999999993</v>
      </c>
      <c r="AO120" s="77"/>
      <c r="AP120" s="189"/>
    </row>
    <row r="121" spans="1:42" x14ac:dyDescent="0.25">
      <c r="A121" s="4"/>
      <c r="B121" s="35" t="s">
        <v>38</v>
      </c>
      <c r="C121" s="86">
        <v>1338903.8600000001</v>
      </c>
      <c r="D121" s="87">
        <v>1253267.72</v>
      </c>
      <c r="E121" s="87">
        <v>736421.66</v>
      </c>
      <c r="F121" s="89">
        <v>389481.37</v>
      </c>
      <c r="G121" s="87">
        <v>249568.06</v>
      </c>
      <c r="H121" s="87">
        <v>181985.06</v>
      </c>
      <c r="I121" s="87">
        <v>171141.23</v>
      </c>
      <c r="J121" s="87">
        <v>207768.59</v>
      </c>
      <c r="K121" s="87">
        <v>220879.42</v>
      </c>
      <c r="L121" s="88">
        <v>642369.98</v>
      </c>
      <c r="M121" s="89">
        <v>926205.67</v>
      </c>
      <c r="N121" s="87">
        <v>1284933.42</v>
      </c>
      <c r="O121" s="89">
        <v>1338234.06</v>
      </c>
      <c r="P121" s="87">
        <v>944649.84</v>
      </c>
      <c r="Q121" s="87">
        <v>686592.76</v>
      </c>
      <c r="R121" s="87">
        <v>662227.56999999995</v>
      </c>
      <c r="S121" s="87">
        <v>269127.25</v>
      </c>
      <c r="T121" s="87">
        <v>226509.85</v>
      </c>
      <c r="U121" s="184">
        <v>230746.62</v>
      </c>
      <c r="V121" s="98">
        <v>194491.59</v>
      </c>
      <c r="W121" s="98">
        <v>200497.33</v>
      </c>
      <c r="X121" s="99">
        <v>465900.4</v>
      </c>
      <c r="Y121" s="98">
        <v>897870.5</v>
      </c>
      <c r="Z121" s="98">
        <v>1220382.67</v>
      </c>
      <c r="AA121" s="98"/>
      <c r="AB121" s="98"/>
      <c r="AC121" s="99"/>
      <c r="AD121" s="89">
        <f t="shared" si="76"/>
        <v>669.80000000004657</v>
      </c>
      <c r="AE121" s="89">
        <f t="shared" si="76"/>
        <v>308617.88</v>
      </c>
      <c r="AF121" s="89">
        <f t="shared" si="76"/>
        <v>49828.900000000023</v>
      </c>
      <c r="AG121" s="89">
        <f t="shared" si="76"/>
        <v>-272746.19999999995</v>
      </c>
      <c r="AH121" s="89">
        <f t="shared" si="76"/>
        <v>-19559.190000000002</v>
      </c>
      <c r="AI121" s="89">
        <f t="shared" si="76"/>
        <v>-44524.790000000008</v>
      </c>
      <c r="AJ121" s="78">
        <f t="shared" si="76"/>
        <v>-59605.389999999985</v>
      </c>
      <c r="AK121" s="88">
        <f t="shared" si="76"/>
        <v>13277</v>
      </c>
      <c r="AL121" s="88">
        <f t="shared" si="76"/>
        <v>20382.090000000026</v>
      </c>
      <c r="AM121" s="259">
        <f t="shared" si="76"/>
        <v>176469.57999999996</v>
      </c>
      <c r="AN121" s="259">
        <f t="shared" si="76"/>
        <v>28335.170000000042</v>
      </c>
      <c r="AO121" s="77"/>
      <c r="AP121" s="189"/>
    </row>
    <row r="122" spans="1:42" x14ac:dyDescent="0.25">
      <c r="A122" s="4"/>
      <c r="B122" s="35" t="s">
        <v>39</v>
      </c>
      <c r="C122" s="86">
        <v>1928917.59</v>
      </c>
      <c r="D122" s="87">
        <v>1689842.93</v>
      </c>
      <c r="E122" s="87">
        <v>1068180.8799999999</v>
      </c>
      <c r="F122" s="89">
        <v>587471.06000000006</v>
      </c>
      <c r="G122" s="87">
        <v>373450.97</v>
      </c>
      <c r="H122" s="87">
        <v>208150.33</v>
      </c>
      <c r="I122" s="87">
        <v>185953.29</v>
      </c>
      <c r="J122" s="87">
        <v>232630.14</v>
      </c>
      <c r="K122" s="87">
        <v>252697.01699999999</v>
      </c>
      <c r="L122" s="88">
        <v>809851.28</v>
      </c>
      <c r="M122" s="89">
        <v>1112456.3500000001</v>
      </c>
      <c r="N122" s="87">
        <v>1544069.19</v>
      </c>
      <c r="O122" s="89">
        <v>1676548.89</v>
      </c>
      <c r="P122" s="87">
        <v>1123779.1599999999</v>
      </c>
      <c r="Q122" s="87">
        <v>850744.08</v>
      </c>
      <c r="R122" s="87">
        <v>841788.72</v>
      </c>
      <c r="S122" s="87">
        <v>321609.38</v>
      </c>
      <c r="T122" s="87">
        <v>222264.56</v>
      </c>
      <c r="U122" s="184">
        <v>231548.13</v>
      </c>
      <c r="V122" s="98">
        <v>246717.02</v>
      </c>
      <c r="W122" s="98">
        <v>258288.5</v>
      </c>
      <c r="X122" s="99">
        <v>618248.94999999995</v>
      </c>
      <c r="Y122" s="98">
        <v>1009552.11</v>
      </c>
      <c r="Z122" s="98">
        <v>1462723.26</v>
      </c>
      <c r="AA122" s="98"/>
      <c r="AB122" s="98"/>
      <c r="AC122" s="99"/>
      <c r="AD122" s="89">
        <f t="shared" si="76"/>
        <v>252368.70000000019</v>
      </c>
      <c r="AE122" s="89">
        <f t="shared" si="76"/>
        <v>566063.77</v>
      </c>
      <c r="AF122" s="89">
        <f t="shared" si="76"/>
        <v>217436.79999999993</v>
      </c>
      <c r="AG122" s="89">
        <f t="shared" si="76"/>
        <v>-254317.65999999992</v>
      </c>
      <c r="AH122" s="89">
        <f t="shared" si="76"/>
        <v>51841.589999999967</v>
      </c>
      <c r="AI122" s="89">
        <f t="shared" si="76"/>
        <v>-14114.23000000001</v>
      </c>
      <c r="AJ122" s="99">
        <f t="shared" si="76"/>
        <v>-45594.84</v>
      </c>
      <c r="AK122" s="88">
        <f t="shared" si="76"/>
        <v>-14086.879999999976</v>
      </c>
      <c r="AL122" s="88">
        <f t="shared" si="76"/>
        <v>-5591.4830000000075</v>
      </c>
      <c r="AM122" s="259">
        <f t="shared" si="76"/>
        <v>191602.33000000007</v>
      </c>
      <c r="AN122" s="259">
        <f t="shared" si="76"/>
        <v>102904.24000000011</v>
      </c>
      <c r="AO122" s="77"/>
      <c r="AP122" s="189"/>
    </row>
    <row r="123" spans="1:42" x14ac:dyDescent="0.25">
      <c r="A123" s="4"/>
      <c r="B123" s="35" t="s">
        <v>40</v>
      </c>
      <c r="C123" s="86">
        <v>542865.93000000005</v>
      </c>
      <c r="D123" s="87">
        <v>690944.67</v>
      </c>
      <c r="E123" s="87">
        <v>201634.94</v>
      </c>
      <c r="F123" s="89">
        <v>582547</v>
      </c>
      <c r="G123" s="87">
        <v>395762.86</v>
      </c>
      <c r="H123" s="87">
        <v>355310.46</v>
      </c>
      <c r="I123" s="87">
        <v>341466.93</v>
      </c>
      <c r="J123" s="87">
        <v>278171.59999999998</v>
      </c>
      <c r="K123" s="87">
        <v>347851.2</v>
      </c>
      <c r="L123" s="88">
        <v>416494.79</v>
      </c>
      <c r="M123" s="89">
        <v>470839.95</v>
      </c>
      <c r="N123" s="87">
        <v>468482.97</v>
      </c>
      <c r="O123" s="89">
        <v>470029.83</v>
      </c>
      <c r="P123" s="87">
        <v>349206.2</v>
      </c>
      <c r="Q123" s="87">
        <v>376956.64</v>
      </c>
      <c r="R123" s="87">
        <v>528877.03</v>
      </c>
      <c r="S123" s="87">
        <v>353511.97</v>
      </c>
      <c r="T123" s="87">
        <v>420958.27</v>
      </c>
      <c r="U123" s="184">
        <v>337894.28</v>
      </c>
      <c r="V123" s="98">
        <v>389343.91</v>
      </c>
      <c r="W123" s="98">
        <v>188692.81</v>
      </c>
      <c r="X123" s="99">
        <v>640813.85</v>
      </c>
      <c r="Y123" s="98">
        <v>520252.57</v>
      </c>
      <c r="Z123" s="98">
        <v>529662.76</v>
      </c>
      <c r="AA123" s="98"/>
      <c r="AB123" s="98"/>
      <c r="AC123" s="99"/>
      <c r="AD123" s="89">
        <f t="shared" si="76"/>
        <v>72836.100000000035</v>
      </c>
      <c r="AE123" s="89">
        <f t="shared" si="76"/>
        <v>341738.47000000003</v>
      </c>
      <c r="AF123" s="89">
        <f t="shared" si="76"/>
        <v>-175321.7</v>
      </c>
      <c r="AG123" s="89">
        <f t="shared" si="76"/>
        <v>53669.969999999972</v>
      </c>
      <c r="AH123" s="89">
        <f t="shared" si="76"/>
        <v>42250.890000000014</v>
      </c>
      <c r="AI123" s="89">
        <f t="shared" si="76"/>
        <v>-65647.81</v>
      </c>
      <c r="AJ123" s="99">
        <f t="shared" si="76"/>
        <v>3572.6499999999651</v>
      </c>
      <c r="AK123" s="88">
        <f t="shared" si="76"/>
        <v>-111172.31</v>
      </c>
      <c r="AL123" s="88">
        <f t="shared" si="76"/>
        <v>159158.39000000001</v>
      </c>
      <c r="AM123" s="259">
        <f t="shared" si="76"/>
        <v>-224319.06</v>
      </c>
      <c r="AN123" s="259">
        <f t="shared" si="76"/>
        <v>-49412.619999999995</v>
      </c>
      <c r="AO123" s="77"/>
      <c r="AP123" s="189"/>
    </row>
    <row r="124" spans="1:42" x14ac:dyDescent="0.25">
      <c r="A124" s="4"/>
      <c r="B124" s="35" t="s">
        <v>41</v>
      </c>
      <c r="C124" s="108">
        <f>SUM(C119:C123)</f>
        <v>11188088.32</v>
      </c>
      <c r="D124" s="79">
        <f>SUM(D119:D123)</f>
        <v>10805898.709999999</v>
      </c>
      <c r="E124" s="109">
        <f t="shared" ref="E124:AK124" si="77">SUM(E119:E123)</f>
        <v>7229387.3500000006</v>
      </c>
      <c r="F124" s="109">
        <f t="shared" si="77"/>
        <v>4283224.1400000006</v>
      </c>
      <c r="G124" s="79">
        <f t="shared" si="77"/>
        <v>3132255.3400000003</v>
      </c>
      <c r="H124" s="109">
        <f t="shared" si="77"/>
        <v>2333644.9900000002</v>
      </c>
      <c r="I124" s="109">
        <f t="shared" si="77"/>
        <v>2156974.81</v>
      </c>
      <c r="J124" s="109">
        <f t="shared" si="77"/>
        <v>2289394.9800000004</v>
      </c>
      <c r="K124" s="109">
        <f t="shared" si="77"/>
        <v>2480418.1170000001</v>
      </c>
      <c r="L124" s="110">
        <f t="shared" si="77"/>
        <v>5884377.7599999998</v>
      </c>
      <c r="M124" s="79">
        <f t="shared" si="77"/>
        <v>8969301.7699999996</v>
      </c>
      <c r="N124" s="89">
        <f t="shared" si="77"/>
        <v>10565980.050000001</v>
      </c>
      <c r="O124" s="109">
        <f t="shared" si="77"/>
        <v>10996789.360000001</v>
      </c>
      <c r="P124" s="98">
        <f t="shared" si="77"/>
        <v>8132754.6699999999</v>
      </c>
      <c r="Q124" s="109">
        <f t="shared" si="77"/>
        <v>6773459.1399999997</v>
      </c>
      <c r="R124" s="98">
        <f t="shared" si="77"/>
        <v>6330408.6800000006</v>
      </c>
      <c r="S124" s="109">
        <f t="shared" si="77"/>
        <v>3141216.5700000003</v>
      </c>
      <c r="T124" s="79">
        <f t="shared" si="77"/>
        <v>2493710.94</v>
      </c>
      <c r="U124" s="180">
        <f t="shared" si="77"/>
        <v>2320548.3200000003</v>
      </c>
      <c r="V124" s="180">
        <f t="shared" si="77"/>
        <v>2456887.4900000002</v>
      </c>
      <c r="W124" s="180">
        <f t="shared" ref="W124:Z124" si="78">SUM(W119:W123)</f>
        <v>2332439.9600000004</v>
      </c>
      <c r="X124" s="99">
        <f t="shared" si="78"/>
        <v>5180257.4099999992</v>
      </c>
      <c r="Y124" s="99">
        <f t="shared" si="78"/>
        <v>7994708.9700000007</v>
      </c>
      <c r="Z124" s="99">
        <f t="shared" si="78"/>
        <v>9674179.6799999997</v>
      </c>
      <c r="AA124" s="98"/>
      <c r="AB124" s="98"/>
      <c r="AC124" s="99"/>
      <c r="AD124" s="109">
        <f t="shared" si="77"/>
        <v>191298.96000000014</v>
      </c>
      <c r="AE124" s="79">
        <f t="shared" si="77"/>
        <v>2673144.04</v>
      </c>
      <c r="AF124" s="77">
        <f t="shared" si="77"/>
        <v>455928.21000000014</v>
      </c>
      <c r="AG124" s="77">
        <f t="shared" si="77"/>
        <v>-2047184.5399999998</v>
      </c>
      <c r="AH124" s="77">
        <f t="shared" si="77"/>
        <v>-8961.2300000000687</v>
      </c>
      <c r="AI124" s="109">
        <f t="shared" si="77"/>
        <v>-160065.94999999987</v>
      </c>
      <c r="AJ124" s="110">
        <f t="shared" si="77"/>
        <v>-163573.50999999995</v>
      </c>
      <c r="AK124" s="110">
        <f t="shared" si="77"/>
        <v>-167492.51000000004</v>
      </c>
      <c r="AL124" s="110">
        <f t="shared" ref="AL124:AN124" si="79">SUM(AL119:AL123)</f>
        <v>147978.15700000015</v>
      </c>
      <c r="AM124" s="109">
        <f t="shared" si="79"/>
        <v>704120.35000000033</v>
      </c>
      <c r="AN124" s="109">
        <f t="shared" si="79"/>
        <v>974592.8</v>
      </c>
      <c r="AO124" s="77"/>
      <c r="AP124" s="189"/>
    </row>
    <row r="125" spans="1:42" x14ac:dyDescent="0.25">
      <c r="A125" s="4">
        <f>+A118+1</f>
        <v>15</v>
      </c>
      <c r="B125" s="43" t="s">
        <v>32</v>
      </c>
      <c r="C125" s="111"/>
      <c r="D125" s="112"/>
      <c r="E125" s="112"/>
      <c r="F125" s="113"/>
      <c r="G125" s="112"/>
      <c r="H125" s="112"/>
      <c r="I125" s="112"/>
      <c r="J125" s="112"/>
      <c r="K125" s="112"/>
      <c r="L125" s="114"/>
      <c r="M125" s="113"/>
      <c r="N125" s="112"/>
      <c r="O125" s="113"/>
      <c r="P125" s="112"/>
      <c r="Q125" s="112"/>
      <c r="R125" s="112"/>
      <c r="S125" s="112"/>
      <c r="T125" s="112"/>
      <c r="U125" s="185"/>
      <c r="V125" s="325"/>
      <c r="W125" s="325"/>
      <c r="X125" s="408"/>
      <c r="Y125" s="325"/>
      <c r="Z125" s="325"/>
      <c r="AA125" s="325"/>
      <c r="AB125" s="325"/>
      <c r="AC125" s="408"/>
      <c r="AD125" s="113"/>
      <c r="AE125" s="115"/>
      <c r="AF125" s="116"/>
      <c r="AG125" s="116"/>
      <c r="AH125" s="116"/>
      <c r="AI125" s="116"/>
      <c r="AJ125" s="117"/>
      <c r="AK125" s="317"/>
      <c r="AL125" s="317"/>
      <c r="AM125" s="317"/>
      <c r="AN125" s="432"/>
      <c r="AO125" s="441"/>
      <c r="AP125" s="442"/>
    </row>
    <row r="126" spans="1:42" x14ac:dyDescent="0.25">
      <c r="A126" s="4"/>
      <c r="B126" s="35" t="s">
        <v>36</v>
      </c>
      <c r="C126" s="118">
        <v>31838</v>
      </c>
      <c r="D126" s="119">
        <v>33081</v>
      </c>
      <c r="E126" s="119">
        <v>31193</v>
      </c>
      <c r="F126" s="120">
        <v>28141</v>
      </c>
      <c r="G126" s="119">
        <v>31124</v>
      </c>
      <c r="H126" s="119">
        <v>28268</v>
      </c>
      <c r="I126" s="119">
        <v>28195</v>
      </c>
      <c r="J126" s="119">
        <v>31279</v>
      </c>
      <c r="K126" s="119">
        <v>24640</v>
      </c>
      <c r="L126" s="121">
        <v>33868</v>
      </c>
      <c r="M126" s="120">
        <v>30933</v>
      </c>
      <c r="N126" s="119">
        <v>32879</v>
      </c>
      <c r="O126" s="120">
        <v>36883</v>
      </c>
      <c r="P126" s="119">
        <v>33330</v>
      </c>
      <c r="Q126" s="119">
        <v>29310</v>
      </c>
      <c r="R126" s="119">
        <v>38391</v>
      </c>
      <c r="S126" s="119">
        <v>31047</v>
      </c>
      <c r="T126" s="119">
        <v>29739</v>
      </c>
      <c r="U126" s="186">
        <v>30126</v>
      </c>
      <c r="V126" s="326">
        <v>30533</v>
      </c>
      <c r="W126" s="326">
        <v>26370</v>
      </c>
      <c r="X126" s="409">
        <v>35953</v>
      </c>
      <c r="Y126" s="326">
        <v>31799</v>
      </c>
      <c r="Z126" s="326">
        <v>29599</v>
      </c>
      <c r="AA126" s="326"/>
      <c r="AB126" s="326"/>
      <c r="AC126" s="409"/>
      <c r="AD126" s="120">
        <f t="shared" ref="AD126:AN130" si="80">C126-O126</f>
        <v>-5045</v>
      </c>
      <c r="AE126" s="120">
        <f t="shared" si="80"/>
        <v>-249</v>
      </c>
      <c r="AF126" s="120">
        <f t="shared" si="80"/>
        <v>1883</v>
      </c>
      <c r="AG126" s="120">
        <f t="shared" si="80"/>
        <v>-10250</v>
      </c>
      <c r="AH126" s="120">
        <f t="shared" si="80"/>
        <v>77</v>
      </c>
      <c r="AI126" s="120">
        <f t="shared" si="80"/>
        <v>-1471</v>
      </c>
      <c r="AJ126" s="121">
        <f t="shared" si="80"/>
        <v>-1931</v>
      </c>
      <c r="AK126" s="121">
        <f t="shared" si="80"/>
        <v>746</v>
      </c>
      <c r="AL126" s="121">
        <f t="shared" si="80"/>
        <v>-1730</v>
      </c>
      <c r="AM126" s="261">
        <f t="shared" si="80"/>
        <v>-2085</v>
      </c>
      <c r="AN126" s="261">
        <f t="shared" si="80"/>
        <v>-866</v>
      </c>
      <c r="AO126" s="69"/>
      <c r="AP126" s="171"/>
    </row>
    <row r="127" spans="1:42" x14ac:dyDescent="0.25">
      <c r="A127" s="4"/>
      <c r="B127" s="35" t="s">
        <v>37</v>
      </c>
      <c r="C127" s="118">
        <v>6771</v>
      </c>
      <c r="D127" s="119">
        <v>7575</v>
      </c>
      <c r="E127" s="119">
        <v>9731</v>
      </c>
      <c r="F127" s="120">
        <v>5421</v>
      </c>
      <c r="G127" s="119">
        <v>3682</v>
      </c>
      <c r="H127" s="119">
        <v>3839</v>
      </c>
      <c r="I127" s="119">
        <v>3977</v>
      </c>
      <c r="J127" s="119">
        <v>4349</v>
      </c>
      <c r="K127" s="119">
        <v>4452</v>
      </c>
      <c r="L127" s="121">
        <v>5266</v>
      </c>
      <c r="M127" s="120">
        <v>9600</v>
      </c>
      <c r="N127" s="119">
        <v>7934</v>
      </c>
      <c r="O127" s="120">
        <v>9447</v>
      </c>
      <c r="P127" s="119">
        <v>4771</v>
      </c>
      <c r="Q127" s="119">
        <v>8029</v>
      </c>
      <c r="R127" s="119">
        <v>8259</v>
      </c>
      <c r="S127" s="119">
        <v>3985</v>
      </c>
      <c r="T127" s="119">
        <v>3239</v>
      </c>
      <c r="U127" s="186">
        <v>3654</v>
      </c>
      <c r="V127" s="326">
        <v>3666</v>
      </c>
      <c r="W127" s="326">
        <v>3130</v>
      </c>
      <c r="X127" s="409">
        <v>4775</v>
      </c>
      <c r="Y127" s="326">
        <v>4778</v>
      </c>
      <c r="Z127" s="326">
        <v>5514</v>
      </c>
      <c r="AA127" s="326"/>
      <c r="AB127" s="326"/>
      <c r="AC127" s="409"/>
      <c r="AD127" s="120">
        <f t="shared" si="80"/>
        <v>-2676</v>
      </c>
      <c r="AE127" s="120">
        <f t="shared" si="80"/>
        <v>2804</v>
      </c>
      <c r="AF127" s="120">
        <f t="shared" si="80"/>
        <v>1702</v>
      </c>
      <c r="AG127" s="120">
        <f t="shared" si="80"/>
        <v>-2838</v>
      </c>
      <c r="AH127" s="120">
        <f t="shared" si="80"/>
        <v>-303</v>
      </c>
      <c r="AI127" s="120">
        <f t="shared" si="80"/>
        <v>600</v>
      </c>
      <c r="AJ127" s="121">
        <f t="shared" si="80"/>
        <v>323</v>
      </c>
      <c r="AK127" s="121">
        <f t="shared" si="80"/>
        <v>683</v>
      </c>
      <c r="AL127" s="121">
        <f t="shared" si="80"/>
        <v>1322</v>
      </c>
      <c r="AM127" s="261">
        <f t="shared" si="80"/>
        <v>491</v>
      </c>
      <c r="AN127" s="261">
        <f t="shared" si="80"/>
        <v>4822</v>
      </c>
      <c r="AO127" s="69"/>
      <c r="AP127" s="171"/>
    </row>
    <row r="128" spans="1:42" x14ac:dyDescent="0.25">
      <c r="A128" s="4"/>
      <c r="B128" s="35" t="s">
        <v>38</v>
      </c>
      <c r="C128" s="118">
        <v>3168</v>
      </c>
      <c r="D128" s="119">
        <v>3289</v>
      </c>
      <c r="E128" s="119">
        <v>2956</v>
      </c>
      <c r="F128" s="120">
        <v>2949</v>
      </c>
      <c r="G128" s="119">
        <v>3102</v>
      </c>
      <c r="H128" s="119">
        <v>2928</v>
      </c>
      <c r="I128" s="119">
        <v>2930</v>
      </c>
      <c r="J128" s="119">
        <v>3201</v>
      </c>
      <c r="K128" s="119">
        <v>2573</v>
      </c>
      <c r="L128" s="121">
        <v>3455</v>
      </c>
      <c r="M128" s="120">
        <v>2837</v>
      </c>
      <c r="N128" s="119">
        <v>3239</v>
      </c>
      <c r="O128" s="120">
        <v>3787</v>
      </c>
      <c r="P128" s="119">
        <v>2883</v>
      </c>
      <c r="Q128" s="119">
        <v>2709</v>
      </c>
      <c r="R128" s="119">
        <v>3920</v>
      </c>
      <c r="S128" s="119">
        <v>3094</v>
      </c>
      <c r="T128" s="119">
        <v>3053</v>
      </c>
      <c r="U128" s="186">
        <v>3107</v>
      </c>
      <c r="V128" s="326">
        <v>2979</v>
      </c>
      <c r="W128" s="326">
        <v>2659</v>
      </c>
      <c r="X128" s="409">
        <v>3469</v>
      </c>
      <c r="Y128" s="326">
        <v>3078</v>
      </c>
      <c r="Z128" s="326">
        <v>2937</v>
      </c>
      <c r="AA128" s="326"/>
      <c r="AB128" s="326"/>
      <c r="AC128" s="409"/>
      <c r="AD128" s="120">
        <f t="shared" si="80"/>
        <v>-619</v>
      </c>
      <c r="AE128" s="120">
        <f t="shared" si="80"/>
        <v>406</v>
      </c>
      <c r="AF128" s="120">
        <f t="shared" si="80"/>
        <v>247</v>
      </c>
      <c r="AG128" s="120">
        <f t="shared" si="80"/>
        <v>-971</v>
      </c>
      <c r="AH128" s="120">
        <f t="shared" si="80"/>
        <v>8</v>
      </c>
      <c r="AI128" s="120">
        <f t="shared" si="80"/>
        <v>-125</v>
      </c>
      <c r="AJ128" s="121">
        <f t="shared" si="80"/>
        <v>-177</v>
      </c>
      <c r="AK128" s="121">
        <f t="shared" si="80"/>
        <v>222</v>
      </c>
      <c r="AL128" s="121">
        <f t="shared" si="80"/>
        <v>-86</v>
      </c>
      <c r="AM128" s="261">
        <f t="shared" si="80"/>
        <v>-14</v>
      </c>
      <c r="AN128" s="261">
        <f t="shared" si="80"/>
        <v>-241</v>
      </c>
      <c r="AO128" s="69"/>
      <c r="AP128" s="171"/>
    </row>
    <row r="129" spans="1:42" x14ac:dyDescent="0.25">
      <c r="A129" s="4"/>
      <c r="B129" s="35" t="s">
        <v>39</v>
      </c>
      <c r="C129" s="118">
        <v>549</v>
      </c>
      <c r="D129" s="119">
        <v>568</v>
      </c>
      <c r="E129" s="119">
        <v>486</v>
      </c>
      <c r="F129" s="120">
        <v>478</v>
      </c>
      <c r="G129" s="119">
        <v>558</v>
      </c>
      <c r="H129" s="119">
        <v>489</v>
      </c>
      <c r="I129" s="119">
        <v>471</v>
      </c>
      <c r="J129" s="119">
        <v>537</v>
      </c>
      <c r="K129" s="119">
        <v>406</v>
      </c>
      <c r="L129" s="121">
        <v>562</v>
      </c>
      <c r="M129" s="120">
        <v>454</v>
      </c>
      <c r="N129" s="119">
        <v>483</v>
      </c>
      <c r="O129" s="120">
        <v>598</v>
      </c>
      <c r="P129" s="119">
        <v>444</v>
      </c>
      <c r="Q129" s="119">
        <v>402</v>
      </c>
      <c r="R129" s="119">
        <v>608</v>
      </c>
      <c r="S129" s="119">
        <v>506</v>
      </c>
      <c r="T129" s="119">
        <v>470</v>
      </c>
      <c r="U129" s="186">
        <v>497</v>
      </c>
      <c r="V129" s="326">
        <v>456</v>
      </c>
      <c r="W129" s="326">
        <v>397</v>
      </c>
      <c r="X129" s="409">
        <v>528</v>
      </c>
      <c r="Y129" s="326">
        <v>488</v>
      </c>
      <c r="Z129" s="326">
        <v>461</v>
      </c>
      <c r="AA129" s="326"/>
      <c r="AB129" s="326"/>
      <c r="AC129" s="409"/>
      <c r="AD129" s="120">
        <f t="shared" si="80"/>
        <v>-49</v>
      </c>
      <c r="AE129" s="120">
        <f t="shared" si="80"/>
        <v>124</v>
      </c>
      <c r="AF129" s="120">
        <f t="shared" si="80"/>
        <v>84</v>
      </c>
      <c r="AG129" s="120">
        <f t="shared" si="80"/>
        <v>-130</v>
      </c>
      <c r="AH129" s="120">
        <f t="shared" si="80"/>
        <v>52</v>
      </c>
      <c r="AI129" s="120">
        <f t="shared" si="80"/>
        <v>19</v>
      </c>
      <c r="AJ129" s="121">
        <f t="shared" si="80"/>
        <v>-26</v>
      </c>
      <c r="AK129" s="121">
        <f t="shared" si="80"/>
        <v>81</v>
      </c>
      <c r="AL129" s="121">
        <f t="shared" si="80"/>
        <v>9</v>
      </c>
      <c r="AM129" s="261">
        <f t="shared" si="80"/>
        <v>34</v>
      </c>
      <c r="AN129" s="261">
        <f t="shared" si="80"/>
        <v>-34</v>
      </c>
      <c r="AO129" s="69"/>
      <c r="AP129" s="171"/>
    </row>
    <row r="130" spans="1:42" x14ac:dyDescent="0.25">
      <c r="A130" s="4"/>
      <c r="B130" s="35" t="s">
        <v>40</v>
      </c>
      <c r="C130" s="118">
        <v>27</v>
      </c>
      <c r="D130" s="119">
        <v>34</v>
      </c>
      <c r="E130" s="119">
        <v>11</v>
      </c>
      <c r="F130" s="120">
        <v>28</v>
      </c>
      <c r="G130" s="119">
        <v>34</v>
      </c>
      <c r="H130" s="119">
        <v>30</v>
      </c>
      <c r="I130" s="119">
        <v>35</v>
      </c>
      <c r="J130" s="119">
        <v>20</v>
      </c>
      <c r="K130" s="119">
        <v>26</v>
      </c>
      <c r="L130" s="121">
        <v>32</v>
      </c>
      <c r="M130" s="120">
        <v>25</v>
      </c>
      <c r="N130" s="119">
        <v>26</v>
      </c>
      <c r="O130" s="120">
        <v>27</v>
      </c>
      <c r="P130" s="119">
        <v>21</v>
      </c>
      <c r="Q130" s="119">
        <v>18</v>
      </c>
      <c r="R130" s="119">
        <v>36</v>
      </c>
      <c r="S130" s="119">
        <v>32</v>
      </c>
      <c r="T130" s="119">
        <v>29</v>
      </c>
      <c r="U130" s="186">
        <v>28</v>
      </c>
      <c r="V130" s="326">
        <v>31</v>
      </c>
      <c r="W130" s="326">
        <v>20</v>
      </c>
      <c r="X130" s="409">
        <v>33</v>
      </c>
      <c r="Y130" s="326">
        <v>29</v>
      </c>
      <c r="Z130" s="326">
        <v>25</v>
      </c>
      <c r="AA130" s="326"/>
      <c r="AB130" s="326"/>
      <c r="AC130" s="409"/>
      <c r="AD130" s="120">
        <f t="shared" si="80"/>
        <v>0</v>
      </c>
      <c r="AE130" s="120">
        <f t="shared" si="80"/>
        <v>13</v>
      </c>
      <c r="AF130" s="120">
        <f t="shared" si="80"/>
        <v>-7</v>
      </c>
      <c r="AG130" s="120">
        <f t="shared" si="80"/>
        <v>-8</v>
      </c>
      <c r="AH130" s="120">
        <f t="shared" si="80"/>
        <v>2</v>
      </c>
      <c r="AI130" s="120">
        <f t="shared" si="80"/>
        <v>1</v>
      </c>
      <c r="AJ130" s="121">
        <f t="shared" si="80"/>
        <v>7</v>
      </c>
      <c r="AK130" s="121">
        <f t="shared" si="80"/>
        <v>-11</v>
      </c>
      <c r="AL130" s="121">
        <f t="shared" si="80"/>
        <v>6</v>
      </c>
      <c r="AM130" s="261">
        <f t="shared" si="80"/>
        <v>-1</v>
      </c>
      <c r="AN130" s="261">
        <f t="shared" si="80"/>
        <v>-4</v>
      </c>
      <c r="AO130" s="69"/>
      <c r="AP130" s="171"/>
    </row>
    <row r="131" spans="1:42" ht="15.75" thickBot="1" x14ac:dyDescent="0.3">
      <c r="A131" s="4"/>
      <c r="B131" s="37" t="s">
        <v>41</v>
      </c>
      <c r="C131" s="122">
        <f>SUM(C126:C130)</f>
        <v>42353</v>
      </c>
      <c r="D131" s="60">
        <f>SUM(D126:D130)</f>
        <v>44547</v>
      </c>
      <c r="E131" s="60">
        <f t="shared" ref="E131:AK131" si="81">SUM(E126:E130)</f>
        <v>44377</v>
      </c>
      <c r="F131" s="60">
        <f t="shared" si="81"/>
        <v>37017</v>
      </c>
      <c r="G131" s="60">
        <f t="shared" si="81"/>
        <v>38500</v>
      </c>
      <c r="H131" s="60">
        <f t="shared" si="81"/>
        <v>35554</v>
      </c>
      <c r="I131" s="60">
        <f t="shared" si="81"/>
        <v>35608</v>
      </c>
      <c r="J131" s="60">
        <f t="shared" si="81"/>
        <v>39386</v>
      </c>
      <c r="K131" s="60">
        <f t="shared" si="81"/>
        <v>32097</v>
      </c>
      <c r="L131" s="163">
        <f t="shared" si="81"/>
        <v>43183</v>
      </c>
      <c r="M131" s="60">
        <f t="shared" si="81"/>
        <v>43849</v>
      </c>
      <c r="N131" s="60">
        <f t="shared" si="81"/>
        <v>44561</v>
      </c>
      <c r="O131" s="60">
        <f t="shared" si="81"/>
        <v>50742</v>
      </c>
      <c r="P131" s="60">
        <f t="shared" si="81"/>
        <v>41449</v>
      </c>
      <c r="Q131" s="60">
        <f t="shared" si="81"/>
        <v>40468</v>
      </c>
      <c r="R131" s="60">
        <f t="shared" si="81"/>
        <v>51214</v>
      </c>
      <c r="S131" s="60">
        <f t="shared" si="81"/>
        <v>38664</v>
      </c>
      <c r="T131" s="60">
        <f t="shared" si="81"/>
        <v>36530</v>
      </c>
      <c r="U131" s="187">
        <f t="shared" si="81"/>
        <v>37412</v>
      </c>
      <c r="V131" s="187">
        <f t="shared" si="81"/>
        <v>37665</v>
      </c>
      <c r="W131" s="187">
        <f t="shared" ref="W131:Z131" si="82">SUM(W126:W130)</f>
        <v>32576</v>
      </c>
      <c r="X131" s="59">
        <f t="shared" si="82"/>
        <v>44758</v>
      </c>
      <c r="Y131" s="59">
        <f t="shared" si="82"/>
        <v>40172</v>
      </c>
      <c r="Z131" s="59">
        <f t="shared" si="82"/>
        <v>38536</v>
      </c>
      <c r="AA131" s="252"/>
      <c r="AB131" s="252"/>
      <c r="AC131" s="163"/>
      <c r="AD131" s="60">
        <f t="shared" si="81"/>
        <v>-8389</v>
      </c>
      <c r="AE131" s="60">
        <f t="shared" si="81"/>
        <v>3098</v>
      </c>
      <c r="AF131" s="60">
        <f t="shared" si="81"/>
        <v>3909</v>
      </c>
      <c r="AG131" s="60">
        <f t="shared" si="81"/>
        <v>-14197</v>
      </c>
      <c r="AH131" s="60">
        <f t="shared" si="81"/>
        <v>-164</v>
      </c>
      <c r="AI131" s="60">
        <f t="shared" si="81"/>
        <v>-976</v>
      </c>
      <c r="AJ131" s="59">
        <f t="shared" si="81"/>
        <v>-1804</v>
      </c>
      <c r="AK131" s="59">
        <f t="shared" si="81"/>
        <v>1721</v>
      </c>
      <c r="AL131" s="59">
        <f t="shared" ref="AL131:AN131" si="83">SUM(AL126:AL130)</f>
        <v>-479</v>
      </c>
      <c r="AM131" s="262">
        <f t="shared" si="83"/>
        <v>-1575</v>
      </c>
      <c r="AN131" s="262">
        <f t="shared" si="83"/>
        <v>3677</v>
      </c>
      <c r="AO131" s="69"/>
      <c r="AP131" s="171"/>
    </row>
    <row r="132" spans="1:42" x14ac:dyDescent="0.25">
      <c r="A132" s="4">
        <f>+A125+1</f>
        <v>16</v>
      </c>
      <c r="B132" s="45" t="s">
        <v>44</v>
      </c>
      <c r="C132" s="123"/>
      <c r="D132" s="124"/>
      <c r="E132" s="124"/>
      <c r="F132" s="125"/>
      <c r="G132" s="124"/>
      <c r="H132" s="124"/>
      <c r="I132" s="124"/>
      <c r="J132" s="124"/>
      <c r="K132" s="124"/>
      <c r="L132" s="126"/>
      <c r="M132" s="125"/>
      <c r="N132" s="124"/>
      <c r="O132" s="125"/>
      <c r="P132" s="124"/>
      <c r="Q132" s="124"/>
      <c r="R132" s="124"/>
      <c r="S132" s="124"/>
      <c r="T132" s="124"/>
      <c r="U132" s="188"/>
      <c r="V132" s="315"/>
      <c r="W132" s="315"/>
      <c r="X132" s="410"/>
      <c r="Y132" s="315"/>
      <c r="Z132" s="315"/>
      <c r="AA132" s="315"/>
      <c r="AB132" s="315"/>
      <c r="AC132" s="410"/>
      <c r="AD132" s="125"/>
      <c r="AE132" s="127"/>
      <c r="AF132" s="128"/>
      <c r="AG132" s="128"/>
      <c r="AH132" s="128"/>
      <c r="AI132" s="128"/>
      <c r="AJ132" s="129"/>
      <c r="AK132" s="231"/>
      <c r="AL132" s="231"/>
      <c r="AM132" s="231"/>
      <c r="AN132" s="428"/>
      <c r="AO132" s="212"/>
      <c r="AP132" s="434"/>
    </row>
    <row r="133" spans="1:42" x14ac:dyDescent="0.25">
      <c r="A133" s="4"/>
      <c r="B133" s="35" t="s">
        <v>36</v>
      </c>
      <c r="C133" s="97">
        <f>C112-C119</f>
        <v>1095955.7199999997</v>
      </c>
      <c r="D133" s="89">
        <f>D112-D119</f>
        <v>-583025.21</v>
      </c>
      <c r="E133" s="89">
        <f t="shared" ref="E133:V133" si="84">E112-E119</f>
        <v>-1273980.9700000002</v>
      </c>
      <c r="F133" s="89">
        <f t="shared" si="84"/>
        <v>-754083.29</v>
      </c>
      <c r="G133" s="89">
        <f t="shared" si="84"/>
        <v>-678775.79</v>
      </c>
      <c r="H133" s="89">
        <f t="shared" si="84"/>
        <v>-308283.56000000006</v>
      </c>
      <c r="I133" s="89">
        <f t="shared" si="84"/>
        <v>-186856.56000000006</v>
      </c>
      <c r="J133" s="89">
        <f t="shared" si="84"/>
        <v>-177026.30000000005</v>
      </c>
      <c r="K133" s="89">
        <f t="shared" si="84"/>
        <v>1461687.17</v>
      </c>
      <c r="L133" s="99">
        <f t="shared" si="84"/>
        <v>2530458.0699999998</v>
      </c>
      <c r="M133" s="89">
        <f t="shared" si="84"/>
        <v>2773012.87</v>
      </c>
      <c r="N133" s="87">
        <f>N112-N119</f>
        <v>767793.09999999963</v>
      </c>
      <c r="O133" s="89">
        <f t="shared" si="84"/>
        <v>-64992.240000000224</v>
      </c>
      <c r="P133" s="89">
        <f t="shared" si="84"/>
        <v>-5602.1299999998882</v>
      </c>
      <c r="Q133" s="89">
        <f t="shared" si="84"/>
        <v>-98451.459999999963</v>
      </c>
      <c r="R133" s="89">
        <f t="shared" si="84"/>
        <v>-2175016.9900000002</v>
      </c>
      <c r="S133" s="89">
        <f t="shared" si="84"/>
        <v>-678991.34000000008</v>
      </c>
      <c r="T133" s="89">
        <f t="shared" si="84"/>
        <v>-293801.89999999991</v>
      </c>
      <c r="U133" s="189">
        <f t="shared" si="84"/>
        <v>-212622.34999999986</v>
      </c>
      <c r="V133" s="189">
        <f t="shared" si="84"/>
        <v>-104017.12000000011</v>
      </c>
      <c r="W133" s="189">
        <f t="shared" ref="W133:Z133" si="85">W112-W119</f>
        <v>1021609.78</v>
      </c>
      <c r="X133" s="78">
        <f t="shared" si="85"/>
        <v>2046329.6</v>
      </c>
      <c r="Y133" s="78">
        <f t="shared" si="85"/>
        <v>3370052.33</v>
      </c>
      <c r="Z133" s="78">
        <f t="shared" si="85"/>
        <v>2309745.63</v>
      </c>
      <c r="AA133" s="98"/>
      <c r="AB133" s="98"/>
      <c r="AC133" s="99"/>
      <c r="AD133" s="89">
        <f t="shared" ref="AD133:AN137" si="86">C133-O133</f>
        <v>1160947.96</v>
      </c>
      <c r="AE133" s="89">
        <f t="shared" si="86"/>
        <v>-577423.08000000007</v>
      </c>
      <c r="AF133" s="89">
        <f t="shared" si="86"/>
        <v>-1175529.5100000002</v>
      </c>
      <c r="AG133" s="89">
        <f t="shared" si="86"/>
        <v>1420933.7000000002</v>
      </c>
      <c r="AH133" s="89">
        <f t="shared" si="86"/>
        <v>215.55000000004657</v>
      </c>
      <c r="AI133" s="89">
        <f t="shared" si="86"/>
        <v>-14481.660000000149</v>
      </c>
      <c r="AJ133" s="88">
        <f t="shared" si="86"/>
        <v>25765.789999999804</v>
      </c>
      <c r="AK133" s="88">
        <f t="shared" si="86"/>
        <v>-73009.179999999935</v>
      </c>
      <c r="AL133" s="88">
        <f t="shared" si="86"/>
        <v>440077.3899999999</v>
      </c>
      <c r="AM133" s="259">
        <f t="shared" si="86"/>
        <v>484128.46999999974</v>
      </c>
      <c r="AN133" s="259">
        <f t="shared" si="86"/>
        <v>-597039.46</v>
      </c>
      <c r="AO133" s="77"/>
      <c r="AP133" s="189"/>
    </row>
    <row r="134" spans="1:42" x14ac:dyDescent="0.25">
      <c r="A134" s="4"/>
      <c r="B134" s="35" t="s">
        <v>37</v>
      </c>
      <c r="C134" s="97">
        <f t="shared" ref="C134:D137" si="87">C113-C120</f>
        <v>180782.34000000008</v>
      </c>
      <c r="D134" s="89">
        <f t="shared" si="87"/>
        <v>-247261.17999999993</v>
      </c>
      <c r="E134" s="89">
        <f t="shared" ref="E134:V134" si="88">E113-E120</f>
        <v>-604845.89999999991</v>
      </c>
      <c r="F134" s="89">
        <f t="shared" si="88"/>
        <v>-46128.419999999984</v>
      </c>
      <c r="G134" s="89">
        <f t="shared" si="88"/>
        <v>-44653.66</v>
      </c>
      <c r="H134" s="89">
        <f t="shared" si="88"/>
        <v>-20446.579999999987</v>
      </c>
      <c r="I134" s="89">
        <f t="shared" si="88"/>
        <v>13193.200000000012</v>
      </c>
      <c r="J134" s="89">
        <f t="shared" si="88"/>
        <v>36293.649999999994</v>
      </c>
      <c r="K134" s="89">
        <f t="shared" si="88"/>
        <v>294874.34999999998</v>
      </c>
      <c r="L134" s="99">
        <f t="shared" si="88"/>
        <v>577135.22</v>
      </c>
      <c r="M134" s="89">
        <f t="shared" si="88"/>
        <v>58989.330000000075</v>
      </c>
      <c r="N134" s="87">
        <f t="shared" si="88"/>
        <v>39711.429999999935</v>
      </c>
      <c r="O134" s="89">
        <f t="shared" si="88"/>
        <v>-90617.340000000084</v>
      </c>
      <c r="P134" s="89">
        <f t="shared" si="88"/>
        <v>376579.66000000003</v>
      </c>
      <c r="Q134" s="89">
        <f t="shared" si="88"/>
        <v>-100223.19999999995</v>
      </c>
      <c r="R134" s="89">
        <f t="shared" si="88"/>
        <v>-273055.37</v>
      </c>
      <c r="S134" s="89">
        <f t="shared" si="88"/>
        <v>-131951.63</v>
      </c>
      <c r="T134" s="89">
        <f t="shared" si="88"/>
        <v>33110.640000000014</v>
      </c>
      <c r="U134" s="88">
        <f t="shared" si="88"/>
        <v>51725.449999999983</v>
      </c>
      <c r="V134" s="189">
        <f t="shared" si="88"/>
        <v>104036.15</v>
      </c>
      <c r="W134" s="189">
        <f t="shared" ref="W134:Z134" si="89">W113-W120</f>
        <v>373824.9</v>
      </c>
      <c r="X134" s="78">
        <f t="shared" si="89"/>
        <v>624483.18999999994</v>
      </c>
      <c r="Y134" s="78">
        <f t="shared" si="89"/>
        <v>846437.88</v>
      </c>
      <c r="Z134" s="78">
        <f t="shared" si="89"/>
        <v>558372.38</v>
      </c>
      <c r="AA134" s="98"/>
      <c r="AB134" s="98"/>
      <c r="AC134" s="99"/>
      <c r="AD134" s="89">
        <f t="shared" si="86"/>
        <v>271399.68000000017</v>
      </c>
      <c r="AE134" s="89">
        <f t="shared" si="86"/>
        <v>-623840.84</v>
      </c>
      <c r="AF134" s="89">
        <f t="shared" si="86"/>
        <v>-504622.69999999995</v>
      </c>
      <c r="AG134" s="89">
        <f t="shared" si="86"/>
        <v>226926.95</v>
      </c>
      <c r="AH134" s="89">
        <f t="shared" si="86"/>
        <v>87297.97</v>
      </c>
      <c r="AI134" s="89">
        <f t="shared" si="86"/>
        <v>-53557.22</v>
      </c>
      <c r="AJ134" s="88">
        <f t="shared" si="86"/>
        <v>-38532.249999999971</v>
      </c>
      <c r="AK134" s="88">
        <f t="shared" si="86"/>
        <v>-67742.5</v>
      </c>
      <c r="AL134" s="88">
        <f t="shared" si="86"/>
        <v>-78950.550000000047</v>
      </c>
      <c r="AM134" s="259">
        <f t="shared" si="86"/>
        <v>-47347.969999999972</v>
      </c>
      <c r="AN134" s="259">
        <f t="shared" si="86"/>
        <v>-787448.54999999993</v>
      </c>
      <c r="AO134" s="77"/>
      <c r="AP134" s="189"/>
    </row>
    <row r="135" spans="1:42" x14ac:dyDescent="0.25">
      <c r="A135" s="4"/>
      <c r="B135" s="35" t="s">
        <v>38</v>
      </c>
      <c r="C135" s="97">
        <f t="shared" si="87"/>
        <v>36741.139999999898</v>
      </c>
      <c r="D135" s="89">
        <f t="shared" si="87"/>
        <v>-329815.71999999997</v>
      </c>
      <c r="E135" s="89">
        <f t="shared" ref="E135:V135" si="90">E114-E121</f>
        <v>-272123.66000000003</v>
      </c>
      <c r="F135" s="89">
        <f t="shared" si="90"/>
        <v>-126996.37</v>
      </c>
      <c r="G135" s="89">
        <f t="shared" si="90"/>
        <v>-65639.06</v>
      </c>
      <c r="H135" s="89">
        <f t="shared" si="90"/>
        <v>-20065.059999999998</v>
      </c>
      <c r="I135" s="89">
        <f t="shared" si="90"/>
        <v>3621.7699999999895</v>
      </c>
      <c r="J135" s="89">
        <f t="shared" si="90"/>
        <v>-3837.5899999999965</v>
      </c>
      <c r="K135" s="89">
        <f t="shared" si="90"/>
        <v>221984.58</v>
      </c>
      <c r="L135" s="99">
        <f t="shared" si="90"/>
        <v>419358.02</v>
      </c>
      <c r="M135" s="89">
        <f t="shared" si="90"/>
        <v>545557.32999999996</v>
      </c>
      <c r="N135" s="87">
        <f t="shared" si="90"/>
        <v>-36967.419999999925</v>
      </c>
      <c r="O135" s="89">
        <f t="shared" si="90"/>
        <v>-237559.06000000006</v>
      </c>
      <c r="P135" s="89">
        <f t="shared" si="90"/>
        <v>-103259.83999999997</v>
      </c>
      <c r="Q135" s="89">
        <f t="shared" si="90"/>
        <v>-126114.76000000001</v>
      </c>
      <c r="R135" s="89">
        <f t="shared" si="90"/>
        <v>-466460.56999999995</v>
      </c>
      <c r="S135" s="89">
        <f>S114-S121</f>
        <v>-98781.25</v>
      </c>
      <c r="T135" s="89">
        <f t="shared" si="90"/>
        <v>-48814.850000000006</v>
      </c>
      <c r="U135" s="88">
        <f t="shared" si="90"/>
        <v>-86039.18</v>
      </c>
      <c r="V135" s="189">
        <f t="shared" si="90"/>
        <v>6367.4100000000035</v>
      </c>
      <c r="W135" s="189">
        <f t="shared" ref="W135:Z135" si="91">W114-W121</f>
        <v>185753.67</v>
      </c>
      <c r="X135" s="78">
        <f t="shared" si="91"/>
        <v>363580.6</v>
      </c>
      <c r="Y135" s="78">
        <f t="shared" si="91"/>
        <v>586182.5</v>
      </c>
      <c r="Z135" s="78">
        <f t="shared" si="91"/>
        <v>249432.33000000007</v>
      </c>
      <c r="AA135" s="98"/>
      <c r="AB135" s="98"/>
      <c r="AC135" s="99"/>
      <c r="AD135" s="89">
        <f t="shared" si="86"/>
        <v>274300.19999999995</v>
      </c>
      <c r="AE135" s="89">
        <f t="shared" si="86"/>
        <v>-226555.88</v>
      </c>
      <c r="AF135" s="89">
        <f t="shared" si="86"/>
        <v>-146008.90000000002</v>
      </c>
      <c r="AG135" s="89">
        <f t="shared" si="86"/>
        <v>339464.19999999995</v>
      </c>
      <c r="AH135" s="89">
        <f t="shared" si="86"/>
        <v>33142.19</v>
      </c>
      <c r="AI135" s="89">
        <f t="shared" si="86"/>
        <v>28749.790000000008</v>
      </c>
      <c r="AJ135" s="88">
        <f t="shared" si="86"/>
        <v>89660.949999999983</v>
      </c>
      <c r="AK135" s="88">
        <f t="shared" si="86"/>
        <v>-10205</v>
      </c>
      <c r="AL135" s="88">
        <f t="shared" si="86"/>
        <v>36230.909999999974</v>
      </c>
      <c r="AM135" s="259">
        <f t="shared" si="86"/>
        <v>55777.420000000042</v>
      </c>
      <c r="AN135" s="259">
        <f t="shared" si="86"/>
        <v>-40625.170000000042</v>
      </c>
      <c r="AO135" s="77"/>
      <c r="AP135" s="189"/>
    </row>
    <row r="136" spans="1:42" x14ac:dyDescent="0.25">
      <c r="A136" s="4"/>
      <c r="B136" s="35" t="s">
        <v>39</v>
      </c>
      <c r="C136" s="97">
        <f t="shared" si="87"/>
        <v>-261964.59000000008</v>
      </c>
      <c r="D136" s="89">
        <f t="shared" si="87"/>
        <v>-188087.92999999993</v>
      </c>
      <c r="E136" s="89">
        <f t="shared" ref="E136:V136" si="92">E115-E122</f>
        <v>-341438.87999999989</v>
      </c>
      <c r="F136" s="89">
        <f t="shared" si="92"/>
        <v>-640213.06000000006</v>
      </c>
      <c r="G136" s="89">
        <f t="shared" si="92"/>
        <v>-187125.96999999997</v>
      </c>
      <c r="H136" s="89">
        <f t="shared" si="92"/>
        <v>-38515.329999999987</v>
      </c>
      <c r="I136" s="89">
        <f t="shared" si="92"/>
        <v>21515.709999999992</v>
      </c>
      <c r="J136" s="89">
        <f t="shared" si="92"/>
        <v>9773.859999999986</v>
      </c>
      <c r="K136" s="89">
        <f t="shared" si="92"/>
        <v>373476.98300000001</v>
      </c>
      <c r="L136" s="99">
        <f t="shared" si="92"/>
        <v>421637.72</v>
      </c>
      <c r="M136" s="89">
        <f t="shared" si="92"/>
        <v>600628.64999999991</v>
      </c>
      <c r="N136" s="87">
        <f t="shared" si="92"/>
        <v>-31336.189999999944</v>
      </c>
      <c r="O136" s="89">
        <f t="shared" si="92"/>
        <v>-321307.8899999999</v>
      </c>
      <c r="P136" s="89">
        <f t="shared" si="92"/>
        <v>-18591.159999999916</v>
      </c>
      <c r="Q136" s="89">
        <f t="shared" si="92"/>
        <v>-88444.079999999958</v>
      </c>
      <c r="R136" s="89">
        <f t="shared" si="92"/>
        <v>-592444.72</v>
      </c>
      <c r="S136" s="89">
        <f t="shared" si="92"/>
        <v>-135999.38</v>
      </c>
      <c r="T136" s="89">
        <f t="shared" si="92"/>
        <v>-42478.559999999998</v>
      </c>
      <c r="U136" s="88">
        <f t="shared" si="92"/>
        <v>-100743.59000000001</v>
      </c>
      <c r="V136" s="189">
        <f t="shared" si="92"/>
        <v>17030.98000000001</v>
      </c>
      <c r="W136" s="189">
        <f t="shared" ref="W136:Z136" si="93">W115-W122</f>
        <v>278869.5</v>
      </c>
      <c r="X136" s="78">
        <f t="shared" si="93"/>
        <v>450574.05000000005</v>
      </c>
      <c r="Y136" s="78">
        <f t="shared" si="93"/>
        <v>841932.89</v>
      </c>
      <c r="Z136" s="78">
        <f t="shared" si="93"/>
        <v>202891.74</v>
      </c>
      <c r="AA136" s="98"/>
      <c r="AB136" s="98"/>
      <c r="AC136" s="99"/>
      <c r="AD136" s="89">
        <f t="shared" si="86"/>
        <v>59343.299999999814</v>
      </c>
      <c r="AE136" s="89">
        <f t="shared" si="86"/>
        <v>-169496.77000000002</v>
      </c>
      <c r="AF136" s="89">
        <f t="shared" si="86"/>
        <v>-252994.79999999993</v>
      </c>
      <c r="AG136" s="89">
        <f t="shared" si="86"/>
        <v>-47768.340000000084</v>
      </c>
      <c r="AH136" s="89">
        <f t="shared" si="86"/>
        <v>-51126.589999999967</v>
      </c>
      <c r="AI136" s="89">
        <f t="shared" si="86"/>
        <v>3963.2300000000105</v>
      </c>
      <c r="AJ136" s="88">
        <f t="shared" si="86"/>
        <v>122259.3</v>
      </c>
      <c r="AK136" s="88">
        <f t="shared" si="86"/>
        <v>-7257.1200000000244</v>
      </c>
      <c r="AL136" s="88">
        <f t="shared" si="86"/>
        <v>94607.483000000007</v>
      </c>
      <c r="AM136" s="259">
        <f t="shared" si="86"/>
        <v>-28936.330000000075</v>
      </c>
      <c r="AN136" s="259">
        <f t="shared" si="86"/>
        <v>-241304.24000000011</v>
      </c>
      <c r="AO136" s="77"/>
      <c r="AP136" s="189"/>
    </row>
    <row r="137" spans="1:42" x14ac:dyDescent="0.25">
      <c r="A137" s="4"/>
      <c r="B137" s="35" t="s">
        <v>40</v>
      </c>
      <c r="C137" s="97">
        <f t="shared" si="87"/>
        <v>-133467.93000000005</v>
      </c>
      <c r="D137" s="89">
        <f t="shared" si="87"/>
        <v>-418325.67000000004</v>
      </c>
      <c r="E137" s="89">
        <f t="shared" ref="E137:V137" si="94">E116-E123</f>
        <v>5034.0599999999977</v>
      </c>
      <c r="F137" s="89">
        <f t="shared" si="94"/>
        <v>-411856</v>
      </c>
      <c r="G137" s="89">
        <f t="shared" si="94"/>
        <v>-210896.86</v>
      </c>
      <c r="H137" s="89">
        <f t="shared" si="94"/>
        <v>-189716.46000000002</v>
      </c>
      <c r="I137" s="89">
        <f t="shared" si="94"/>
        <v>-202738.93</v>
      </c>
      <c r="J137" s="89">
        <f t="shared" si="94"/>
        <v>-92098.599999999977</v>
      </c>
      <c r="K137" s="89">
        <f t="shared" si="94"/>
        <v>-97613.200000000012</v>
      </c>
      <c r="L137" s="99">
        <f t="shared" si="94"/>
        <v>-101282.78999999998</v>
      </c>
      <c r="M137" s="89">
        <f t="shared" si="94"/>
        <v>-138047.95000000001</v>
      </c>
      <c r="N137" s="87">
        <f t="shared" si="94"/>
        <v>-200695.96999999997</v>
      </c>
      <c r="O137" s="89">
        <f t="shared" si="94"/>
        <v>-180606.83000000002</v>
      </c>
      <c r="P137" s="89">
        <f t="shared" si="94"/>
        <v>-25756.200000000012</v>
      </c>
      <c r="Q137" s="89">
        <f t="shared" si="94"/>
        <v>-187823.64</v>
      </c>
      <c r="R137" s="89">
        <f t="shared" si="94"/>
        <v>-347215.03</v>
      </c>
      <c r="S137" s="89">
        <f t="shared" si="94"/>
        <v>-173714.96999999997</v>
      </c>
      <c r="T137" s="89">
        <f t="shared" si="94"/>
        <v>-245011.27000000002</v>
      </c>
      <c r="U137" s="88">
        <f t="shared" si="94"/>
        <v>-146798.76000000004</v>
      </c>
      <c r="V137" s="189">
        <f t="shared" si="94"/>
        <v>-199758.90999999997</v>
      </c>
      <c r="W137" s="189">
        <f t="shared" ref="W137:Z137" si="95">W116-W123</f>
        <v>74623.19</v>
      </c>
      <c r="X137" s="78">
        <f t="shared" si="95"/>
        <v>-282215.84999999998</v>
      </c>
      <c r="Y137" s="78">
        <f t="shared" si="95"/>
        <v>-54915.570000000007</v>
      </c>
      <c r="Z137" s="78">
        <f t="shared" si="95"/>
        <v>-162142.76</v>
      </c>
      <c r="AA137" s="98"/>
      <c r="AB137" s="98"/>
      <c r="AC137" s="99"/>
      <c r="AD137" s="89">
        <f t="shared" si="86"/>
        <v>47138.899999999965</v>
      </c>
      <c r="AE137" s="89">
        <f t="shared" si="86"/>
        <v>-392569.47000000003</v>
      </c>
      <c r="AF137" s="89">
        <f t="shared" si="86"/>
        <v>192857.7</v>
      </c>
      <c r="AG137" s="89">
        <f t="shared" si="86"/>
        <v>-64640.969999999972</v>
      </c>
      <c r="AH137" s="89">
        <f t="shared" si="86"/>
        <v>-37181.890000000014</v>
      </c>
      <c r="AI137" s="89">
        <f t="shared" si="86"/>
        <v>55294.81</v>
      </c>
      <c r="AJ137" s="88">
        <f t="shared" si="86"/>
        <v>-55940.169999999955</v>
      </c>
      <c r="AK137" s="88">
        <f t="shared" si="86"/>
        <v>107660.31</v>
      </c>
      <c r="AL137" s="88">
        <f t="shared" si="86"/>
        <v>-172236.39</v>
      </c>
      <c r="AM137" s="259">
        <f t="shared" si="86"/>
        <v>180933.06</v>
      </c>
      <c r="AN137" s="259">
        <f t="shared" si="86"/>
        <v>-83132.38</v>
      </c>
      <c r="AO137" s="77"/>
      <c r="AP137" s="189"/>
    </row>
    <row r="138" spans="1:42" ht="15.75" thickBot="1" x14ac:dyDescent="0.3">
      <c r="A138" s="4"/>
      <c r="B138" s="37" t="s">
        <v>41</v>
      </c>
      <c r="C138" s="100">
        <f>SUM(C133:C137)</f>
        <v>918046.67999999959</v>
      </c>
      <c r="D138" s="81">
        <f>SUM(D133:D137)</f>
        <v>-1766515.71</v>
      </c>
      <c r="E138" s="81">
        <f t="shared" ref="E138:V138" si="96">SUM(E133:E137)</f>
        <v>-2487355.35</v>
      </c>
      <c r="F138" s="81">
        <f t="shared" si="96"/>
        <v>-1979277.1400000001</v>
      </c>
      <c r="G138" s="81">
        <f t="shared" si="96"/>
        <v>-1187091.3399999999</v>
      </c>
      <c r="H138" s="81">
        <f t="shared" si="96"/>
        <v>-577026.99</v>
      </c>
      <c r="I138" s="81">
        <f t="shared" si="96"/>
        <v>-351264.81000000006</v>
      </c>
      <c r="J138" s="81">
        <f t="shared" si="96"/>
        <v>-226894.98000000004</v>
      </c>
      <c r="K138" s="81">
        <f t="shared" si="96"/>
        <v>2254409.8829999999</v>
      </c>
      <c r="L138" s="160">
        <f t="shared" si="96"/>
        <v>3847306.24</v>
      </c>
      <c r="M138" s="81">
        <f t="shared" si="96"/>
        <v>3840140.23</v>
      </c>
      <c r="N138" s="200">
        <f t="shared" si="96"/>
        <v>538504.94999999972</v>
      </c>
      <c r="O138" s="81">
        <f t="shared" si="96"/>
        <v>-895083.36000000034</v>
      </c>
      <c r="P138" s="81">
        <f t="shared" si="96"/>
        <v>223370.33000000025</v>
      </c>
      <c r="Q138" s="81">
        <f t="shared" si="96"/>
        <v>-601057.1399999999</v>
      </c>
      <c r="R138" s="81">
        <f t="shared" si="96"/>
        <v>-3854192.6800000006</v>
      </c>
      <c r="S138" s="81">
        <f>SUM(S133:S137)</f>
        <v>-1219438.57</v>
      </c>
      <c r="T138" s="81">
        <f t="shared" si="96"/>
        <v>-596995.93999999994</v>
      </c>
      <c r="U138" s="80">
        <f t="shared" si="96"/>
        <v>-494478.42999999993</v>
      </c>
      <c r="V138" s="80">
        <f t="shared" si="96"/>
        <v>-176341.49000000008</v>
      </c>
      <c r="W138" s="80">
        <f t="shared" ref="W138:Z138" si="97">SUM(W133:W137)</f>
        <v>1934681.04</v>
      </c>
      <c r="X138" s="80">
        <f t="shared" si="97"/>
        <v>3202751.5900000003</v>
      </c>
      <c r="Y138" s="80">
        <f t="shared" si="97"/>
        <v>5589690.0299999993</v>
      </c>
      <c r="Z138" s="80">
        <f t="shared" si="97"/>
        <v>3158299.3200000003</v>
      </c>
      <c r="AA138" s="159"/>
      <c r="AB138" s="159"/>
      <c r="AC138" s="160"/>
      <c r="AD138" s="81">
        <f>SUM(AD133:AD137)</f>
        <v>1813130.0399999998</v>
      </c>
      <c r="AE138" s="81">
        <f t="shared" ref="AE138:AK138" si="98">SUM(AE133:AE137)</f>
        <v>-1989886.0399999998</v>
      </c>
      <c r="AF138" s="81">
        <f t="shared" si="98"/>
        <v>-1886298.2100000002</v>
      </c>
      <c r="AG138" s="81">
        <f t="shared" si="98"/>
        <v>1874915.54</v>
      </c>
      <c r="AH138" s="81">
        <f t="shared" si="98"/>
        <v>32347.230000000069</v>
      </c>
      <c r="AI138" s="81">
        <f t="shared" si="98"/>
        <v>19968.949999999866</v>
      </c>
      <c r="AJ138" s="80">
        <f t="shared" si="98"/>
        <v>143213.61999999985</v>
      </c>
      <c r="AK138" s="80">
        <f t="shared" si="98"/>
        <v>-50553.489999999962</v>
      </c>
      <c r="AL138" s="80">
        <f t="shared" ref="AL138:AN138" si="99">SUM(AL133:AL137)</f>
        <v>319728.84299999982</v>
      </c>
      <c r="AM138" s="263">
        <f t="shared" si="99"/>
        <v>644554.64999999967</v>
      </c>
      <c r="AN138" s="263">
        <f t="shared" si="99"/>
        <v>-1749549.7999999998</v>
      </c>
      <c r="AO138" s="77"/>
      <c r="AP138" s="189"/>
    </row>
    <row r="139" spans="1:42" x14ac:dyDescent="0.25">
      <c r="A139" s="4">
        <f>+A132+1</f>
        <v>17</v>
      </c>
      <c r="B139" s="45" t="s">
        <v>20</v>
      </c>
      <c r="C139" s="61"/>
      <c r="D139" s="62"/>
      <c r="E139" s="62"/>
      <c r="F139" s="64"/>
      <c r="G139" s="62"/>
      <c r="H139" s="62"/>
      <c r="I139" s="62"/>
      <c r="J139" s="62"/>
      <c r="K139" s="62"/>
      <c r="L139" s="63"/>
      <c r="M139" s="64"/>
      <c r="N139" s="62"/>
      <c r="O139" s="64"/>
      <c r="P139" s="62"/>
      <c r="Q139" s="62"/>
      <c r="R139" s="62"/>
      <c r="S139" s="62"/>
      <c r="T139" s="62"/>
      <c r="U139" s="63"/>
      <c r="V139" s="320"/>
      <c r="W139" s="320"/>
      <c r="X139" s="165"/>
      <c r="Y139" s="320"/>
      <c r="Z139" s="320"/>
      <c r="AA139" s="320"/>
      <c r="AB139" s="320"/>
      <c r="AC139" s="165"/>
      <c r="AD139" s="64"/>
      <c r="AE139" s="65"/>
      <c r="AF139" s="66"/>
      <c r="AG139" s="66"/>
      <c r="AH139" s="66"/>
      <c r="AI139" s="66"/>
      <c r="AJ139" s="67"/>
      <c r="AK139" s="231"/>
      <c r="AL139" s="231"/>
      <c r="AM139" s="231"/>
      <c r="AN139" s="428"/>
      <c r="AO139" s="212"/>
      <c r="AP139" s="434"/>
    </row>
    <row r="140" spans="1:42" x14ac:dyDescent="0.25">
      <c r="A140" s="4"/>
      <c r="B140" s="35" t="s">
        <v>60</v>
      </c>
      <c r="C140" s="55">
        <v>0</v>
      </c>
      <c r="D140" s="56">
        <v>0</v>
      </c>
      <c r="E140" s="56">
        <v>0</v>
      </c>
      <c r="F140" s="58">
        <v>0</v>
      </c>
      <c r="G140" s="56">
        <v>0</v>
      </c>
      <c r="H140" s="58">
        <v>0</v>
      </c>
      <c r="I140" s="56">
        <v>0</v>
      </c>
      <c r="J140" s="58">
        <v>1</v>
      </c>
      <c r="K140" s="56">
        <v>2</v>
      </c>
      <c r="L140" s="130">
        <v>3</v>
      </c>
      <c r="M140" s="58">
        <v>4</v>
      </c>
      <c r="N140" s="58">
        <v>4</v>
      </c>
      <c r="O140" s="58">
        <v>5</v>
      </c>
      <c r="P140" s="58">
        <v>7</v>
      </c>
      <c r="Q140" s="56">
        <v>10</v>
      </c>
      <c r="R140" s="58">
        <v>20</v>
      </c>
      <c r="S140" s="56">
        <v>16</v>
      </c>
      <c r="T140" s="58">
        <v>16</v>
      </c>
      <c r="U140" s="58">
        <v>16</v>
      </c>
      <c r="V140" s="58">
        <v>12</v>
      </c>
      <c r="W140" s="58">
        <v>25</v>
      </c>
      <c r="X140" s="130">
        <v>36</v>
      </c>
      <c r="Y140" s="58">
        <v>36</v>
      </c>
      <c r="Z140" s="58">
        <v>42</v>
      </c>
      <c r="AA140" s="58"/>
      <c r="AB140" s="58"/>
      <c r="AC140" s="130"/>
      <c r="AD140" s="58">
        <f t="shared" ref="AD140:AN146" si="100">C140-O140</f>
        <v>-5</v>
      </c>
      <c r="AE140" s="58">
        <f t="shared" si="100"/>
        <v>-7</v>
      </c>
      <c r="AF140" s="58">
        <f t="shared" si="100"/>
        <v>-10</v>
      </c>
      <c r="AG140" s="58">
        <f t="shared" si="100"/>
        <v>-20</v>
      </c>
      <c r="AH140" s="58">
        <f t="shared" si="100"/>
        <v>-16</v>
      </c>
      <c r="AI140" s="58">
        <f t="shared" si="100"/>
        <v>-16</v>
      </c>
      <c r="AJ140" s="70">
        <f t="shared" si="100"/>
        <v>-16</v>
      </c>
      <c r="AK140" s="70">
        <f t="shared" si="100"/>
        <v>-11</v>
      </c>
      <c r="AL140" s="70">
        <f t="shared" si="100"/>
        <v>-23</v>
      </c>
      <c r="AM140" s="242">
        <f t="shared" si="100"/>
        <v>-33</v>
      </c>
      <c r="AN140" s="242">
        <f t="shared" si="100"/>
        <v>-32</v>
      </c>
      <c r="AO140" s="69"/>
      <c r="AP140" s="171"/>
    </row>
    <row r="141" spans="1:42" x14ac:dyDescent="0.25">
      <c r="A141" s="4"/>
      <c r="B141" s="35" t="s">
        <v>61</v>
      </c>
      <c r="C141" s="55"/>
      <c r="D141" s="56"/>
      <c r="E141" s="56"/>
      <c r="F141" s="58"/>
      <c r="G141" s="56"/>
      <c r="H141" s="58"/>
      <c r="I141" s="56"/>
      <c r="J141" s="58"/>
      <c r="K141" s="56"/>
      <c r="L141" s="130"/>
      <c r="M141" s="58"/>
      <c r="N141" s="58"/>
      <c r="O141" s="58"/>
      <c r="P141" s="58"/>
      <c r="Q141" s="56"/>
      <c r="R141" s="58"/>
      <c r="S141" s="56"/>
      <c r="T141" s="58"/>
      <c r="U141" s="58"/>
      <c r="V141" s="58"/>
      <c r="W141" s="58">
        <v>0</v>
      </c>
      <c r="X141" s="130">
        <v>0</v>
      </c>
      <c r="Y141" s="58">
        <v>0</v>
      </c>
      <c r="Z141" s="58">
        <v>0</v>
      </c>
      <c r="AA141" s="58"/>
      <c r="AB141" s="58"/>
      <c r="AC141" s="130"/>
      <c r="AD141" s="58">
        <f t="shared" si="100"/>
        <v>0</v>
      </c>
      <c r="AE141" s="58">
        <f t="shared" si="100"/>
        <v>0</v>
      </c>
      <c r="AF141" s="58">
        <f t="shared" si="100"/>
        <v>0</v>
      </c>
      <c r="AG141" s="58">
        <f t="shared" si="100"/>
        <v>0</v>
      </c>
      <c r="AH141" s="58">
        <f t="shared" si="100"/>
        <v>0</v>
      </c>
      <c r="AI141" s="58">
        <f t="shared" si="100"/>
        <v>0</v>
      </c>
      <c r="AJ141" s="70">
        <f t="shared" si="100"/>
        <v>0</v>
      </c>
      <c r="AK141" s="70">
        <f t="shared" si="100"/>
        <v>0</v>
      </c>
      <c r="AL141" s="70">
        <f t="shared" si="100"/>
        <v>0</v>
      </c>
      <c r="AM141" s="242">
        <f t="shared" si="100"/>
        <v>0</v>
      </c>
      <c r="AN141" s="242">
        <f t="shared" si="100"/>
        <v>0</v>
      </c>
      <c r="AO141" s="69"/>
      <c r="AP141" s="171"/>
    </row>
    <row r="142" spans="1:42" x14ac:dyDescent="0.25">
      <c r="A142" s="4"/>
      <c r="B142" s="35" t="s">
        <v>62</v>
      </c>
      <c r="C142" s="55">
        <v>97</v>
      </c>
      <c r="D142" s="56">
        <v>113</v>
      </c>
      <c r="E142" s="56">
        <v>132</v>
      </c>
      <c r="F142" s="58">
        <v>139</v>
      </c>
      <c r="G142" s="56">
        <v>117</v>
      </c>
      <c r="H142" s="58">
        <v>119</v>
      </c>
      <c r="I142" s="56">
        <v>106</v>
      </c>
      <c r="J142" s="58">
        <v>109</v>
      </c>
      <c r="K142" s="56">
        <v>93</v>
      </c>
      <c r="L142" s="130">
        <v>77</v>
      </c>
      <c r="M142" s="58">
        <v>69</v>
      </c>
      <c r="N142" s="58">
        <v>57</v>
      </c>
      <c r="O142" s="58">
        <v>58</v>
      </c>
      <c r="P142" s="58">
        <v>77</v>
      </c>
      <c r="Q142" s="56">
        <v>76</v>
      </c>
      <c r="R142" s="58">
        <v>798</v>
      </c>
      <c r="S142" s="56">
        <v>1253</v>
      </c>
      <c r="T142" s="58">
        <v>1050</v>
      </c>
      <c r="U142" s="58">
        <v>681</v>
      </c>
      <c r="V142" s="58">
        <v>796</v>
      </c>
      <c r="W142" s="58">
        <v>696</v>
      </c>
      <c r="X142" s="130">
        <v>535</v>
      </c>
      <c r="Y142" s="58">
        <v>426</v>
      </c>
      <c r="Z142" s="58">
        <v>484</v>
      </c>
      <c r="AA142" s="58"/>
      <c r="AB142" s="58"/>
      <c r="AC142" s="130"/>
      <c r="AD142" s="58">
        <f t="shared" si="100"/>
        <v>39</v>
      </c>
      <c r="AE142" s="58">
        <f t="shared" si="100"/>
        <v>36</v>
      </c>
      <c r="AF142" s="58">
        <f t="shared" si="100"/>
        <v>56</v>
      </c>
      <c r="AG142" s="58">
        <f t="shared" si="100"/>
        <v>-659</v>
      </c>
      <c r="AH142" s="58">
        <f t="shared" si="100"/>
        <v>-1136</v>
      </c>
      <c r="AI142" s="58">
        <f t="shared" si="100"/>
        <v>-931</v>
      </c>
      <c r="AJ142" s="70">
        <f t="shared" si="100"/>
        <v>-575</v>
      </c>
      <c r="AK142" s="70">
        <f t="shared" si="100"/>
        <v>-687</v>
      </c>
      <c r="AL142" s="70">
        <f t="shared" si="100"/>
        <v>-603</v>
      </c>
      <c r="AM142" s="242">
        <f t="shared" si="100"/>
        <v>-458</v>
      </c>
      <c r="AN142" s="242">
        <f t="shared" si="100"/>
        <v>-357</v>
      </c>
      <c r="AO142" s="69"/>
      <c r="AP142" s="171"/>
    </row>
    <row r="143" spans="1:42" x14ac:dyDescent="0.25">
      <c r="A143" s="4"/>
      <c r="B143" s="35" t="s">
        <v>63</v>
      </c>
      <c r="C143" s="55"/>
      <c r="D143" s="56"/>
      <c r="E143" s="56"/>
      <c r="F143" s="58"/>
      <c r="G143" s="56"/>
      <c r="H143" s="58"/>
      <c r="I143" s="56"/>
      <c r="J143" s="58"/>
      <c r="K143" s="56"/>
      <c r="L143" s="338"/>
      <c r="M143" s="58"/>
      <c r="N143" s="58"/>
      <c r="O143" s="58"/>
      <c r="P143" s="58"/>
      <c r="Q143" s="56"/>
      <c r="R143" s="58"/>
      <c r="S143" s="56"/>
      <c r="T143" s="58"/>
      <c r="U143" s="58"/>
      <c r="V143" s="58"/>
      <c r="W143" s="58">
        <v>0</v>
      </c>
      <c r="X143" s="130">
        <v>0</v>
      </c>
      <c r="Y143" s="58">
        <v>0</v>
      </c>
      <c r="Z143" s="58">
        <v>0</v>
      </c>
      <c r="AA143" s="58"/>
      <c r="AB143" s="58"/>
      <c r="AC143" s="130"/>
      <c r="AD143" s="58">
        <f t="shared" si="100"/>
        <v>0</v>
      </c>
      <c r="AE143" s="58">
        <f t="shared" si="100"/>
        <v>0</v>
      </c>
      <c r="AF143" s="58">
        <f t="shared" si="100"/>
        <v>0</v>
      </c>
      <c r="AG143" s="58">
        <f t="shared" si="100"/>
        <v>0</v>
      </c>
      <c r="AH143" s="58">
        <f t="shared" si="100"/>
        <v>0</v>
      </c>
      <c r="AI143" s="58">
        <f t="shared" si="100"/>
        <v>0</v>
      </c>
      <c r="AJ143" s="70">
        <f t="shared" si="100"/>
        <v>0</v>
      </c>
      <c r="AK143" s="70">
        <f t="shared" si="100"/>
        <v>0</v>
      </c>
      <c r="AL143" s="70">
        <f t="shared" si="100"/>
        <v>0</v>
      </c>
      <c r="AM143" s="242">
        <f t="shared" si="100"/>
        <v>0</v>
      </c>
      <c r="AN143" s="242">
        <f t="shared" si="100"/>
        <v>0</v>
      </c>
      <c r="AO143" s="69"/>
      <c r="AP143" s="171"/>
    </row>
    <row r="144" spans="1:42" x14ac:dyDescent="0.25">
      <c r="A144" s="4"/>
      <c r="B144" s="35" t="s">
        <v>38</v>
      </c>
      <c r="C144" s="55">
        <v>0</v>
      </c>
      <c r="D144" s="56">
        <v>0</v>
      </c>
      <c r="E144" s="56">
        <v>0</v>
      </c>
      <c r="F144" s="56">
        <v>0</v>
      </c>
      <c r="G144" s="56">
        <v>0</v>
      </c>
      <c r="H144" s="56">
        <v>0</v>
      </c>
      <c r="I144" s="56">
        <v>0</v>
      </c>
      <c r="J144" s="56">
        <v>0</v>
      </c>
      <c r="K144" s="56">
        <v>0</v>
      </c>
      <c r="L144" s="56">
        <v>0</v>
      </c>
      <c r="M144" s="58">
        <v>0</v>
      </c>
      <c r="N144" s="58">
        <v>0</v>
      </c>
      <c r="O144" s="58">
        <v>0</v>
      </c>
      <c r="P144" s="58">
        <v>0</v>
      </c>
      <c r="Q144" s="56">
        <v>0</v>
      </c>
      <c r="R144" s="58">
        <v>0</v>
      </c>
      <c r="S144" s="56">
        <v>0</v>
      </c>
      <c r="T144" s="58">
        <v>0</v>
      </c>
      <c r="U144" s="58">
        <v>0</v>
      </c>
      <c r="V144" s="58">
        <v>0</v>
      </c>
      <c r="W144" s="58">
        <v>0</v>
      </c>
      <c r="X144" s="130">
        <v>0</v>
      </c>
      <c r="Y144" s="58">
        <v>0</v>
      </c>
      <c r="Z144" s="58">
        <v>0</v>
      </c>
      <c r="AA144" s="58"/>
      <c r="AB144" s="58"/>
      <c r="AC144" s="130"/>
      <c r="AD144" s="58">
        <f t="shared" si="100"/>
        <v>0</v>
      </c>
      <c r="AE144" s="58">
        <f t="shared" si="100"/>
        <v>0</v>
      </c>
      <c r="AF144" s="58">
        <f t="shared" si="100"/>
        <v>0</v>
      </c>
      <c r="AG144" s="58">
        <f t="shared" si="100"/>
        <v>0</v>
      </c>
      <c r="AH144" s="58">
        <f t="shared" si="100"/>
        <v>0</v>
      </c>
      <c r="AI144" s="58">
        <f t="shared" si="100"/>
        <v>0</v>
      </c>
      <c r="AJ144" s="57">
        <f t="shared" si="100"/>
        <v>0</v>
      </c>
      <c r="AK144" s="70">
        <f t="shared" si="100"/>
        <v>0</v>
      </c>
      <c r="AL144" s="70">
        <f t="shared" si="100"/>
        <v>0</v>
      </c>
      <c r="AM144" s="242">
        <f t="shared" si="100"/>
        <v>0</v>
      </c>
      <c r="AN144" s="242">
        <f t="shared" si="100"/>
        <v>0</v>
      </c>
      <c r="AO144" s="69"/>
      <c r="AP144" s="171"/>
    </row>
    <row r="145" spans="1:42" x14ac:dyDescent="0.25">
      <c r="A145" s="4"/>
      <c r="B145" s="35" t="s">
        <v>39</v>
      </c>
      <c r="C145" s="55">
        <v>0</v>
      </c>
      <c r="D145" s="56">
        <v>0</v>
      </c>
      <c r="E145" s="56">
        <v>0</v>
      </c>
      <c r="F145" s="56">
        <v>0</v>
      </c>
      <c r="G145" s="56">
        <v>0</v>
      </c>
      <c r="H145" s="56">
        <v>0</v>
      </c>
      <c r="I145" s="56">
        <v>0</v>
      </c>
      <c r="J145" s="56">
        <v>0</v>
      </c>
      <c r="K145" s="56">
        <v>0</v>
      </c>
      <c r="L145" s="56">
        <v>0</v>
      </c>
      <c r="M145" s="58">
        <v>0</v>
      </c>
      <c r="N145" s="58">
        <v>0</v>
      </c>
      <c r="O145" s="58">
        <v>0</v>
      </c>
      <c r="P145" s="58">
        <v>0</v>
      </c>
      <c r="Q145" s="56">
        <v>0</v>
      </c>
      <c r="R145" s="58">
        <v>0</v>
      </c>
      <c r="S145" s="56">
        <v>0</v>
      </c>
      <c r="T145" s="58">
        <v>0</v>
      </c>
      <c r="U145" s="58">
        <v>0</v>
      </c>
      <c r="V145" s="58">
        <v>0</v>
      </c>
      <c r="W145" s="58">
        <v>0</v>
      </c>
      <c r="X145" s="130">
        <v>0</v>
      </c>
      <c r="Y145" s="58">
        <v>0</v>
      </c>
      <c r="Z145" s="58">
        <v>0</v>
      </c>
      <c r="AA145" s="58"/>
      <c r="AB145" s="58"/>
      <c r="AC145" s="130"/>
      <c r="AD145" s="58">
        <f t="shared" si="100"/>
        <v>0</v>
      </c>
      <c r="AE145" s="58">
        <f t="shared" si="100"/>
        <v>0</v>
      </c>
      <c r="AF145" s="58">
        <f t="shared" si="100"/>
        <v>0</v>
      </c>
      <c r="AG145" s="58">
        <f t="shared" si="100"/>
        <v>0</v>
      </c>
      <c r="AH145" s="58">
        <f t="shared" si="100"/>
        <v>0</v>
      </c>
      <c r="AI145" s="58">
        <f t="shared" si="100"/>
        <v>0</v>
      </c>
      <c r="AJ145" s="57">
        <f t="shared" si="100"/>
        <v>0</v>
      </c>
      <c r="AK145" s="70">
        <f t="shared" si="100"/>
        <v>0</v>
      </c>
      <c r="AL145" s="70">
        <f t="shared" si="100"/>
        <v>0</v>
      </c>
      <c r="AM145" s="242">
        <f t="shared" si="100"/>
        <v>0</v>
      </c>
      <c r="AN145" s="242">
        <f t="shared" si="100"/>
        <v>0</v>
      </c>
      <c r="AO145" s="69"/>
      <c r="AP145" s="171"/>
    </row>
    <row r="146" spans="1:42" x14ac:dyDescent="0.25">
      <c r="A146" s="4"/>
      <c r="B146" s="35" t="s">
        <v>40</v>
      </c>
      <c r="C146" s="55">
        <v>0</v>
      </c>
      <c r="D146" s="56">
        <v>0</v>
      </c>
      <c r="E146" s="56">
        <v>0</v>
      </c>
      <c r="F146" s="56">
        <v>0</v>
      </c>
      <c r="G146" s="56">
        <v>0</v>
      </c>
      <c r="H146" s="56">
        <v>0</v>
      </c>
      <c r="I146" s="56">
        <v>0</v>
      </c>
      <c r="J146" s="56">
        <v>0</v>
      </c>
      <c r="K146" s="56">
        <v>0</v>
      </c>
      <c r="L146" s="56">
        <v>0</v>
      </c>
      <c r="M146" s="58">
        <v>0</v>
      </c>
      <c r="N146" s="58">
        <v>0</v>
      </c>
      <c r="O146" s="58">
        <v>0</v>
      </c>
      <c r="P146" s="58">
        <v>0</v>
      </c>
      <c r="Q146" s="56">
        <v>0</v>
      </c>
      <c r="R146" s="58">
        <v>0</v>
      </c>
      <c r="S146" s="56">
        <v>0</v>
      </c>
      <c r="T146" s="58">
        <v>0</v>
      </c>
      <c r="U146" s="58">
        <v>0</v>
      </c>
      <c r="V146" s="58">
        <v>0</v>
      </c>
      <c r="W146" s="58">
        <v>0</v>
      </c>
      <c r="X146" s="130">
        <v>0</v>
      </c>
      <c r="Y146" s="58">
        <v>0</v>
      </c>
      <c r="Z146" s="58">
        <v>0</v>
      </c>
      <c r="AA146" s="58"/>
      <c r="AB146" s="58"/>
      <c r="AC146" s="130"/>
      <c r="AD146" s="58">
        <f t="shared" si="100"/>
        <v>0</v>
      </c>
      <c r="AE146" s="58">
        <f t="shared" si="100"/>
        <v>0</v>
      </c>
      <c r="AF146" s="58">
        <f t="shared" si="100"/>
        <v>0</v>
      </c>
      <c r="AG146" s="58">
        <f t="shared" si="100"/>
        <v>0</v>
      </c>
      <c r="AH146" s="58">
        <f t="shared" si="100"/>
        <v>0</v>
      </c>
      <c r="AI146" s="58">
        <f t="shared" si="100"/>
        <v>0</v>
      </c>
      <c r="AJ146" s="57">
        <f t="shared" si="100"/>
        <v>0</v>
      </c>
      <c r="AK146" s="70">
        <f t="shared" si="100"/>
        <v>0</v>
      </c>
      <c r="AL146" s="70">
        <f t="shared" si="100"/>
        <v>0</v>
      </c>
      <c r="AM146" s="242">
        <f t="shared" si="100"/>
        <v>0</v>
      </c>
      <c r="AN146" s="242">
        <f t="shared" si="100"/>
        <v>0</v>
      </c>
      <c r="AO146" s="69"/>
      <c r="AP146" s="171"/>
    </row>
    <row r="147" spans="1:42" x14ac:dyDescent="0.25">
      <c r="A147" s="4"/>
      <c r="B147" s="35" t="s">
        <v>41</v>
      </c>
      <c r="C147" s="131">
        <f t="shared" ref="C147:AK147" si="101">SUM(C140:C146)</f>
        <v>97</v>
      </c>
      <c r="D147" s="58">
        <f t="shared" si="101"/>
        <v>113</v>
      </c>
      <c r="E147" s="58">
        <f t="shared" si="101"/>
        <v>132</v>
      </c>
      <c r="F147" s="58">
        <f t="shared" si="101"/>
        <v>139</v>
      </c>
      <c r="G147" s="58">
        <f t="shared" si="101"/>
        <v>117</v>
      </c>
      <c r="H147" s="58">
        <f t="shared" si="101"/>
        <v>119</v>
      </c>
      <c r="I147" s="58">
        <f t="shared" si="101"/>
        <v>106</v>
      </c>
      <c r="J147" s="58">
        <f t="shared" si="101"/>
        <v>110</v>
      </c>
      <c r="K147" s="58">
        <f t="shared" si="101"/>
        <v>95</v>
      </c>
      <c r="L147" s="130">
        <f t="shared" si="101"/>
        <v>80</v>
      </c>
      <c r="M147" s="58">
        <f t="shared" si="101"/>
        <v>73</v>
      </c>
      <c r="N147" s="58">
        <f t="shared" si="101"/>
        <v>61</v>
      </c>
      <c r="O147" s="58">
        <f t="shared" si="101"/>
        <v>63</v>
      </c>
      <c r="P147" s="58">
        <f t="shared" si="101"/>
        <v>84</v>
      </c>
      <c r="Q147" s="58">
        <f t="shared" si="101"/>
        <v>86</v>
      </c>
      <c r="R147" s="58">
        <f t="shared" si="101"/>
        <v>818</v>
      </c>
      <c r="S147" s="58">
        <f t="shared" si="101"/>
        <v>1269</v>
      </c>
      <c r="T147" s="58">
        <f t="shared" si="101"/>
        <v>1066</v>
      </c>
      <c r="U147" s="70">
        <f t="shared" si="101"/>
        <v>697</v>
      </c>
      <c r="V147" s="70">
        <f t="shared" si="101"/>
        <v>808</v>
      </c>
      <c r="W147" s="70">
        <f t="shared" ref="W147:Z147" si="102">SUM(W140:W146)</f>
        <v>721</v>
      </c>
      <c r="X147" s="70">
        <f t="shared" si="102"/>
        <v>571</v>
      </c>
      <c r="Y147" s="70">
        <f t="shared" si="102"/>
        <v>462</v>
      </c>
      <c r="Z147" s="70">
        <f t="shared" si="102"/>
        <v>526</v>
      </c>
      <c r="AA147" s="338"/>
      <c r="AB147" s="338"/>
      <c r="AC147" s="130"/>
      <c r="AD147" s="58">
        <f t="shared" si="101"/>
        <v>34</v>
      </c>
      <c r="AE147" s="58">
        <f t="shared" si="101"/>
        <v>29</v>
      </c>
      <c r="AF147" s="58">
        <f t="shared" si="101"/>
        <v>46</v>
      </c>
      <c r="AG147" s="58">
        <f t="shared" si="101"/>
        <v>-679</v>
      </c>
      <c r="AH147" s="58">
        <f t="shared" si="101"/>
        <v>-1152</v>
      </c>
      <c r="AI147" s="58">
        <f t="shared" si="101"/>
        <v>-947</v>
      </c>
      <c r="AJ147" s="57">
        <f t="shared" si="101"/>
        <v>-591</v>
      </c>
      <c r="AK147" s="57">
        <f t="shared" si="101"/>
        <v>-698</v>
      </c>
      <c r="AL147" s="57">
        <f t="shared" ref="AL147:AN147" si="103">SUM(AL140:AL146)</f>
        <v>-626</v>
      </c>
      <c r="AM147" s="264">
        <f t="shared" si="103"/>
        <v>-491</v>
      </c>
      <c r="AN147" s="264">
        <f t="shared" si="103"/>
        <v>-389</v>
      </c>
      <c r="AO147" s="69"/>
      <c r="AP147" s="171"/>
    </row>
    <row r="148" spans="1:42" x14ac:dyDescent="0.25">
      <c r="A148" s="4">
        <f>+A139+1</f>
        <v>18</v>
      </c>
      <c r="B148" s="46" t="s">
        <v>25</v>
      </c>
      <c r="C148" s="132"/>
      <c r="D148" s="66"/>
      <c r="E148" s="66"/>
      <c r="F148" s="66"/>
      <c r="G148" s="66"/>
      <c r="H148" s="133"/>
      <c r="I148" s="66"/>
      <c r="J148" s="133"/>
      <c r="K148" s="66"/>
      <c r="L148" s="134"/>
      <c r="M148" s="133"/>
      <c r="N148" s="133"/>
      <c r="O148" s="133"/>
      <c r="P148" s="133"/>
      <c r="Q148" s="66"/>
      <c r="R148" s="133"/>
      <c r="S148" s="66"/>
      <c r="T148" s="133"/>
      <c r="U148" s="134"/>
      <c r="V148" s="265"/>
      <c r="W148" s="265"/>
      <c r="X148" s="134"/>
      <c r="Y148" s="265"/>
      <c r="Z148" s="265"/>
      <c r="AA148" s="265"/>
      <c r="AB148" s="265"/>
      <c r="AC148" s="134"/>
      <c r="AD148" s="133"/>
      <c r="AE148" s="133"/>
      <c r="AF148" s="66"/>
      <c r="AG148" s="133"/>
      <c r="AH148" s="66"/>
      <c r="AI148" s="133"/>
      <c r="AJ148" s="134"/>
      <c r="AK148" s="231"/>
      <c r="AL148" s="231"/>
      <c r="AM148" s="231"/>
      <c r="AN148" s="428"/>
      <c r="AO148" s="212"/>
      <c r="AP148" s="434"/>
    </row>
    <row r="149" spans="1:42" x14ac:dyDescent="0.25">
      <c r="A149" s="4"/>
      <c r="B149" s="35" t="s">
        <v>60</v>
      </c>
      <c r="C149" s="135">
        <v>21</v>
      </c>
      <c r="D149" s="136">
        <v>584</v>
      </c>
      <c r="E149" s="136">
        <v>657</v>
      </c>
      <c r="F149" s="136">
        <v>312</v>
      </c>
      <c r="G149" s="136">
        <v>164</v>
      </c>
      <c r="H149" s="137">
        <v>342</v>
      </c>
      <c r="I149" s="136">
        <v>213</v>
      </c>
      <c r="J149" s="137">
        <v>171</v>
      </c>
      <c r="K149" s="136">
        <v>39</v>
      </c>
      <c r="L149" s="138">
        <v>8</v>
      </c>
      <c r="M149" s="137">
        <v>4</v>
      </c>
      <c r="N149" s="137">
        <v>4</v>
      </c>
      <c r="O149" s="137">
        <v>1</v>
      </c>
      <c r="P149" s="137">
        <v>0</v>
      </c>
      <c r="Q149" s="136">
        <v>0</v>
      </c>
      <c r="R149" s="137">
        <v>0</v>
      </c>
      <c r="S149" s="136">
        <v>0</v>
      </c>
      <c r="T149" s="137">
        <v>0</v>
      </c>
      <c r="U149" s="138">
        <v>0</v>
      </c>
      <c r="V149" s="230">
        <v>0</v>
      </c>
      <c r="W149" s="230">
        <v>0</v>
      </c>
      <c r="X149" s="138">
        <v>0</v>
      </c>
      <c r="Y149" s="230">
        <v>0</v>
      </c>
      <c r="Z149" s="230">
        <v>0</v>
      </c>
      <c r="AA149" s="230"/>
      <c r="AB149" s="230"/>
      <c r="AC149" s="138"/>
      <c r="AD149" s="415">
        <f t="shared" ref="AD149:AN155" si="104">C149-O149</f>
        <v>20</v>
      </c>
      <c r="AE149" s="137">
        <f t="shared" si="104"/>
        <v>584</v>
      </c>
      <c r="AF149" s="137">
        <f t="shared" si="104"/>
        <v>657</v>
      </c>
      <c r="AG149" s="137">
        <f t="shared" si="104"/>
        <v>312</v>
      </c>
      <c r="AH149" s="137">
        <f t="shared" si="104"/>
        <v>164</v>
      </c>
      <c r="AI149" s="137">
        <f t="shared" si="104"/>
        <v>342</v>
      </c>
      <c r="AJ149" s="137">
        <f t="shared" si="104"/>
        <v>213</v>
      </c>
      <c r="AK149" s="137">
        <f t="shared" si="104"/>
        <v>171</v>
      </c>
      <c r="AL149" s="137">
        <f t="shared" si="104"/>
        <v>39</v>
      </c>
      <c r="AM149" s="230">
        <f t="shared" si="104"/>
        <v>8</v>
      </c>
      <c r="AN149" s="230">
        <f t="shared" si="104"/>
        <v>4</v>
      </c>
      <c r="AO149" s="73"/>
      <c r="AP149" s="433"/>
    </row>
    <row r="150" spans="1:42" x14ac:dyDescent="0.25">
      <c r="A150" s="4"/>
      <c r="B150" s="35" t="s">
        <v>61</v>
      </c>
      <c r="C150" s="135"/>
      <c r="D150" s="136"/>
      <c r="E150" s="136"/>
      <c r="F150" s="136"/>
      <c r="G150" s="136"/>
      <c r="H150" s="137"/>
      <c r="I150" s="136"/>
      <c r="J150" s="137"/>
      <c r="K150" s="136"/>
      <c r="L150" s="230"/>
      <c r="M150" s="137"/>
      <c r="N150" s="137"/>
      <c r="O150" s="137"/>
      <c r="P150" s="137"/>
      <c r="Q150" s="136"/>
      <c r="R150" s="137"/>
      <c r="S150" s="136"/>
      <c r="T150" s="137"/>
      <c r="U150" s="138"/>
      <c r="V150" s="230"/>
      <c r="W150" s="230">
        <v>0</v>
      </c>
      <c r="X150" s="138">
        <v>0</v>
      </c>
      <c r="Y150" s="230">
        <v>0</v>
      </c>
      <c r="Z150" s="230">
        <v>0</v>
      </c>
      <c r="AA150" s="230"/>
      <c r="AB150" s="230"/>
      <c r="AC150" s="138"/>
      <c r="AD150" s="415">
        <f t="shared" si="104"/>
        <v>0</v>
      </c>
      <c r="AE150" s="137">
        <f t="shared" si="104"/>
        <v>0</v>
      </c>
      <c r="AF150" s="137">
        <f t="shared" si="104"/>
        <v>0</v>
      </c>
      <c r="AG150" s="137">
        <f t="shared" si="104"/>
        <v>0</v>
      </c>
      <c r="AH150" s="137">
        <f t="shared" si="104"/>
        <v>0</v>
      </c>
      <c r="AI150" s="137">
        <f t="shared" si="104"/>
        <v>0</v>
      </c>
      <c r="AJ150" s="137">
        <f t="shared" si="104"/>
        <v>0</v>
      </c>
      <c r="AK150" s="137">
        <f t="shared" si="104"/>
        <v>0</v>
      </c>
      <c r="AL150" s="137">
        <f t="shared" si="104"/>
        <v>0</v>
      </c>
      <c r="AM150" s="230">
        <f t="shared" si="104"/>
        <v>0</v>
      </c>
      <c r="AN150" s="230">
        <f t="shared" si="104"/>
        <v>0</v>
      </c>
      <c r="AO150" s="73"/>
      <c r="AP150" s="433"/>
    </row>
    <row r="151" spans="1:42" x14ac:dyDescent="0.25">
      <c r="A151" s="4"/>
      <c r="B151" s="35" t="s">
        <v>62</v>
      </c>
      <c r="C151" s="135">
        <v>0</v>
      </c>
      <c r="D151" s="136">
        <v>0</v>
      </c>
      <c r="E151" s="136">
        <v>84</v>
      </c>
      <c r="F151" s="136">
        <v>83</v>
      </c>
      <c r="G151" s="136">
        <v>66</v>
      </c>
      <c r="H151" s="137">
        <v>125</v>
      </c>
      <c r="I151" s="136">
        <v>114</v>
      </c>
      <c r="J151" s="137">
        <v>80</v>
      </c>
      <c r="K151" s="136">
        <v>22</v>
      </c>
      <c r="L151" s="230">
        <v>0</v>
      </c>
      <c r="M151" s="233">
        <v>0</v>
      </c>
      <c r="N151" s="234">
        <v>0</v>
      </c>
      <c r="O151" s="234">
        <v>0</v>
      </c>
      <c r="P151" s="234">
        <v>0</v>
      </c>
      <c r="Q151" s="73">
        <v>0</v>
      </c>
      <c r="R151" s="73">
        <v>0</v>
      </c>
      <c r="S151" s="73">
        <v>0</v>
      </c>
      <c r="T151" s="73">
        <v>0</v>
      </c>
      <c r="U151" s="74">
        <v>0</v>
      </c>
      <c r="V151" s="230">
        <v>0</v>
      </c>
      <c r="W151" s="230">
        <v>0</v>
      </c>
      <c r="X151" s="138">
        <v>0</v>
      </c>
      <c r="Y151" s="230">
        <v>0</v>
      </c>
      <c r="Z151" s="230">
        <v>0</v>
      </c>
      <c r="AA151" s="230"/>
      <c r="AB151" s="230"/>
      <c r="AC151" s="138"/>
      <c r="AD151" s="415">
        <f t="shared" si="104"/>
        <v>0</v>
      </c>
      <c r="AE151" s="137">
        <f t="shared" si="104"/>
        <v>0</v>
      </c>
      <c r="AF151" s="137">
        <f t="shared" si="104"/>
        <v>84</v>
      </c>
      <c r="AG151" s="137">
        <f t="shared" si="104"/>
        <v>83</v>
      </c>
      <c r="AH151" s="137">
        <f t="shared" si="104"/>
        <v>66</v>
      </c>
      <c r="AI151" s="137">
        <f t="shared" si="104"/>
        <v>125</v>
      </c>
      <c r="AJ151" s="137">
        <f t="shared" si="104"/>
        <v>114</v>
      </c>
      <c r="AK151" s="137">
        <f t="shared" si="104"/>
        <v>80</v>
      </c>
      <c r="AL151" s="137">
        <f t="shared" si="104"/>
        <v>22</v>
      </c>
      <c r="AM151" s="230">
        <f t="shared" si="104"/>
        <v>0</v>
      </c>
      <c r="AN151" s="230">
        <f t="shared" si="104"/>
        <v>0</v>
      </c>
      <c r="AO151" s="73"/>
      <c r="AP151" s="433"/>
    </row>
    <row r="152" spans="1:42" x14ac:dyDescent="0.25">
      <c r="A152" s="4"/>
      <c r="B152" s="35" t="s">
        <v>63</v>
      </c>
      <c r="C152" s="135"/>
      <c r="D152" s="136"/>
      <c r="E152" s="136"/>
      <c r="F152" s="136"/>
      <c r="G152" s="136"/>
      <c r="H152" s="137"/>
      <c r="I152" s="136"/>
      <c r="J152" s="137"/>
      <c r="K152" s="136"/>
      <c r="L152" s="230"/>
      <c r="M152" s="233"/>
      <c r="N152" s="234"/>
      <c r="O152" s="234"/>
      <c r="P152" s="234"/>
      <c r="Q152" s="73"/>
      <c r="R152" s="73"/>
      <c r="S152" s="73"/>
      <c r="T152" s="73"/>
      <c r="U152" s="74"/>
      <c r="V152" s="230"/>
      <c r="W152" s="230">
        <v>0</v>
      </c>
      <c r="X152" s="138">
        <v>0</v>
      </c>
      <c r="Y152" s="230">
        <v>0</v>
      </c>
      <c r="Z152" s="230">
        <v>0</v>
      </c>
      <c r="AA152" s="230"/>
      <c r="AB152" s="230"/>
      <c r="AC152" s="138"/>
      <c r="AD152" s="415">
        <f t="shared" si="104"/>
        <v>0</v>
      </c>
      <c r="AE152" s="137">
        <f t="shared" si="104"/>
        <v>0</v>
      </c>
      <c r="AF152" s="137">
        <f t="shared" si="104"/>
        <v>0</v>
      </c>
      <c r="AG152" s="137">
        <f t="shared" si="104"/>
        <v>0</v>
      </c>
      <c r="AH152" s="137">
        <f t="shared" si="104"/>
        <v>0</v>
      </c>
      <c r="AI152" s="137">
        <f t="shared" si="104"/>
        <v>0</v>
      </c>
      <c r="AJ152" s="137">
        <f t="shared" si="104"/>
        <v>0</v>
      </c>
      <c r="AK152" s="137">
        <f t="shared" si="104"/>
        <v>0</v>
      </c>
      <c r="AL152" s="137">
        <f t="shared" si="104"/>
        <v>0</v>
      </c>
      <c r="AM152" s="230">
        <f t="shared" si="104"/>
        <v>0</v>
      </c>
      <c r="AN152" s="230">
        <f t="shared" si="104"/>
        <v>0</v>
      </c>
      <c r="AO152" s="73"/>
      <c r="AP152" s="433"/>
    </row>
    <row r="153" spans="1:42" x14ac:dyDescent="0.25">
      <c r="A153" s="4"/>
      <c r="B153" s="35" t="s">
        <v>38</v>
      </c>
      <c r="C153" s="135">
        <v>19</v>
      </c>
      <c r="D153" s="136">
        <v>28</v>
      </c>
      <c r="E153" s="136">
        <v>22</v>
      </c>
      <c r="F153" s="136">
        <v>18</v>
      </c>
      <c r="G153" s="136">
        <v>5</v>
      </c>
      <c r="H153" s="137">
        <v>5</v>
      </c>
      <c r="I153" s="136">
        <v>4</v>
      </c>
      <c r="J153" s="137">
        <v>5</v>
      </c>
      <c r="K153" s="136">
        <v>0</v>
      </c>
      <c r="L153" s="230">
        <v>0</v>
      </c>
      <c r="M153" s="73">
        <v>3</v>
      </c>
      <c r="N153" s="73">
        <v>10</v>
      </c>
      <c r="O153" s="73">
        <v>5</v>
      </c>
      <c r="P153" s="73">
        <v>0</v>
      </c>
      <c r="Q153" s="73">
        <v>0</v>
      </c>
      <c r="R153" s="73">
        <v>0</v>
      </c>
      <c r="S153" s="73">
        <v>0</v>
      </c>
      <c r="T153" s="73">
        <v>0</v>
      </c>
      <c r="U153" s="74">
        <v>40</v>
      </c>
      <c r="V153" s="230">
        <v>10</v>
      </c>
      <c r="W153" s="230">
        <v>0</v>
      </c>
      <c r="X153" s="138">
        <v>0</v>
      </c>
      <c r="Y153" s="230">
        <v>4</v>
      </c>
      <c r="Z153" s="230">
        <v>0</v>
      </c>
      <c r="AA153" s="230"/>
      <c r="AB153" s="230"/>
      <c r="AC153" s="138"/>
      <c r="AD153" s="230">
        <f t="shared" si="104"/>
        <v>14</v>
      </c>
      <c r="AE153" s="137">
        <f t="shared" si="104"/>
        <v>28</v>
      </c>
      <c r="AF153" s="137">
        <f t="shared" si="104"/>
        <v>22</v>
      </c>
      <c r="AG153" s="137">
        <f t="shared" si="104"/>
        <v>18</v>
      </c>
      <c r="AH153" s="137">
        <f t="shared" si="104"/>
        <v>5</v>
      </c>
      <c r="AI153" s="137">
        <f t="shared" si="104"/>
        <v>5</v>
      </c>
      <c r="AJ153" s="141">
        <f t="shared" si="104"/>
        <v>-36</v>
      </c>
      <c r="AK153" s="137">
        <f t="shared" si="104"/>
        <v>-5</v>
      </c>
      <c r="AL153" s="137">
        <f t="shared" si="104"/>
        <v>0</v>
      </c>
      <c r="AM153" s="230">
        <f t="shared" si="104"/>
        <v>0</v>
      </c>
      <c r="AN153" s="230">
        <f t="shared" si="104"/>
        <v>-1</v>
      </c>
      <c r="AO153" s="73"/>
      <c r="AP153" s="433"/>
    </row>
    <row r="154" spans="1:42" x14ac:dyDescent="0.25">
      <c r="A154" s="4"/>
      <c r="B154" s="35" t="s">
        <v>39</v>
      </c>
      <c r="C154" s="135"/>
      <c r="D154" s="136"/>
      <c r="E154" s="136"/>
      <c r="F154" s="136"/>
      <c r="G154" s="136"/>
      <c r="H154" s="137"/>
      <c r="I154" s="136"/>
      <c r="J154" s="137"/>
      <c r="K154" s="136"/>
      <c r="L154" s="230"/>
      <c r="M154" s="73">
        <v>0</v>
      </c>
      <c r="N154" s="73">
        <v>0</v>
      </c>
      <c r="O154" s="73">
        <v>0</v>
      </c>
      <c r="P154" s="73">
        <v>0</v>
      </c>
      <c r="Q154" s="73">
        <v>0</v>
      </c>
      <c r="R154" s="73">
        <v>0</v>
      </c>
      <c r="S154" s="73">
        <v>0</v>
      </c>
      <c r="T154" s="73">
        <v>0</v>
      </c>
      <c r="U154" s="74">
        <v>3</v>
      </c>
      <c r="V154" s="230">
        <v>0</v>
      </c>
      <c r="W154" s="230">
        <v>0</v>
      </c>
      <c r="X154" s="138">
        <v>0</v>
      </c>
      <c r="Y154" s="230">
        <v>2</v>
      </c>
      <c r="Z154" s="230">
        <v>0</v>
      </c>
      <c r="AA154" s="230"/>
      <c r="AB154" s="230"/>
      <c r="AC154" s="138"/>
      <c r="AD154" s="230">
        <f t="shared" si="104"/>
        <v>0</v>
      </c>
      <c r="AE154" s="137">
        <f t="shared" si="104"/>
        <v>0</v>
      </c>
      <c r="AF154" s="137">
        <f t="shared" si="104"/>
        <v>0</v>
      </c>
      <c r="AG154" s="137">
        <f t="shared" si="104"/>
        <v>0</v>
      </c>
      <c r="AH154" s="137">
        <f t="shared" si="104"/>
        <v>0</v>
      </c>
      <c r="AI154" s="137">
        <f t="shared" si="104"/>
        <v>0</v>
      </c>
      <c r="AJ154" s="141">
        <f t="shared" si="104"/>
        <v>-3</v>
      </c>
      <c r="AK154" s="137">
        <f t="shared" si="104"/>
        <v>0</v>
      </c>
      <c r="AL154" s="137">
        <f t="shared" si="104"/>
        <v>0</v>
      </c>
      <c r="AM154" s="230">
        <f t="shared" si="104"/>
        <v>0</v>
      </c>
      <c r="AN154" s="230">
        <f t="shared" si="104"/>
        <v>-2</v>
      </c>
      <c r="AO154" s="73"/>
      <c r="AP154" s="433"/>
    </row>
    <row r="155" spans="1:42" x14ac:dyDescent="0.25">
      <c r="A155" s="4"/>
      <c r="B155" s="35" t="s">
        <v>40</v>
      </c>
      <c r="C155" s="135"/>
      <c r="D155" s="136"/>
      <c r="E155" s="136"/>
      <c r="F155" s="136"/>
      <c r="G155" s="136"/>
      <c r="H155" s="137"/>
      <c r="I155" s="136"/>
      <c r="J155" s="137"/>
      <c r="K155" s="136"/>
      <c r="L155" s="230"/>
      <c r="M155" s="73">
        <v>0</v>
      </c>
      <c r="N155" s="73">
        <v>0</v>
      </c>
      <c r="O155" s="73">
        <v>0</v>
      </c>
      <c r="P155" s="73">
        <v>0</v>
      </c>
      <c r="Q155" s="73">
        <v>0</v>
      </c>
      <c r="R155" s="73">
        <v>0</v>
      </c>
      <c r="S155" s="73">
        <v>0</v>
      </c>
      <c r="T155" s="73">
        <v>0</v>
      </c>
      <c r="U155" s="74">
        <v>1</v>
      </c>
      <c r="V155" s="230">
        <v>0</v>
      </c>
      <c r="W155" s="230">
        <v>0</v>
      </c>
      <c r="X155" s="138">
        <v>0</v>
      </c>
      <c r="Y155" s="230">
        <v>0</v>
      </c>
      <c r="Z155" s="230">
        <v>0</v>
      </c>
      <c r="AA155" s="230"/>
      <c r="AB155" s="230"/>
      <c r="AC155" s="138"/>
      <c r="AD155" s="230">
        <f t="shared" si="104"/>
        <v>0</v>
      </c>
      <c r="AE155" s="137">
        <f t="shared" si="104"/>
        <v>0</v>
      </c>
      <c r="AF155" s="137">
        <f t="shared" si="104"/>
        <v>0</v>
      </c>
      <c r="AG155" s="137">
        <f t="shared" si="104"/>
        <v>0</v>
      </c>
      <c r="AH155" s="137">
        <f t="shared" si="104"/>
        <v>0</v>
      </c>
      <c r="AI155" s="137">
        <f t="shared" si="104"/>
        <v>0</v>
      </c>
      <c r="AJ155" s="141">
        <f t="shared" si="104"/>
        <v>-1</v>
      </c>
      <c r="AK155" s="137">
        <f t="shared" si="104"/>
        <v>0</v>
      </c>
      <c r="AL155" s="137">
        <f t="shared" si="104"/>
        <v>0</v>
      </c>
      <c r="AM155" s="230">
        <f t="shared" si="104"/>
        <v>0</v>
      </c>
      <c r="AN155" s="230">
        <f t="shared" si="104"/>
        <v>0</v>
      </c>
      <c r="AO155" s="73"/>
      <c r="AP155" s="433"/>
    </row>
    <row r="156" spans="1:42" x14ac:dyDescent="0.25">
      <c r="A156" s="4"/>
      <c r="B156" s="35" t="s">
        <v>41</v>
      </c>
      <c r="C156" s="140">
        <f>SUM(C149:C155)</f>
        <v>40</v>
      </c>
      <c r="D156" s="137">
        <f>SUM(D149:D155)</f>
        <v>612</v>
      </c>
      <c r="E156" s="137">
        <f t="shared" ref="E156:V156" si="105">SUM(E149:E155)</f>
        <v>763</v>
      </c>
      <c r="F156" s="137">
        <f t="shared" si="105"/>
        <v>413</v>
      </c>
      <c r="G156" s="137">
        <f t="shared" si="105"/>
        <v>235</v>
      </c>
      <c r="H156" s="137">
        <f t="shared" si="105"/>
        <v>472</v>
      </c>
      <c r="I156" s="137">
        <f t="shared" si="105"/>
        <v>331</v>
      </c>
      <c r="J156" s="137">
        <f t="shared" si="105"/>
        <v>256</v>
      </c>
      <c r="K156" s="137">
        <f t="shared" si="105"/>
        <v>61</v>
      </c>
      <c r="L156" s="230">
        <f t="shared" si="105"/>
        <v>8</v>
      </c>
      <c r="M156" s="73">
        <f t="shared" si="105"/>
        <v>7</v>
      </c>
      <c r="N156" s="73">
        <f t="shared" si="105"/>
        <v>14</v>
      </c>
      <c r="O156" s="73">
        <f t="shared" si="105"/>
        <v>6</v>
      </c>
      <c r="P156" s="73">
        <f t="shared" si="105"/>
        <v>0</v>
      </c>
      <c r="Q156" s="73">
        <f t="shared" si="105"/>
        <v>0</v>
      </c>
      <c r="R156" s="73">
        <f t="shared" si="105"/>
        <v>0</v>
      </c>
      <c r="S156" s="73">
        <f t="shared" si="105"/>
        <v>0</v>
      </c>
      <c r="T156" s="73">
        <f t="shared" si="105"/>
        <v>0</v>
      </c>
      <c r="U156" s="74">
        <f t="shared" si="105"/>
        <v>44</v>
      </c>
      <c r="V156" s="74">
        <f t="shared" si="105"/>
        <v>10</v>
      </c>
      <c r="W156" s="74">
        <f t="shared" ref="W156:Z156" si="106">SUM(W149:W155)</f>
        <v>0</v>
      </c>
      <c r="X156" s="74">
        <f t="shared" si="106"/>
        <v>0</v>
      </c>
      <c r="Y156" s="74">
        <f t="shared" si="106"/>
        <v>6</v>
      </c>
      <c r="Z156" s="74">
        <f t="shared" si="106"/>
        <v>0</v>
      </c>
      <c r="AA156" s="230"/>
      <c r="AB156" s="230"/>
      <c r="AC156" s="138"/>
      <c r="AD156" s="230">
        <f t="shared" ref="AD156:AK156" si="107">SUM(AD149:AD155)</f>
        <v>34</v>
      </c>
      <c r="AE156" s="137">
        <f t="shared" si="107"/>
        <v>612</v>
      </c>
      <c r="AF156" s="137">
        <f t="shared" si="107"/>
        <v>763</v>
      </c>
      <c r="AG156" s="137">
        <f t="shared" si="107"/>
        <v>413</v>
      </c>
      <c r="AH156" s="137">
        <f t="shared" si="107"/>
        <v>235</v>
      </c>
      <c r="AI156" s="137">
        <f t="shared" si="107"/>
        <v>472</v>
      </c>
      <c r="AJ156" s="141">
        <f t="shared" si="107"/>
        <v>287</v>
      </c>
      <c r="AK156" s="141">
        <f t="shared" si="107"/>
        <v>246</v>
      </c>
      <c r="AL156" s="141">
        <f t="shared" ref="AL156:AN156" si="108">SUM(AL149:AL155)</f>
        <v>61</v>
      </c>
      <c r="AM156" s="266">
        <f t="shared" si="108"/>
        <v>8</v>
      </c>
      <c r="AN156" s="266">
        <f t="shared" si="108"/>
        <v>1</v>
      </c>
      <c r="AO156" s="73"/>
      <c r="AP156" s="433"/>
    </row>
    <row r="157" spans="1:42" x14ac:dyDescent="0.25">
      <c r="A157" s="4">
        <f>+A148+1</f>
        <v>19</v>
      </c>
      <c r="B157" s="47" t="s">
        <v>24</v>
      </c>
      <c r="C157" s="142"/>
      <c r="D157" s="128"/>
      <c r="E157" s="128"/>
      <c r="F157" s="128"/>
      <c r="G157" s="128"/>
      <c r="H157" s="142"/>
      <c r="I157" s="128"/>
      <c r="J157" s="142"/>
      <c r="K157" s="128"/>
      <c r="L157" s="231"/>
      <c r="M157" s="212"/>
      <c r="N157" s="212"/>
      <c r="O157" s="212"/>
      <c r="P157" s="212"/>
      <c r="Q157" s="212"/>
      <c r="R157" s="212"/>
      <c r="S157" s="212"/>
      <c r="T157" s="212"/>
      <c r="U157" s="224"/>
      <c r="V157" s="231"/>
      <c r="W157" s="231"/>
      <c r="X157" s="143"/>
      <c r="Y157" s="231"/>
      <c r="Z157" s="231"/>
      <c r="AA157" s="231"/>
      <c r="AB157" s="231"/>
      <c r="AC157" s="143"/>
      <c r="AD157" s="142"/>
      <c r="AE157" s="142"/>
      <c r="AF157" s="128"/>
      <c r="AG157" s="142"/>
      <c r="AH157" s="128"/>
      <c r="AI157" s="142"/>
      <c r="AJ157" s="145"/>
      <c r="AK157" s="231"/>
      <c r="AL157" s="231"/>
      <c r="AM157" s="231"/>
      <c r="AN157" s="428"/>
      <c r="AO157" s="212"/>
      <c r="AP157" s="434"/>
    </row>
    <row r="158" spans="1:42" x14ac:dyDescent="0.25">
      <c r="A158" s="4"/>
      <c r="B158" s="35" t="s">
        <v>60</v>
      </c>
      <c r="C158" s="146">
        <v>534</v>
      </c>
      <c r="D158" s="147">
        <v>728</v>
      </c>
      <c r="E158" s="147">
        <v>827</v>
      </c>
      <c r="F158" s="147">
        <v>787</v>
      </c>
      <c r="G158" s="147">
        <v>598</v>
      </c>
      <c r="H158" s="148">
        <v>434</v>
      </c>
      <c r="I158" s="147">
        <v>270</v>
      </c>
      <c r="J158" s="148">
        <v>212</v>
      </c>
      <c r="K158" s="147">
        <v>194</v>
      </c>
      <c r="L158" s="232">
        <v>106</v>
      </c>
      <c r="M158" s="213">
        <v>166</v>
      </c>
      <c r="N158" s="213">
        <v>352</v>
      </c>
      <c r="O158" s="213">
        <v>338</v>
      </c>
      <c r="P158" s="213">
        <v>135</v>
      </c>
      <c r="Q158" s="213">
        <v>117</v>
      </c>
      <c r="R158" s="213">
        <v>154</v>
      </c>
      <c r="S158" s="213">
        <v>102</v>
      </c>
      <c r="T158" s="213">
        <v>101</v>
      </c>
      <c r="U158" s="148">
        <v>78</v>
      </c>
      <c r="V158" s="232">
        <v>202</v>
      </c>
      <c r="W158" s="224">
        <v>417</v>
      </c>
      <c r="X158" s="224">
        <v>196</v>
      </c>
      <c r="Y158" s="224">
        <v>126</v>
      </c>
      <c r="Z158" s="231">
        <v>134</v>
      </c>
      <c r="AA158" s="231"/>
      <c r="AB158" s="231"/>
      <c r="AC158" s="143"/>
      <c r="AD158" s="232">
        <f t="shared" ref="AD158:AN164" si="109">C158-O158</f>
        <v>196</v>
      </c>
      <c r="AE158" s="148">
        <f t="shared" si="109"/>
        <v>593</v>
      </c>
      <c r="AF158" s="148">
        <f t="shared" si="109"/>
        <v>710</v>
      </c>
      <c r="AG158" s="148">
        <f t="shared" si="109"/>
        <v>633</v>
      </c>
      <c r="AH158" s="148">
        <f t="shared" si="109"/>
        <v>496</v>
      </c>
      <c r="AI158" s="148">
        <f t="shared" si="109"/>
        <v>333</v>
      </c>
      <c r="AJ158" s="150">
        <f t="shared" si="109"/>
        <v>192</v>
      </c>
      <c r="AK158" s="150">
        <f t="shared" si="109"/>
        <v>10</v>
      </c>
      <c r="AL158" s="150">
        <f t="shared" si="109"/>
        <v>-223</v>
      </c>
      <c r="AM158" s="268">
        <f t="shared" si="109"/>
        <v>-90</v>
      </c>
      <c r="AN158" s="268">
        <f t="shared" si="109"/>
        <v>40</v>
      </c>
      <c r="AO158" s="213"/>
      <c r="AP158" s="443"/>
    </row>
    <row r="159" spans="1:42" x14ac:dyDescent="0.25">
      <c r="A159" s="4"/>
      <c r="B159" s="35" t="s">
        <v>61</v>
      </c>
      <c r="C159" s="146"/>
      <c r="D159" s="147"/>
      <c r="E159" s="147"/>
      <c r="F159" s="147"/>
      <c r="G159" s="147"/>
      <c r="H159" s="148"/>
      <c r="I159" s="147"/>
      <c r="J159" s="148"/>
      <c r="K159" s="147"/>
      <c r="L159" s="232"/>
      <c r="M159" s="213"/>
      <c r="N159" s="213"/>
      <c r="O159" s="213"/>
      <c r="P159" s="213"/>
      <c r="Q159" s="213"/>
      <c r="R159" s="213"/>
      <c r="S159" s="213"/>
      <c r="T159" s="213"/>
      <c r="U159" s="148"/>
      <c r="V159" s="232"/>
      <c r="W159" s="224">
        <v>0</v>
      </c>
      <c r="X159" s="224">
        <v>0</v>
      </c>
      <c r="Y159" s="224">
        <v>0</v>
      </c>
      <c r="Z159" s="231">
        <v>0</v>
      </c>
      <c r="AA159" s="231"/>
      <c r="AB159" s="231"/>
      <c r="AC159" s="143"/>
      <c r="AD159" s="232">
        <f t="shared" si="109"/>
        <v>0</v>
      </c>
      <c r="AE159" s="148">
        <f t="shared" si="109"/>
        <v>0</v>
      </c>
      <c r="AF159" s="148">
        <f t="shared" si="109"/>
        <v>0</v>
      </c>
      <c r="AG159" s="148">
        <f t="shared" si="109"/>
        <v>0</v>
      </c>
      <c r="AH159" s="148">
        <f t="shared" si="109"/>
        <v>0</v>
      </c>
      <c r="AI159" s="148">
        <f t="shared" si="109"/>
        <v>0</v>
      </c>
      <c r="AJ159" s="150">
        <f t="shared" si="109"/>
        <v>0</v>
      </c>
      <c r="AK159" s="150">
        <f t="shared" si="109"/>
        <v>0</v>
      </c>
      <c r="AL159" s="150">
        <f t="shared" si="109"/>
        <v>0</v>
      </c>
      <c r="AM159" s="268">
        <f t="shared" si="109"/>
        <v>0</v>
      </c>
      <c r="AN159" s="268">
        <f t="shared" si="109"/>
        <v>0</v>
      </c>
      <c r="AO159" s="213"/>
      <c r="AP159" s="443"/>
    </row>
    <row r="160" spans="1:42" x14ac:dyDescent="0.25">
      <c r="A160" s="4"/>
      <c r="B160" s="35" t="s">
        <v>62</v>
      </c>
      <c r="C160" s="146">
        <v>108</v>
      </c>
      <c r="D160" s="147">
        <v>228</v>
      </c>
      <c r="E160" s="147">
        <v>352</v>
      </c>
      <c r="F160" s="147">
        <v>349</v>
      </c>
      <c r="G160" s="147">
        <v>301</v>
      </c>
      <c r="H160" s="148">
        <v>289</v>
      </c>
      <c r="I160" s="147">
        <v>261</v>
      </c>
      <c r="J160" s="148">
        <v>192</v>
      </c>
      <c r="K160" s="147">
        <v>161</v>
      </c>
      <c r="L160" s="232">
        <v>63</v>
      </c>
      <c r="M160" s="213">
        <v>29</v>
      </c>
      <c r="N160" s="213">
        <v>25</v>
      </c>
      <c r="O160" s="213">
        <v>26</v>
      </c>
      <c r="P160" s="213">
        <v>17</v>
      </c>
      <c r="Q160" s="213">
        <v>14</v>
      </c>
      <c r="R160" s="213">
        <v>8</v>
      </c>
      <c r="S160" s="213">
        <v>10</v>
      </c>
      <c r="T160" s="213">
        <v>11</v>
      </c>
      <c r="U160" s="148">
        <v>10</v>
      </c>
      <c r="V160" s="232">
        <v>16</v>
      </c>
      <c r="W160" s="224">
        <v>19</v>
      </c>
      <c r="X160" s="224">
        <v>16</v>
      </c>
      <c r="Y160" s="224">
        <v>20</v>
      </c>
      <c r="Z160" s="231">
        <v>13</v>
      </c>
      <c r="AA160" s="231"/>
      <c r="AB160" s="231"/>
      <c r="AC160" s="143"/>
      <c r="AD160" s="232">
        <f t="shared" si="109"/>
        <v>82</v>
      </c>
      <c r="AE160" s="148">
        <f t="shared" si="109"/>
        <v>211</v>
      </c>
      <c r="AF160" s="148">
        <f t="shared" si="109"/>
        <v>338</v>
      </c>
      <c r="AG160" s="148">
        <f t="shared" si="109"/>
        <v>341</v>
      </c>
      <c r="AH160" s="148">
        <f t="shared" si="109"/>
        <v>291</v>
      </c>
      <c r="AI160" s="148">
        <f t="shared" si="109"/>
        <v>278</v>
      </c>
      <c r="AJ160" s="150">
        <f t="shared" si="109"/>
        <v>251</v>
      </c>
      <c r="AK160" s="150">
        <f t="shared" si="109"/>
        <v>176</v>
      </c>
      <c r="AL160" s="150">
        <f t="shared" si="109"/>
        <v>142</v>
      </c>
      <c r="AM160" s="268">
        <f t="shared" si="109"/>
        <v>47</v>
      </c>
      <c r="AN160" s="268">
        <f t="shared" si="109"/>
        <v>9</v>
      </c>
      <c r="AO160" s="213"/>
      <c r="AP160" s="443"/>
    </row>
    <row r="161" spans="1:68" x14ac:dyDescent="0.25">
      <c r="A161" s="4"/>
      <c r="B161" s="35" t="s">
        <v>63</v>
      </c>
      <c r="C161" s="146"/>
      <c r="D161" s="147"/>
      <c r="E161" s="147"/>
      <c r="F161" s="147"/>
      <c r="G161" s="147"/>
      <c r="H161" s="148"/>
      <c r="I161" s="147"/>
      <c r="J161" s="148"/>
      <c r="K161" s="147"/>
      <c r="L161" s="232"/>
      <c r="M161" s="213"/>
      <c r="N161" s="213"/>
      <c r="O161" s="213"/>
      <c r="P161" s="213"/>
      <c r="Q161" s="213"/>
      <c r="R161" s="213"/>
      <c r="S161" s="213"/>
      <c r="T161" s="213"/>
      <c r="U161" s="148"/>
      <c r="V161" s="232"/>
      <c r="W161" s="224">
        <v>0</v>
      </c>
      <c r="X161" s="224">
        <v>0</v>
      </c>
      <c r="Y161" s="224">
        <v>0</v>
      </c>
      <c r="Z161" s="231">
        <v>0</v>
      </c>
      <c r="AA161" s="231"/>
      <c r="AB161" s="231"/>
      <c r="AC161" s="143"/>
      <c r="AD161" s="232">
        <f t="shared" si="109"/>
        <v>0</v>
      </c>
      <c r="AE161" s="148">
        <f t="shared" si="109"/>
        <v>0</v>
      </c>
      <c r="AF161" s="148">
        <f t="shared" si="109"/>
        <v>0</v>
      </c>
      <c r="AG161" s="148">
        <f t="shared" si="109"/>
        <v>0</v>
      </c>
      <c r="AH161" s="148">
        <f t="shared" si="109"/>
        <v>0</v>
      </c>
      <c r="AI161" s="148">
        <f t="shared" si="109"/>
        <v>0</v>
      </c>
      <c r="AJ161" s="150">
        <f t="shared" si="109"/>
        <v>0</v>
      </c>
      <c r="AK161" s="150">
        <f t="shared" si="109"/>
        <v>0</v>
      </c>
      <c r="AL161" s="150">
        <f t="shared" si="109"/>
        <v>0</v>
      </c>
      <c r="AM161" s="268">
        <f t="shared" si="109"/>
        <v>0</v>
      </c>
      <c r="AN161" s="268">
        <f t="shared" si="109"/>
        <v>0</v>
      </c>
      <c r="AO161" s="213"/>
      <c r="AP161" s="443"/>
    </row>
    <row r="162" spans="1:68" x14ac:dyDescent="0.25">
      <c r="A162" s="4"/>
      <c r="B162" s="35" t="s">
        <v>38</v>
      </c>
      <c r="C162" s="146">
        <v>2</v>
      </c>
      <c r="D162" s="147">
        <v>2</v>
      </c>
      <c r="E162" s="147">
        <v>1</v>
      </c>
      <c r="F162" s="147">
        <v>0</v>
      </c>
      <c r="G162" s="147">
        <v>0</v>
      </c>
      <c r="H162" s="148">
        <v>0</v>
      </c>
      <c r="I162" s="147">
        <v>0</v>
      </c>
      <c r="J162" s="148">
        <v>0</v>
      </c>
      <c r="K162" s="147">
        <v>0</v>
      </c>
      <c r="L162" s="232">
        <v>0</v>
      </c>
      <c r="M162" s="213">
        <v>0</v>
      </c>
      <c r="N162" s="213">
        <v>0</v>
      </c>
      <c r="O162" s="213">
        <v>1</v>
      </c>
      <c r="P162" s="213">
        <v>2</v>
      </c>
      <c r="Q162" s="213">
        <v>3</v>
      </c>
      <c r="R162" s="213">
        <v>2</v>
      </c>
      <c r="S162" s="213">
        <v>2</v>
      </c>
      <c r="T162" s="213">
        <v>5</v>
      </c>
      <c r="U162" s="148">
        <v>10</v>
      </c>
      <c r="V162" s="232">
        <v>14</v>
      </c>
      <c r="W162" s="224">
        <v>11</v>
      </c>
      <c r="X162" s="224">
        <v>5</v>
      </c>
      <c r="Y162" s="231">
        <v>6</v>
      </c>
      <c r="Z162" s="231">
        <v>12</v>
      </c>
      <c r="AA162" s="231"/>
      <c r="AB162" s="231"/>
      <c r="AC162" s="143"/>
      <c r="AD162" s="232">
        <f t="shared" si="109"/>
        <v>1</v>
      </c>
      <c r="AE162" s="148">
        <f t="shared" si="109"/>
        <v>0</v>
      </c>
      <c r="AF162" s="148">
        <f t="shared" si="109"/>
        <v>-2</v>
      </c>
      <c r="AG162" s="148">
        <f t="shared" si="109"/>
        <v>-2</v>
      </c>
      <c r="AH162" s="148">
        <f t="shared" si="109"/>
        <v>-2</v>
      </c>
      <c r="AI162" s="148">
        <f t="shared" si="109"/>
        <v>-5</v>
      </c>
      <c r="AJ162" s="150">
        <f t="shared" si="109"/>
        <v>-10</v>
      </c>
      <c r="AK162" s="150">
        <f t="shared" si="109"/>
        <v>-14</v>
      </c>
      <c r="AL162" s="150">
        <f t="shared" si="109"/>
        <v>-11</v>
      </c>
      <c r="AM162" s="268">
        <f t="shared" si="109"/>
        <v>-5</v>
      </c>
      <c r="AN162" s="268">
        <f t="shared" si="109"/>
        <v>-6</v>
      </c>
      <c r="AO162" s="213"/>
      <c r="AP162" s="443"/>
    </row>
    <row r="163" spans="1:68" x14ac:dyDescent="0.25">
      <c r="A163" s="4"/>
      <c r="B163" s="35" t="s">
        <v>39</v>
      </c>
      <c r="C163" s="146">
        <v>0</v>
      </c>
      <c r="D163" s="147">
        <v>0</v>
      </c>
      <c r="E163" s="147">
        <v>0</v>
      </c>
      <c r="F163" s="147">
        <v>0</v>
      </c>
      <c r="G163" s="147">
        <v>0</v>
      </c>
      <c r="H163" s="148">
        <v>0</v>
      </c>
      <c r="I163" s="147">
        <v>0</v>
      </c>
      <c r="J163" s="148">
        <v>0</v>
      </c>
      <c r="K163" s="147">
        <v>0</v>
      </c>
      <c r="L163" s="232">
        <v>0</v>
      </c>
      <c r="M163" s="237">
        <v>0</v>
      </c>
      <c r="N163" s="237">
        <v>0</v>
      </c>
      <c r="O163" s="237">
        <v>0</v>
      </c>
      <c r="P163" s="237">
        <v>0</v>
      </c>
      <c r="Q163" s="213">
        <v>0</v>
      </c>
      <c r="R163" s="213">
        <v>0</v>
      </c>
      <c r="S163" s="213">
        <v>0</v>
      </c>
      <c r="T163" s="213">
        <v>0</v>
      </c>
      <c r="U163" s="148">
        <v>2</v>
      </c>
      <c r="V163" s="232">
        <v>3</v>
      </c>
      <c r="W163" s="224">
        <v>4</v>
      </c>
      <c r="X163" s="224">
        <v>2</v>
      </c>
      <c r="Y163" s="231">
        <v>3</v>
      </c>
      <c r="Z163" s="231">
        <v>0</v>
      </c>
      <c r="AA163" s="231"/>
      <c r="AB163" s="231"/>
      <c r="AC163" s="143"/>
      <c r="AD163" s="232">
        <f t="shared" si="109"/>
        <v>0</v>
      </c>
      <c r="AE163" s="148">
        <f t="shared" si="109"/>
        <v>0</v>
      </c>
      <c r="AF163" s="148">
        <f t="shared" si="109"/>
        <v>0</v>
      </c>
      <c r="AG163" s="148">
        <f t="shared" si="109"/>
        <v>0</v>
      </c>
      <c r="AH163" s="148">
        <f t="shared" si="109"/>
        <v>0</v>
      </c>
      <c r="AI163" s="148">
        <f t="shared" si="109"/>
        <v>0</v>
      </c>
      <c r="AJ163" s="150">
        <f t="shared" si="109"/>
        <v>-2</v>
      </c>
      <c r="AK163" s="150">
        <f t="shared" si="109"/>
        <v>-3</v>
      </c>
      <c r="AL163" s="150">
        <f t="shared" si="109"/>
        <v>-4</v>
      </c>
      <c r="AM163" s="268">
        <f t="shared" si="109"/>
        <v>-2</v>
      </c>
      <c r="AN163" s="268">
        <f t="shared" si="109"/>
        <v>-3</v>
      </c>
      <c r="AO163" s="213"/>
      <c r="AP163" s="443"/>
    </row>
    <row r="164" spans="1:68" x14ac:dyDescent="0.25">
      <c r="A164" s="4"/>
      <c r="B164" s="35" t="s">
        <v>40</v>
      </c>
      <c r="C164" s="146">
        <v>0</v>
      </c>
      <c r="D164" s="147">
        <v>0</v>
      </c>
      <c r="E164" s="147">
        <v>0</v>
      </c>
      <c r="F164" s="147">
        <v>0</v>
      </c>
      <c r="G164" s="147">
        <v>0</v>
      </c>
      <c r="H164" s="148">
        <v>0</v>
      </c>
      <c r="I164" s="147">
        <v>0</v>
      </c>
      <c r="J164" s="148">
        <v>0</v>
      </c>
      <c r="K164" s="147">
        <v>0</v>
      </c>
      <c r="L164" s="232">
        <v>0</v>
      </c>
      <c r="M164" s="235">
        <v>0</v>
      </c>
      <c r="N164" s="236">
        <v>0</v>
      </c>
      <c r="O164" s="236">
        <v>0</v>
      </c>
      <c r="P164" s="236">
        <v>0</v>
      </c>
      <c r="Q164" s="237">
        <v>0</v>
      </c>
      <c r="R164" s="237">
        <v>0</v>
      </c>
      <c r="S164" s="237">
        <v>0</v>
      </c>
      <c r="T164" s="237">
        <v>0</v>
      </c>
      <c r="U164" s="148">
        <v>0</v>
      </c>
      <c r="V164" s="232">
        <v>0</v>
      </c>
      <c r="W164" s="232">
        <v>0</v>
      </c>
      <c r="X164" s="411">
        <v>0</v>
      </c>
      <c r="Y164" s="232">
        <v>0</v>
      </c>
      <c r="Z164" s="232">
        <v>0</v>
      </c>
      <c r="AA164" s="232"/>
      <c r="AB164" s="232"/>
      <c r="AC164" s="411"/>
      <c r="AD164" s="232">
        <f t="shared" si="109"/>
        <v>0</v>
      </c>
      <c r="AE164" s="148">
        <f t="shared" si="109"/>
        <v>0</v>
      </c>
      <c r="AF164" s="148">
        <f t="shared" si="109"/>
        <v>0</v>
      </c>
      <c r="AG164" s="148">
        <f t="shared" si="109"/>
        <v>0</v>
      </c>
      <c r="AH164" s="148">
        <f t="shared" si="109"/>
        <v>0</v>
      </c>
      <c r="AI164" s="148">
        <f t="shared" si="109"/>
        <v>0</v>
      </c>
      <c r="AJ164" s="150">
        <f t="shared" si="109"/>
        <v>0</v>
      </c>
      <c r="AK164" s="150">
        <f t="shared" si="109"/>
        <v>0</v>
      </c>
      <c r="AL164" s="150">
        <f t="shared" si="109"/>
        <v>0</v>
      </c>
      <c r="AM164" s="268">
        <f t="shared" si="109"/>
        <v>0</v>
      </c>
      <c r="AN164" s="268">
        <f t="shared" si="109"/>
        <v>0</v>
      </c>
      <c r="AO164" s="213"/>
      <c r="AP164" s="443"/>
    </row>
    <row r="165" spans="1:68" ht="15.75" thickBot="1" x14ac:dyDescent="0.3">
      <c r="A165" s="4"/>
      <c r="B165" s="36" t="s">
        <v>41</v>
      </c>
      <c r="C165" s="151">
        <f>SUM(C158:C164)</f>
        <v>644</v>
      </c>
      <c r="D165" s="152">
        <f>SUM(D158:D164)</f>
        <v>958</v>
      </c>
      <c r="E165" s="152">
        <f t="shared" ref="E165:AD165" si="110">SUM(E158:E164)</f>
        <v>1180</v>
      </c>
      <c r="F165" s="152">
        <f t="shared" si="110"/>
        <v>1136</v>
      </c>
      <c r="G165" s="152">
        <f t="shared" si="110"/>
        <v>899</v>
      </c>
      <c r="H165" s="152">
        <f t="shared" si="110"/>
        <v>723</v>
      </c>
      <c r="I165" s="152">
        <f t="shared" si="110"/>
        <v>531</v>
      </c>
      <c r="J165" s="152">
        <f t="shared" si="110"/>
        <v>404</v>
      </c>
      <c r="K165" s="152">
        <f t="shared" si="110"/>
        <v>355</v>
      </c>
      <c r="L165" s="197">
        <f t="shared" si="110"/>
        <v>169</v>
      </c>
      <c r="M165" s="152">
        <f t="shared" si="110"/>
        <v>195</v>
      </c>
      <c r="N165" s="201">
        <f t="shared" si="110"/>
        <v>377</v>
      </c>
      <c r="O165" s="152">
        <f t="shared" si="110"/>
        <v>365</v>
      </c>
      <c r="P165" s="152">
        <f t="shared" si="110"/>
        <v>154</v>
      </c>
      <c r="Q165" s="152">
        <f t="shared" si="110"/>
        <v>134</v>
      </c>
      <c r="R165" s="152">
        <f t="shared" si="110"/>
        <v>164</v>
      </c>
      <c r="S165" s="152">
        <f t="shared" si="110"/>
        <v>114</v>
      </c>
      <c r="T165" s="152">
        <f t="shared" si="110"/>
        <v>117</v>
      </c>
      <c r="U165" s="153">
        <f t="shared" si="110"/>
        <v>100</v>
      </c>
      <c r="V165" s="153">
        <f t="shared" si="110"/>
        <v>235</v>
      </c>
      <c r="W165" s="153">
        <f t="shared" ref="W165:Z165" si="111">SUM(W158:W164)</f>
        <v>451</v>
      </c>
      <c r="X165" s="153">
        <f t="shared" si="111"/>
        <v>219</v>
      </c>
      <c r="Y165" s="153">
        <f t="shared" si="111"/>
        <v>155</v>
      </c>
      <c r="Z165" s="153">
        <f t="shared" si="111"/>
        <v>159</v>
      </c>
      <c r="AA165" s="271"/>
      <c r="AB165" s="271"/>
      <c r="AC165" s="197"/>
      <c r="AD165" s="152">
        <f t="shared" si="110"/>
        <v>279</v>
      </c>
      <c r="AE165" s="152">
        <f t="shared" ref="AE165:AK165" si="112">SUM(AE158:AE164)</f>
        <v>804</v>
      </c>
      <c r="AF165" s="152">
        <f t="shared" si="112"/>
        <v>1046</v>
      </c>
      <c r="AG165" s="152">
        <f t="shared" si="112"/>
        <v>972</v>
      </c>
      <c r="AH165" s="152">
        <f t="shared" si="112"/>
        <v>785</v>
      </c>
      <c r="AI165" s="152">
        <f t="shared" si="112"/>
        <v>606</v>
      </c>
      <c r="AJ165" s="153">
        <f t="shared" si="112"/>
        <v>431</v>
      </c>
      <c r="AK165" s="153">
        <f t="shared" si="112"/>
        <v>169</v>
      </c>
      <c r="AL165" s="153">
        <f t="shared" ref="AL165:AN165" si="113">SUM(AL158:AL164)</f>
        <v>-96</v>
      </c>
      <c r="AM165" s="425">
        <f t="shared" si="113"/>
        <v>-50</v>
      </c>
      <c r="AN165" s="425">
        <f t="shared" si="113"/>
        <v>40</v>
      </c>
      <c r="AO165" s="444"/>
      <c r="AP165" s="445"/>
    </row>
    <row r="166" spans="1:68" ht="15.75" thickTop="1" x14ac:dyDescent="0.25">
      <c r="A166" s="4"/>
    </row>
    <row r="167" spans="1:68" x14ac:dyDescent="0.25">
      <c r="B167" s="1" t="s">
        <v>27</v>
      </c>
    </row>
    <row r="168" spans="1:68" ht="191.25" customHeight="1" x14ac:dyDescent="0.25">
      <c r="B168" s="240" t="s">
        <v>51</v>
      </c>
      <c r="C168" s="539" t="s">
        <v>53</v>
      </c>
      <c r="D168" s="539"/>
      <c r="E168" s="539"/>
      <c r="F168" s="539"/>
      <c r="G168" s="539"/>
      <c r="H168" s="539"/>
      <c r="I168" s="539"/>
      <c r="J168" s="539"/>
      <c r="K168" s="539"/>
      <c r="L168" s="539"/>
      <c r="N168" s="525" t="s">
        <v>52</v>
      </c>
      <c r="O168" s="525"/>
      <c r="P168" s="525"/>
      <c r="Q168" s="525"/>
      <c r="R168" s="525"/>
      <c r="S168" s="243"/>
      <c r="T168" s="527" t="s">
        <v>54</v>
      </c>
      <c r="U168" s="527"/>
      <c r="V168" s="527"/>
      <c r="W168" s="527"/>
      <c r="X168" s="527"/>
      <c r="Y168" s="527"/>
      <c r="Z168" s="527"/>
      <c r="AA168" s="527"/>
      <c r="AB168" s="527"/>
      <c r="AC168" s="527"/>
      <c r="AD168" s="527"/>
      <c r="AE168" s="527"/>
      <c r="AF168" s="527"/>
      <c r="AG168" s="527"/>
      <c r="AI168" s="527" t="s">
        <v>55</v>
      </c>
      <c r="AJ168" s="527"/>
      <c r="AK168" s="527"/>
      <c r="AL168" s="527"/>
      <c r="AM168" s="527"/>
      <c r="AN168" s="527"/>
      <c r="AO168" s="527"/>
      <c r="AP168" s="527"/>
      <c r="AQ168" s="527"/>
      <c r="AR168" s="527"/>
      <c r="AT168" s="527" t="s">
        <v>56</v>
      </c>
      <c r="AU168" s="527"/>
      <c r="AV168" s="527"/>
      <c r="AW168" s="527"/>
      <c r="AX168" s="527"/>
      <c r="AY168" s="527"/>
      <c r="BA168" s="527" t="s">
        <v>58</v>
      </c>
      <c r="BB168" s="527"/>
      <c r="BC168" s="527"/>
      <c r="BD168" s="527"/>
      <c r="BE168" s="527"/>
      <c r="BG168" s="526" t="s">
        <v>59</v>
      </c>
      <c r="BH168" s="526"/>
      <c r="BI168" s="526"/>
      <c r="BJ168" s="526"/>
      <c r="BK168" s="526"/>
      <c r="BL168" s="525" t="s">
        <v>64</v>
      </c>
      <c r="BM168" s="525"/>
      <c r="BN168" s="525"/>
      <c r="BO168" s="525"/>
      <c r="BP168" s="525"/>
    </row>
    <row r="171" spans="1:68" x14ac:dyDescent="0.25">
      <c r="B171" s="34" t="s">
        <v>26</v>
      </c>
    </row>
    <row r="172" spans="1:68" ht="97.5" customHeight="1" x14ac:dyDescent="0.25">
      <c r="B172" s="229"/>
      <c r="C172" s="538" t="s">
        <v>68</v>
      </c>
      <c r="D172" s="538"/>
      <c r="E172" s="538"/>
      <c r="F172" s="538"/>
      <c r="G172" s="538"/>
      <c r="H172" s="538"/>
      <c r="I172" s="538"/>
      <c r="J172" s="538"/>
      <c r="K172" s="538"/>
      <c r="L172" s="538"/>
      <c r="M172" s="525" t="s">
        <v>69</v>
      </c>
      <c r="N172" s="525"/>
      <c r="O172" s="525"/>
      <c r="P172" s="525"/>
    </row>
    <row r="173" spans="1:68" ht="52.5" customHeight="1" x14ac:dyDescent="0.25">
      <c r="B173" s="229"/>
      <c r="C173" s="538"/>
      <c r="D173" s="538"/>
      <c r="E173" s="538"/>
      <c r="F173" s="538"/>
      <c r="G173" s="538"/>
      <c r="H173" s="538"/>
      <c r="I173" s="538"/>
      <c r="J173" s="538"/>
      <c r="K173" s="538"/>
      <c r="L173" s="538"/>
    </row>
    <row r="174" spans="1:68" ht="37.5" customHeight="1" x14ac:dyDescent="0.25">
      <c r="B174" s="229"/>
      <c r="C174" s="538"/>
      <c r="D174" s="538"/>
      <c r="E174" s="538"/>
      <c r="F174" s="538"/>
      <c r="G174" s="538"/>
      <c r="H174" s="538"/>
      <c r="I174" s="538"/>
      <c r="J174" s="538"/>
      <c r="K174" s="538"/>
      <c r="L174" s="538"/>
    </row>
    <row r="175" spans="1:68" ht="63.75" customHeight="1" x14ac:dyDescent="0.25">
      <c r="B175" s="229"/>
      <c r="C175" s="538"/>
      <c r="D175" s="538"/>
      <c r="E175" s="538"/>
      <c r="F175" s="538"/>
      <c r="G175" s="538"/>
      <c r="H175" s="538"/>
      <c r="I175" s="538"/>
      <c r="J175" s="538"/>
      <c r="K175" s="538"/>
      <c r="L175" s="538"/>
    </row>
  </sheetData>
  <mergeCells count="21">
    <mergeCell ref="C173:L173"/>
    <mergeCell ref="C174:L174"/>
    <mergeCell ref="C175:L175"/>
    <mergeCell ref="C172:L172"/>
    <mergeCell ref="M2:S2"/>
    <mergeCell ref="M3:S3"/>
    <mergeCell ref="M4:S4"/>
    <mergeCell ref="C168:L168"/>
    <mergeCell ref="N168:R168"/>
    <mergeCell ref="M172:P172"/>
    <mergeCell ref="BL168:BP168"/>
    <mergeCell ref="BG168:BK168"/>
    <mergeCell ref="BA168:BE168"/>
    <mergeCell ref="B1:AE1"/>
    <mergeCell ref="C2:I2"/>
    <mergeCell ref="C3:I3"/>
    <mergeCell ref="C4:I4"/>
    <mergeCell ref="T168:AG168"/>
    <mergeCell ref="AT168:AY168"/>
    <mergeCell ref="AI168:AR168"/>
    <mergeCell ref="AN7:AP7"/>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44"/>
  <sheetViews>
    <sheetView workbookViewId="0">
      <pane xSplit="2" ySplit="8" topLeftCell="C105" activePane="bottomRight" state="frozen"/>
      <selection pane="topRight" activeCell="C1" sqref="C1"/>
      <selection pane="bottomLeft" activeCell="A9" sqref="A9"/>
      <selection pane="bottomRight" activeCell="C5" sqref="C5"/>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0" width="12.7109375" style="4" bestFit="1" customWidth="1"/>
    <col min="51" max="16384" width="9.140625" style="2"/>
  </cols>
  <sheetData>
    <row r="1" spans="1:50" ht="16.5" thickTop="1" thickBot="1" x14ac:dyDescent="0.3">
      <c r="B1" s="528" t="s">
        <v>19</v>
      </c>
      <c r="C1" s="529"/>
      <c r="D1" s="529"/>
      <c r="E1" s="529"/>
      <c r="F1" s="529"/>
      <c r="G1" s="529"/>
      <c r="H1" s="529"/>
      <c r="I1" s="529"/>
      <c r="J1" s="529"/>
      <c r="K1" s="529"/>
      <c r="L1" s="529"/>
      <c r="M1" s="529"/>
      <c r="N1" s="529"/>
      <c r="O1" s="529"/>
      <c r="P1" s="529"/>
      <c r="Q1" s="529"/>
      <c r="R1" s="529"/>
      <c r="S1" s="529"/>
      <c r="T1" s="529"/>
      <c r="U1" s="529"/>
      <c r="V1" s="529"/>
      <c r="W1" s="529"/>
      <c r="X1" s="38"/>
      <c r="Y1" s="38"/>
      <c r="Z1" s="38"/>
      <c r="AA1" s="38"/>
      <c r="AB1" s="39"/>
    </row>
    <row r="2" spans="1:50" ht="27.6" customHeight="1" thickTop="1" thickBot="1" x14ac:dyDescent="0.3">
      <c r="B2" s="5" t="s">
        <v>0</v>
      </c>
      <c r="C2" s="531" t="s">
        <v>57</v>
      </c>
      <c r="D2" s="532"/>
      <c r="E2" s="532"/>
      <c r="F2" s="532"/>
      <c r="G2" s="532"/>
      <c r="H2" s="532"/>
      <c r="I2" s="532"/>
      <c r="J2" s="6"/>
      <c r="K2" s="7"/>
      <c r="L2" s="7"/>
      <c r="M2" s="7"/>
      <c r="N2" s="7"/>
      <c r="O2" s="7"/>
      <c r="P2" s="7"/>
      <c r="Q2" s="7"/>
      <c r="R2" s="7"/>
      <c r="S2" s="7"/>
      <c r="T2" s="7"/>
      <c r="U2" s="7"/>
      <c r="V2" s="7"/>
      <c r="W2" s="8"/>
    </row>
    <row r="3" spans="1:50" ht="27.6" customHeight="1" thickTop="1" thickBot="1" x14ac:dyDescent="0.3">
      <c r="B3" s="5" t="s">
        <v>1</v>
      </c>
      <c r="C3" s="531" t="s">
        <v>48</v>
      </c>
      <c r="D3" s="532"/>
      <c r="E3" s="532"/>
      <c r="F3" s="532"/>
      <c r="G3" s="532"/>
      <c r="H3" s="532"/>
      <c r="I3" s="532"/>
      <c r="J3" s="6"/>
      <c r="K3" s="9"/>
      <c r="L3" s="9"/>
      <c r="M3" s="9"/>
      <c r="N3" s="9"/>
      <c r="O3" s="9"/>
      <c r="P3" s="9"/>
      <c r="Q3" s="9"/>
      <c r="R3" s="9"/>
      <c r="S3" s="9"/>
      <c r="T3" s="9"/>
      <c r="U3" s="9"/>
      <c r="V3" s="9"/>
      <c r="W3" s="10"/>
    </row>
    <row r="4" spans="1:50" ht="27.6" customHeight="1" thickTop="1" thickBot="1" x14ac:dyDescent="0.3">
      <c r="B4" s="5" t="s">
        <v>2</v>
      </c>
      <c r="C4" s="533">
        <v>44266</v>
      </c>
      <c r="D4" s="534"/>
      <c r="E4" s="534"/>
      <c r="F4" s="534"/>
      <c r="G4" s="534"/>
      <c r="H4" s="534"/>
      <c r="I4" s="534"/>
      <c r="J4" s="6"/>
      <c r="K4" s="9"/>
      <c r="L4" s="9"/>
      <c r="M4" s="9"/>
      <c r="N4" s="9"/>
      <c r="O4" s="9"/>
      <c r="P4" s="9"/>
      <c r="Q4" s="9"/>
      <c r="R4" s="9"/>
      <c r="S4" s="9"/>
      <c r="T4" s="9"/>
      <c r="U4" s="9"/>
      <c r="V4" s="9"/>
      <c r="W4" s="11"/>
    </row>
    <row r="5" spans="1:50" ht="15.75" thickTop="1" x14ac:dyDescent="0.25">
      <c r="B5" s="5"/>
      <c r="C5" s="12"/>
      <c r="D5" s="12"/>
      <c r="E5" s="12"/>
      <c r="F5" s="6"/>
      <c r="G5" s="7"/>
      <c r="H5" s="6"/>
      <c r="I5" s="7"/>
      <c r="J5" s="6"/>
      <c r="K5" s="9"/>
      <c r="L5" s="9"/>
      <c r="M5" s="9"/>
      <c r="N5" s="9"/>
      <c r="O5" s="9"/>
      <c r="P5" s="9"/>
      <c r="Q5" s="9"/>
      <c r="R5" s="9"/>
      <c r="S5" s="9"/>
      <c r="T5" s="9"/>
      <c r="U5" s="9"/>
      <c r="V5" s="9"/>
      <c r="W5" s="11"/>
    </row>
    <row r="6" spans="1:50" ht="15.75" thickBot="1" x14ac:dyDescent="0.3">
      <c r="B6" s="13"/>
      <c r="C6" s="14"/>
      <c r="D6" s="15"/>
      <c r="E6" s="15"/>
      <c r="F6" s="16"/>
      <c r="G6" s="17"/>
      <c r="H6" s="18"/>
      <c r="I6" s="17"/>
      <c r="J6" s="19"/>
      <c r="K6" s="18"/>
      <c r="L6" s="18"/>
      <c r="M6" s="18"/>
      <c r="N6" s="18"/>
      <c r="O6" s="18"/>
      <c r="P6" s="18"/>
      <c r="Q6" s="18"/>
      <c r="R6" s="18"/>
      <c r="S6" s="18"/>
      <c r="T6" s="18"/>
      <c r="U6" s="18"/>
      <c r="V6" s="18"/>
      <c r="W6" s="20"/>
    </row>
    <row r="7" spans="1:50"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row>
    <row r="8" spans="1:50"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row>
    <row r="9" spans="1:50"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row>
    <row r="10" spans="1:50"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row>
    <row r="11" spans="1:50"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row>
    <row r="12" spans="1:50"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row>
    <row r="13" spans="1:50"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row>
    <row r="14" spans="1:50"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 t="shared" ref="Y14:AD14" si="2">SUM(Y21+Y28+Y35-1)</f>
        <v>4</v>
      </c>
      <c r="Z14" s="68">
        <f t="shared" si="2"/>
        <v>5</v>
      </c>
      <c r="AA14" s="68">
        <f t="shared" si="2"/>
        <v>5</v>
      </c>
      <c r="AB14" s="131">
        <f t="shared" si="2"/>
        <v>7</v>
      </c>
      <c r="AC14" s="131">
        <f t="shared" si="2"/>
        <v>9</v>
      </c>
      <c r="AD14" s="131">
        <f t="shared" si="2"/>
        <v>5</v>
      </c>
      <c r="AE14" s="131">
        <f>SUM(AE21+AE28+AE35-1)</f>
        <v>2</v>
      </c>
      <c r="AF14" s="131">
        <f>SUM(AF21+AF28+AF35-0)</f>
        <v>5</v>
      </c>
      <c r="AG14" s="131">
        <f>SUM(AG21+AG28+AG35)</f>
        <v>7</v>
      </c>
      <c r="AH14" s="131">
        <f t="shared" ref="AH14:AM14" si="3">SUM(AH21+AH28+AH35-0)</f>
        <v>4</v>
      </c>
      <c r="AI14" s="131">
        <f t="shared" si="3"/>
        <v>5</v>
      </c>
      <c r="AJ14" s="131">
        <f t="shared" si="3"/>
        <v>6</v>
      </c>
      <c r="AK14" s="131">
        <f t="shared" si="3"/>
        <v>8</v>
      </c>
      <c r="AL14" s="131">
        <f t="shared" si="3"/>
        <v>6</v>
      </c>
      <c r="AM14" s="131">
        <f t="shared" si="3"/>
        <v>5</v>
      </c>
      <c r="AN14" s="131">
        <f t="shared" ref="AN14:AS14" si="4">SUM(AN21+AN28+AN35-0)</f>
        <v>4</v>
      </c>
      <c r="AO14" s="131">
        <f t="shared" si="4"/>
        <v>5</v>
      </c>
      <c r="AP14" s="131">
        <f t="shared" si="4"/>
        <v>9</v>
      </c>
      <c r="AQ14" s="131">
        <f t="shared" si="4"/>
        <v>5</v>
      </c>
      <c r="AR14" s="131">
        <f t="shared" si="4"/>
        <v>4</v>
      </c>
      <c r="AS14" s="131">
        <f t="shared" si="4"/>
        <v>6</v>
      </c>
      <c r="AT14" s="131">
        <f t="shared" ref="AT14:AU14" si="5">SUM(AT21+AT28+AT35-0)</f>
        <v>7</v>
      </c>
      <c r="AU14" s="131">
        <f t="shared" si="5"/>
        <v>6</v>
      </c>
      <c r="AV14" s="131">
        <f t="shared" ref="AV14:AW14" si="6">SUM(AV21+AV28+AV35-0)</f>
        <v>6</v>
      </c>
      <c r="AW14" s="131">
        <f t="shared" si="6"/>
        <v>6</v>
      </c>
      <c r="AX14" s="131">
        <f>SUM(AX21+AX28+AX35-0)</f>
        <v>3</v>
      </c>
    </row>
    <row r="15" spans="1:50" x14ac:dyDescent="0.25">
      <c r="B15" s="35" t="s">
        <v>41</v>
      </c>
      <c r="C15" s="131">
        <f>SUM(C10:C14)</f>
        <v>28570</v>
      </c>
      <c r="D15" s="71">
        <f>SUM(D10:D14)</f>
        <v>27951</v>
      </c>
      <c r="E15" s="71">
        <f t="shared" ref="E15:AG15" si="7">SUM(E10:E14)</f>
        <v>28846</v>
      </c>
      <c r="F15" s="71">
        <f t="shared" si="7"/>
        <v>27716</v>
      </c>
      <c r="G15" s="71">
        <f t="shared" si="7"/>
        <v>27687</v>
      </c>
      <c r="H15" s="71">
        <f t="shared" si="7"/>
        <v>28181</v>
      </c>
      <c r="I15" s="71">
        <f t="shared" si="7"/>
        <v>29336</v>
      </c>
      <c r="J15" s="71">
        <f t="shared" si="7"/>
        <v>28235</v>
      </c>
      <c r="K15" s="71">
        <f t="shared" si="7"/>
        <v>27349</v>
      </c>
      <c r="L15" s="162">
        <f t="shared" si="7"/>
        <v>28431</v>
      </c>
      <c r="M15" s="71">
        <f t="shared" si="7"/>
        <v>28290</v>
      </c>
      <c r="N15" s="69">
        <f t="shared" si="7"/>
        <v>28948</v>
      </c>
      <c r="O15" s="71">
        <f t="shared" si="7"/>
        <v>28287</v>
      </c>
      <c r="P15" s="71">
        <f t="shared" si="7"/>
        <v>29122</v>
      </c>
      <c r="Q15" s="71">
        <f t="shared" si="7"/>
        <v>30033</v>
      </c>
      <c r="R15" s="71">
        <f t="shared" si="7"/>
        <v>30270</v>
      </c>
      <c r="S15" s="71">
        <f>SUM(S10:S14)</f>
        <v>28784</v>
      </c>
      <c r="T15" s="71">
        <f t="shared" si="7"/>
        <v>29243</v>
      </c>
      <c r="U15" s="171">
        <f t="shared" si="7"/>
        <v>29325</v>
      </c>
      <c r="V15" s="171">
        <f t="shared" si="7"/>
        <v>29407</v>
      </c>
      <c r="W15" s="171">
        <f t="shared" si="7"/>
        <v>27784</v>
      </c>
      <c r="X15" s="171">
        <f t="shared" si="7"/>
        <v>31381</v>
      </c>
      <c r="Y15" s="171">
        <f t="shared" si="7"/>
        <v>29918</v>
      </c>
      <c r="Z15" s="171">
        <f t="shared" si="7"/>
        <v>30748</v>
      </c>
      <c r="AA15" s="171">
        <f t="shared" si="7"/>
        <v>30729</v>
      </c>
      <c r="AB15" s="242">
        <f t="shared" si="7"/>
        <v>30004</v>
      </c>
      <c r="AC15" s="242">
        <f t="shared" si="7"/>
        <v>30461</v>
      </c>
      <c r="AD15" s="242">
        <f t="shared" si="7"/>
        <v>30593</v>
      </c>
      <c r="AE15" s="242">
        <f t="shared" si="7"/>
        <v>30248</v>
      </c>
      <c r="AF15" s="242">
        <f t="shared" si="7"/>
        <v>29103</v>
      </c>
      <c r="AG15" s="242">
        <f t="shared" si="7"/>
        <v>29145</v>
      </c>
      <c r="AH15" s="242">
        <f t="shared" ref="AH15:AI15" si="8">SUM(AH10:AH14)</f>
        <v>29686</v>
      </c>
      <c r="AI15" s="242">
        <f t="shared" si="8"/>
        <v>32268</v>
      </c>
      <c r="AJ15" s="242">
        <f t="shared" ref="AJ15:AK15" si="9">SUM(AJ10:AJ14)</f>
        <v>31136</v>
      </c>
      <c r="AK15" s="242">
        <f t="shared" si="9"/>
        <v>31596</v>
      </c>
      <c r="AL15" s="242">
        <f t="shared" ref="AL15:AM15" si="10">SUM(AL10:AL14)</f>
        <v>32162</v>
      </c>
      <c r="AM15" s="242">
        <f t="shared" si="10"/>
        <v>32585</v>
      </c>
      <c r="AN15" s="242">
        <f t="shared" ref="AN15:AO15" si="11">SUM(AN10:AN14)</f>
        <v>32557</v>
      </c>
      <c r="AO15" s="242">
        <f t="shared" si="11"/>
        <v>32157</v>
      </c>
      <c r="AP15" s="242">
        <f t="shared" ref="AP15:AQ15" si="12">SUM(AP10:AP14)</f>
        <v>32808</v>
      </c>
      <c r="AQ15" s="242">
        <f t="shared" si="12"/>
        <v>31193</v>
      </c>
      <c r="AR15" s="242">
        <f t="shared" ref="AR15:AS15" si="13">SUM(AR10:AR14)</f>
        <v>32287</v>
      </c>
      <c r="AS15" s="242">
        <f t="shared" si="13"/>
        <v>30680</v>
      </c>
      <c r="AT15" s="242">
        <f t="shared" ref="AT15:AU15" si="14">SUM(AT10:AT14)</f>
        <v>32410</v>
      </c>
      <c r="AU15" s="242">
        <f t="shared" si="14"/>
        <v>32295</v>
      </c>
      <c r="AV15" s="242">
        <f t="shared" ref="AV15:AW15" si="15">SUM(AV10:AV14)</f>
        <v>33127</v>
      </c>
      <c r="AW15" s="242">
        <f t="shared" si="15"/>
        <v>32940</v>
      </c>
      <c r="AX15" s="242">
        <f t="shared" ref="AX15" si="16">SUM(AX10:AX14)</f>
        <v>31792</v>
      </c>
    </row>
    <row r="16" spans="1:50"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row>
    <row r="17" spans="1:51"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row>
    <row r="18" spans="1:51"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row>
    <row r="19" spans="1:51"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row>
    <row r="20" spans="1:51"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row>
    <row r="21" spans="1:51"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row>
    <row r="22" spans="1:51" x14ac:dyDescent="0.25">
      <c r="B22" s="35" t="s">
        <v>41</v>
      </c>
      <c r="C22" s="131">
        <f>SUM(C17:C21)</f>
        <v>16349</v>
      </c>
      <c r="D22" s="71">
        <f>SUM(D17:D21)</f>
        <v>15388</v>
      </c>
      <c r="E22" s="71">
        <f t="shared" ref="E22:V22" si="17">SUM(E17:E21)</f>
        <v>17061</v>
      </c>
      <c r="F22" s="71">
        <f t="shared" si="17"/>
        <v>15726</v>
      </c>
      <c r="G22" s="71">
        <f t="shared" si="17"/>
        <v>16019</v>
      </c>
      <c r="H22" s="71">
        <f t="shared" si="17"/>
        <v>15272</v>
      </c>
      <c r="I22" s="71">
        <f t="shared" si="17"/>
        <v>16337</v>
      </c>
      <c r="J22" s="71">
        <f t="shared" si="17"/>
        <v>15860</v>
      </c>
      <c r="K22" s="71">
        <f t="shared" si="17"/>
        <v>13249</v>
      </c>
      <c r="L22" s="162">
        <f t="shared" si="17"/>
        <v>15159</v>
      </c>
      <c r="M22" s="71">
        <f t="shared" si="17"/>
        <v>14737</v>
      </c>
      <c r="N22" s="71">
        <f t="shared" si="17"/>
        <v>17332</v>
      </c>
      <c r="O22" s="71">
        <f t="shared" si="17"/>
        <v>16745</v>
      </c>
      <c r="P22" s="71">
        <f t="shared" si="17"/>
        <v>16018</v>
      </c>
      <c r="Q22" s="71">
        <f t="shared" si="17"/>
        <v>17125</v>
      </c>
      <c r="R22" s="71">
        <f t="shared" si="17"/>
        <v>16922</v>
      </c>
      <c r="S22" s="71">
        <f t="shared" si="17"/>
        <v>15016</v>
      </c>
      <c r="T22" s="71">
        <f t="shared" si="17"/>
        <v>15605</v>
      </c>
      <c r="U22" s="172">
        <f t="shared" si="17"/>
        <v>15499</v>
      </c>
      <c r="V22" s="172">
        <f t="shared" si="17"/>
        <v>14352</v>
      </c>
      <c r="W22" s="172">
        <f>SUM(W17:W21)</f>
        <v>13281</v>
      </c>
      <c r="X22" s="172">
        <f t="shared" ref="X22:AG22" si="18">SUM(X17:X21)</f>
        <v>17876</v>
      </c>
      <c r="Y22" s="172">
        <f t="shared" si="18"/>
        <v>15209</v>
      </c>
      <c r="Z22" s="172">
        <f t="shared" si="18"/>
        <v>16531</v>
      </c>
      <c r="AA22" s="172">
        <f t="shared" si="18"/>
        <v>17156</v>
      </c>
      <c r="AB22" s="251">
        <f t="shared" si="18"/>
        <v>16149</v>
      </c>
      <c r="AC22" s="251">
        <f t="shared" si="18"/>
        <v>15894</v>
      </c>
      <c r="AD22" s="251">
        <f t="shared" si="18"/>
        <v>16910</v>
      </c>
      <c r="AE22" s="251">
        <f t="shared" si="18"/>
        <v>15982</v>
      </c>
      <c r="AF22" s="251">
        <f t="shared" si="18"/>
        <v>15634</v>
      </c>
      <c r="AG22" s="251">
        <f t="shared" si="18"/>
        <v>14455</v>
      </c>
      <c r="AH22" s="251">
        <f t="shared" ref="AH22:AI22" si="19">SUM(AH17:AH21)</f>
        <v>15780</v>
      </c>
      <c r="AI22" s="251">
        <f t="shared" si="19"/>
        <v>18382</v>
      </c>
      <c r="AJ22" s="251">
        <f t="shared" ref="AJ22:AK22" si="20">SUM(AJ17:AJ21)</f>
        <v>17215</v>
      </c>
      <c r="AK22" s="251">
        <f t="shared" si="20"/>
        <v>17871</v>
      </c>
      <c r="AL22" s="251">
        <f t="shared" ref="AL22:AM22" si="21">SUM(AL17:AL21)</f>
        <v>18220</v>
      </c>
      <c r="AM22" s="251">
        <f t="shared" si="21"/>
        <v>18828</v>
      </c>
      <c r="AN22" s="251">
        <f t="shared" ref="AN22:AO22" si="22">SUM(AN17:AN21)</f>
        <v>18501</v>
      </c>
      <c r="AO22" s="251">
        <f t="shared" si="22"/>
        <v>18307</v>
      </c>
      <c r="AP22" s="251">
        <f t="shared" ref="AP22:AQ22" si="23">SUM(AP17:AP21)</f>
        <v>18424</v>
      </c>
      <c r="AQ22" s="251">
        <f t="shared" si="23"/>
        <v>16130</v>
      </c>
      <c r="AR22" s="251">
        <f t="shared" ref="AR22:AS22" si="24">SUM(AR17:AR21)</f>
        <v>16881</v>
      </c>
      <c r="AS22" s="251">
        <f t="shared" si="24"/>
        <v>16168</v>
      </c>
      <c r="AT22" s="251">
        <f t="shared" ref="AT22:AU22" si="25">SUM(AT17:AT21)</f>
        <v>16412</v>
      </c>
      <c r="AU22" s="251">
        <f t="shared" si="25"/>
        <v>15933</v>
      </c>
      <c r="AV22" s="251">
        <f t="shared" ref="AV22:AW22" si="26">SUM(AV17:AV21)</f>
        <v>17046</v>
      </c>
      <c r="AW22" s="251">
        <f t="shared" si="26"/>
        <v>19408</v>
      </c>
      <c r="AX22" s="251">
        <f t="shared" ref="AX22" si="27">SUM(AX17:AX21)</f>
        <v>18410</v>
      </c>
    </row>
    <row r="23" spans="1:51"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row>
    <row r="24" spans="1:51"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row>
    <row r="25" spans="1:51"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515"/>
    </row>
    <row r="26" spans="1:51"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row>
    <row r="27" spans="1:51"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row>
    <row r="28" spans="1:51"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row>
    <row r="29" spans="1:51" x14ac:dyDescent="0.25">
      <c r="A29" s="4"/>
      <c r="B29" s="35" t="s">
        <v>41</v>
      </c>
      <c r="C29" s="131">
        <f>SUM(C24:C28)</f>
        <v>11180</v>
      </c>
      <c r="D29" s="71">
        <f>SUM(D24:D28)</f>
        <v>10990</v>
      </c>
      <c r="E29" s="71">
        <f t="shared" ref="E29:AG29" si="28">SUM(E24:E28)</f>
        <v>11191</v>
      </c>
      <c r="F29" s="71">
        <f t="shared" si="28"/>
        <v>11162</v>
      </c>
      <c r="G29" s="71">
        <f t="shared" si="28"/>
        <v>10324</v>
      </c>
      <c r="H29" s="71">
        <f t="shared" si="28"/>
        <v>11654</v>
      </c>
      <c r="I29" s="71">
        <f t="shared" si="28"/>
        <v>11420</v>
      </c>
      <c r="J29" s="71">
        <f t="shared" si="28"/>
        <v>11183</v>
      </c>
      <c r="K29" s="71">
        <f t="shared" si="28"/>
        <v>11577</v>
      </c>
      <c r="L29" s="162">
        <f t="shared" si="28"/>
        <v>11341</v>
      </c>
      <c r="M29" s="71">
        <f t="shared" si="28"/>
        <v>11463</v>
      </c>
      <c r="N29" s="71">
        <f t="shared" si="28"/>
        <v>10747</v>
      </c>
      <c r="O29" s="71">
        <f t="shared" si="28"/>
        <v>9699</v>
      </c>
      <c r="P29" s="71">
        <f t="shared" si="28"/>
        <v>11301</v>
      </c>
      <c r="Q29" s="71">
        <f t="shared" si="28"/>
        <v>11907</v>
      </c>
      <c r="R29" s="71">
        <f t="shared" si="28"/>
        <v>12816</v>
      </c>
      <c r="S29" s="71">
        <f t="shared" si="28"/>
        <v>12429</v>
      </c>
      <c r="T29" s="71">
        <f t="shared" si="28"/>
        <v>12473</v>
      </c>
      <c r="U29" s="172">
        <f t="shared" si="28"/>
        <v>12441</v>
      </c>
      <c r="V29" s="172">
        <f t="shared" si="28"/>
        <v>12695</v>
      </c>
      <c r="W29" s="172">
        <f t="shared" si="28"/>
        <v>12196</v>
      </c>
      <c r="X29" s="172">
        <f t="shared" si="28"/>
        <v>12793</v>
      </c>
      <c r="Y29" s="172">
        <f t="shared" si="28"/>
        <v>12060</v>
      </c>
      <c r="Z29" s="172">
        <f t="shared" si="28"/>
        <v>11442</v>
      </c>
      <c r="AA29" s="172">
        <f t="shared" si="28"/>
        <v>12985</v>
      </c>
      <c r="AB29" s="251">
        <f t="shared" si="28"/>
        <v>12162</v>
      </c>
      <c r="AC29" s="251">
        <f t="shared" si="28"/>
        <v>12462</v>
      </c>
      <c r="AD29" s="251">
        <f t="shared" si="28"/>
        <v>11296</v>
      </c>
      <c r="AE29" s="251">
        <f t="shared" si="28"/>
        <v>12938</v>
      </c>
      <c r="AF29" s="251">
        <f t="shared" si="28"/>
        <v>12456</v>
      </c>
      <c r="AG29" s="251">
        <f t="shared" si="28"/>
        <v>12449</v>
      </c>
      <c r="AH29" s="251">
        <f t="shared" ref="AH29:AI29" si="29">SUM(AH24:AH28)</f>
        <v>12359</v>
      </c>
      <c r="AI29" s="251">
        <f t="shared" si="29"/>
        <v>12829</v>
      </c>
      <c r="AJ29" s="251">
        <f t="shared" ref="AJ29:AK29" si="30">SUM(AJ24:AJ28)</f>
        <v>12391</v>
      </c>
      <c r="AK29" s="251">
        <f t="shared" si="30"/>
        <v>11825</v>
      </c>
      <c r="AL29" s="251">
        <f t="shared" ref="AL29:AM29" si="31">SUM(AL24:AL28)</f>
        <v>12043</v>
      </c>
      <c r="AM29" s="251">
        <f t="shared" si="31"/>
        <v>12202</v>
      </c>
      <c r="AN29" s="251">
        <f t="shared" ref="AN29:AO29" si="32">SUM(AN24:AN28)</f>
        <v>12805</v>
      </c>
      <c r="AO29" s="251">
        <f t="shared" si="32"/>
        <v>12301</v>
      </c>
      <c r="AP29" s="251">
        <f t="shared" ref="AP29:AQ29" si="33">SUM(AP24:AP28)</f>
        <v>13123</v>
      </c>
      <c r="AQ29" s="251">
        <f t="shared" si="33"/>
        <v>12806</v>
      </c>
      <c r="AR29" s="251">
        <f t="shared" ref="AR29:AS29" si="34">SUM(AR24:AR28)</f>
        <v>12941</v>
      </c>
      <c r="AS29" s="251">
        <f t="shared" si="34"/>
        <v>12438</v>
      </c>
      <c r="AT29" s="251">
        <f t="shared" ref="AT29:AU29" si="35">SUM(AT24:AT28)</f>
        <v>12700</v>
      </c>
      <c r="AU29" s="251">
        <f t="shared" si="35"/>
        <v>12570</v>
      </c>
      <c r="AV29" s="251">
        <f t="shared" ref="AV29:AW29" si="36">SUM(AV24:AV28)</f>
        <v>12344</v>
      </c>
      <c r="AW29" s="251">
        <f t="shared" si="36"/>
        <v>11564</v>
      </c>
      <c r="AX29" s="251">
        <f t="shared" ref="AX29" si="37">SUM(AX24:AX28)</f>
        <v>9885</v>
      </c>
    </row>
    <row r="30" spans="1:51"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row>
    <row r="31" spans="1:51"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row>
    <row r="32" spans="1:51"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row>
    <row r="33" spans="1:50"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row>
    <row r="34" spans="1:50"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row>
    <row r="35" spans="1:50"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row>
    <row r="36" spans="1:50" ht="15.75" thickBot="1" x14ac:dyDescent="0.3">
      <c r="A36" s="4"/>
      <c r="B36" s="37" t="s">
        <v>41</v>
      </c>
      <c r="C36" s="122">
        <f>SUM(C31:C35)</f>
        <v>6990</v>
      </c>
      <c r="D36" s="60">
        <f>SUM(D31:D35)</f>
        <v>7375</v>
      </c>
      <c r="E36" s="60">
        <f t="shared" ref="E36:V36" si="38">SUM(E31:E35)</f>
        <v>7578</v>
      </c>
      <c r="F36" s="60">
        <f t="shared" si="38"/>
        <v>7547</v>
      </c>
      <c r="G36" s="60">
        <f t="shared" si="38"/>
        <v>8001</v>
      </c>
      <c r="H36" s="60">
        <f t="shared" si="38"/>
        <v>8286</v>
      </c>
      <c r="I36" s="60">
        <f t="shared" si="38"/>
        <v>8730</v>
      </c>
      <c r="J36" s="60">
        <f t="shared" si="38"/>
        <v>8594</v>
      </c>
      <c r="K36" s="60">
        <f t="shared" si="38"/>
        <v>8781</v>
      </c>
      <c r="L36" s="163">
        <f t="shared" si="38"/>
        <v>8874</v>
      </c>
      <c r="M36" s="60">
        <f t="shared" si="38"/>
        <v>8839</v>
      </c>
      <c r="N36" s="60">
        <f t="shared" si="38"/>
        <v>8574</v>
      </c>
      <c r="O36" s="60">
        <f t="shared" si="38"/>
        <v>8678</v>
      </c>
      <c r="P36" s="60">
        <f t="shared" si="38"/>
        <v>8848</v>
      </c>
      <c r="Q36" s="60">
        <f t="shared" si="38"/>
        <v>8800</v>
      </c>
      <c r="R36" s="60">
        <f t="shared" si="38"/>
        <v>8746</v>
      </c>
      <c r="S36" s="60">
        <f t="shared" si="38"/>
        <v>8832</v>
      </c>
      <c r="T36" s="60">
        <f t="shared" si="38"/>
        <v>9212</v>
      </c>
      <c r="U36" s="173">
        <f t="shared" si="38"/>
        <v>9905</v>
      </c>
      <c r="V36" s="173">
        <f t="shared" si="38"/>
        <v>10688</v>
      </c>
      <c r="W36" s="173">
        <f>SUM(W31:W35)</f>
        <v>10405</v>
      </c>
      <c r="X36" s="173">
        <f t="shared" ref="X36:AG36" si="39">SUM(X31:X35)</f>
        <v>10863</v>
      </c>
      <c r="Y36" s="173">
        <f t="shared" si="39"/>
        <v>10967</v>
      </c>
      <c r="Z36" s="173">
        <f t="shared" si="39"/>
        <v>11236</v>
      </c>
      <c r="AA36" s="173">
        <f t="shared" si="39"/>
        <v>10926</v>
      </c>
      <c r="AB36" s="252">
        <f t="shared" si="39"/>
        <v>11025</v>
      </c>
      <c r="AC36" s="252">
        <f t="shared" si="39"/>
        <v>11189</v>
      </c>
      <c r="AD36" s="252">
        <f t="shared" si="39"/>
        <v>11362</v>
      </c>
      <c r="AE36" s="252">
        <f t="shared" si="39"/>
        <v>11078</v>
      </c>
      <c r="AF36" s="252">
        <f t="shared" si="39"/>
        <v>10716</v>
      </c>
      <c r="AG36" s="252">
        <f t="shared" si="39"/>
        <v>10794</v>
      </c>
      <c r="AH36" s="252">
        <f t="shared" ref="AH36:AI36" si="40">SUM(AH31:AH35)</f>
        <v>10790</v>
      </c>
      <c r="AI36" s="252">
        <f t="shared" si="40"/>
        <v>11332</v>
      </c>
      <c r="AJ36" s="252">
        <f t="shared" ref="AJ36:AK36" si="41">SUM(AJ31:AJ35)</f>
        <v>11292</v>
      </c>
      <c r="AK36" s="252">
        <f t="shared" si="41"/>
        <v>11266</v>
      </c>
      <c r="AL36" s="252">
        <f t="shared" ref="AL36:AM36" si="42">SUM(AL31:AL35)</f>
        <v>11321</v>
      </c>
      <c r="AM36" s="252">
        <f t="shared" si="42"/>
        <v>10991</v>
      </c>
      <c r="AN36" s="252">
        <f t="shared" ref="AN36:AO36" si="43">SUM(AN31:AN35)</f>
        <v>11100</v>
      </c>
      <c r="AO36" s="252">
        <f t="shared" si="43"/>
        <v>11003</v>
      </c>
      <c r="AP36" s="252">
        <f t="shared" ref="AP36:AQ36" si="44">SUM(AP31:AP35)</f>
        <v>11218</v>
      </c>
      <c r="AQ36" s="252">
        <f t="shared" si="44"/>
        <v>11022</v>
      </c>
      <c r="AR36" s="252">
        <f t="shared" ref="AR36:AS36" si="45">SUM(AR31:AR35)</f>
        <v>11274</v>
      </c>
      <c r="AS36" s="252">
        <f t="shared" si="45"/>
        <v>10997</v>
      </c>
      <c r="AT36" s="252">
        <f t="shared" ref="AT36:AU36" si="46">SUM(AT31:AT35)</f>
        <v>11261</v>
      </c>
      <c r="AU36" s="252">
        <f t="shared" si="46"/>
        <v>11435</v>
      </c>
      <c r="AV36" s="252">
        <f t="shared" ref="AV36:AW36" si="47">SUM(AV31:AV35)</f>
        <v>11256</v>
      </c>
      <c r="AW36" s="252">
        <f t="shared" si="47"/>
        <v>10882</v>
      </c>
      <c r="AX36" s="252">
        <f t="shared" ref="AX36" si="48">SUM(AX31:AX35)</f>
        <v>10754</v>
      </c>
    </row>
    <row r="37" spans="1:50"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row>
    <row r="38" spans="1:50"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row>
    <row r="39" spans="1:50"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row>
    <row r="40" spans="1:50"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row>
    <row r="41" spans="1:50"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row>
    <row r="42" spans="1:50"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row>
    <row r="43" spans="1:50" x14ac:dyDescent="0.25">
      <c r="A43" s="4"/>
      <c r="B43" s="35" t="s">
        <v>41</v>
      </c>
      <c r="C43" s="108">
        <f>SUM(C38:C42)</f>
        <v>2586010.04</v>
      </c>
      <c r="D43" s="79">
        <f>SUM(D38:D42)</f>
        <v>2448089.62</v>
      </c>
      <c r="E43" s="79">
        <f t="shared" ref="E43:AG43" si="49">SUM(E38:E42)</f>
        <v>2470469.0100000002</v>
      </c>
      <c r="F43" s="79">
        <f t="shared" si="49"/>
        <v>2242417.4899999998</v>
      </c>
      <c r="G43" s="79">
        <f t="shared" si="49"/>
        <v>2163061.3199999998</v>
      </c>
      <c r="H43" s="79">
        <f>SUM(H38:H42)</f>
        <v>1938750.42</v>
      </c>
      <c r="I43" s="79">
        <f t="shared" si="49"/>
        <v>2116810.9</v>
      </c>
      <c r="J43" s="79">
        <f t="shared" si="49"/>
        <v>2045737.49</v>
      </c>
      <c r="K43" s="79">
        <f t="shared" si="49"/>
        <v>1714717.23</v>
      </c>
      <c r="L43" s="110">
        <f t="shared" si="49"/>
        <v>1720436.0800000003</v>
      </c>
      <c r="M43" s="79">
        <f t="shared" si="49"/>
        <v>1446523.02</v>
      </c>
      <c r="N43" s="79">
        <f t="shared" si="49"/>
        <v>1383423.34</v>
      </c>
      <c r="O43" s="79">
        <f t="shared" si="49"/>
        <v>1190864.7499999998</v>
      </c>
      <c r="P43" s="79">
        <f t="shared" si="49"/>
        <v>904282</v>
      </c>
      <c r="Q43" s="79">
        <f t="shared" si="49"/>
        <v>803294.1100000001</v>
      </c>
      <c r="R43" s="79">
        <f t="shared" si="49"/>
        <v>662743.52</v>
      </c>
      <c r="S43" s="79">
        <f t="shared" si="49"/>
        <v>566437.17000000004</v>
      </c>
      <c r="T43" s="79">
        <f t="shared" si="49"/>
        <v>610861.44999999995</v>
      </c>
      <c r="U43" s="175">
        <f t="shared" si="49"/>
        <v>572795.44000000006</v>
      </c>
      <c r="V43" s="175">
        <f t="shared" si="49"/>
        <v>682432.27999999991</v>
      </c>
      <c r="W43" s="175">
        <f t="shared" si="49"/>
        <v>612375.41</v>
      </c>
      <c r="X43" s="175">
        <f t="shared" si="49"/>
        <v>845815.99</v>
      </c>
      <c r="Y43" s="175">
        <f t="shared" si="49"/>
        <v>726524.77</v>
      </c>
      <c r="Z43" s="175">
        <f t="shared" si="49"/>
        <v>649948.76000000013</v>
      </c>
      <c r="AA43" s="175">
        <f t="shared" si="49"/>
        <v>708504.4</v>
      </c>
      <c r="AB43" s="109">
        <f t="shared" si="49"/>
        <v>706524.05</v>
      </c>
      <c r="AC43" s="273">
        <f t="shared" si="49"/>
        <v>810270</v>
      </c>
      <c r="AD43" s="273">
        <f t="shared" si="49"/>
        <v>795356.93999999983</v>
      </c>
      <c r="AE43" s="273">
        <f t="shared" si="49"/>
        <v>695486.08000000007</v>
      </c>
      <c r="AF43" s="273">
        <f t="shared" si="49"/>
        <v>766028.11</v>
      </c>
      <c r="AG43" s="334">
        <f t="shared" si="49"/>
        <v>664360.16</v>
      </c>
      <c r="AH43" s="334">
        <f t="shared" ref="AH43:AI43" si="50">SUM(AH38:AH42)</f>
        <v>687766.88000000012</v>
      </c>
      <c r="AI43" s="334">
        <f t="shared" si="50"/>
        <v>792573.58</v>
      </c>
      <c r="AJ43" s="334">
        <f t="shared" ref="AJ43:AK43" si="51">SUM(AJ38:AJ42)</f>
        <v>784777.55</v>
      </c>
      <c r="AK43" s="334">
        <f t="shared" si="51"/>
        <v>921374.52</v>
      </c>
      <c r="AL43" s="334">
        <f t="shared" ref="AL43:AM43" si="52">SUM(AL38:AL42)</f>
        <v>958880.02</v>
      </c>
      <c r="AM43" s="334">
        <f t="shared" si="52"/>
        <v>1165412.58</v>
      </c>
      <c r="AN43" s="334">
        <f t="shared" ref="AN43:AO43" si="53">SUM(AN38:AN42)</f>
        <v>1171775.6500000001</v>
      </c>
      <c r="AO43" s="334">
        <f t="shared" si="53"/>
        <v>1404598.5399999998</v>
      </c>
      <c r="AP43" s="334">
        <f t="shared" ref="AP43:AQ43" si="54">SUM(AP38:AP42)</f>
        <v>1677611.44</v>
      </c>
      <c r="AQ43" s="334">
        <f t="shared" si="54"/>
        <v>1699904.32</v>
      </c>
      <c r="AR43" s="334">
        <f t="shared" ref="AR43:AS43" si="55">SUM(AR38:AR42)</f>
        <v>2127393.15</v>
      </c>
      <c r="AS43" s="334">
        <f t="shared" si="55"/>
        <v>2076517.08</v>
      </c>
      <c r="AT43" s="334">
        <f t="shared" ref="AT43:AU43" si="56">SUM(AT38:AT42)</f>
        <v>2863318.44</v>
      </c>
      <c r="AU43" s="334">
        <f t="shared" si="56"/>
        <v>2853471.6599999997</v>
      </c>
      <c r="AV43" s="334">
        <f t="shared" ref="AV43:AW43" si="57">SUM(AV38:AV42)</f>
        <v>3372016.6</v>
      </c>
      <c r="AW43" s="334">
        <f t="shared" si="57"/>
        <v>3815391.74</v>
      </c>
      <c r="AX43" s="334">
        <f t="shared" ref="AX43" si="58">SUM(AX38:AX42)</f>
        <v>3481467.5100000002</v>
      </c>
    </row>
    <row r="44" spans="1:50"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row>
    <row r="45" spans="1:50"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row>
    <row r="46" spans="1:50"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row>
    <row r="47" spans="1:50"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row>
    <row r="48" spans="1:50"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row>
    <row r="49" spans="1:50"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row>
    <row r="50" spans="1:50" x14ac:dyDescent="0.25">
      <c r="A50" s="4"/>
      <c r="B50" s="35" t="s">
        <v>41</v>
      </c>
      <c r="C50" s="108">
        <f>SUM(C45:C49)</f>
        <v>1784025.75</v>
      </c>
      <c r="D50" s="79">
        <f>SUM(D45:D49)</f>
        <v>1652125.3800000001</v>
      </c>
      <c r="E50" s="79">
        <f t="shared" ref="E50:AG50" si="59">SUM(E45:E49)</f>
        <v>1502977.7</v>
      </c>
      <c r="F50" s="79">
        <f t="shared" si="59"/>
        <v>1579373.6800000002</v>
      </c>
      <c r="G50" s="79">
        <f t="shared" si="59"/>
        <v>1474379.4600000002</v>
      </c>
      <c r="H50" s="79">
        <f>SUM(H45:H49)</f>
        <v>1638306.2</v>
      </c>
      <c r="I50" s="79">
        <f>SUM(I45:I49)</f>
        <v>1572700.55</v>
      </c>
      <c r="J50" s="79">
        <f t="shared" si="59"/>
        <v>1490134.5099999998</v>
      </c>
      <c r="K50" s="79">
        <f t="shared" si="59"/>
        <v>1444513.4100000001</v>
      </c>
      <c r="L50" s="110">
        <f t="shared" si="59"/>
        <v>1356099.0799999998</v>
      </c>
      <c r="M50" s="79">
        <f t="shared" si="59"/>
        <v>1293320.3400000001</v>
      </c>
      <c r="N50" s="79">
        <f t="shared" si="59"/>
        <v>1287667.1999999997</v>
      </c>
      <c r="O50" s="79">
        <f t="shared" si="59"/>
        <v>1139991.1199999999</v>
      </c>
      <c r="P50" s="79">
        <f t="shared" si="59"/>
        <v>1183894.4999999998</v>
      </c>
      <c r="Q50" s="79">
        <f t="shared" si="59"/>
        <v>1124328.25</v>
      </c>
      <c r="R50" s="79">
        <f t="shared" si="59"/>
        <v>964954.19000000006</v>
      </c>
      <c r="S50" s="79">
        <f t="shared" si="59"/>
        <v>853738.09000000008</v>
      </c>
      <c r="T50" s="79">
        <f t="shared" si="59"/>
        <v>781506.21999999986</v>
      </c>
      <c r="U50" s="175">
        <f t="shared" si="59"/>
        <v>588010.24000000011</v>
      </c>
      <c r="V50" s="175">
        <f t="shared" si="59"/>
        <v>509126.63</v>
      </c>
      <c r="W50" s="175">
        <f t="shared" si="59"/>
        <v>453812.94</v>
      </c>
      <c r="X50" s="175">
        <f t="shared" si="59"/>
        <v>417968.99</v>
      </c>
      <c r="Y50" s="175">
        <f t="shared" si="59"/>
        <v>402894.30999999994</v>
      </c>
      <c r="Z50" s="175">
        <f t="shared" si="59"/>
        <v>363279.76</v>
      </c>
      <c r="AA50" s="175">
        <f t="shared" si="59"/>
        <v>426188.24000000005</v>
      </c>
      <c r="AB50" s="109">
        <f t="shared" si="59"/>
        <v>418377.02999999997</v>
      </c>
      <c r="AC50" s="273">
        <f t="shared" si="59"/>
        <v>441523.35</v>
      </c>
      <c r="AD50" s="273">
        <f t="shared" si="59"/>
        <v>446720.92</v>
      </c>
      <c r="AE50" s="273">
        <f t="shared" si="59"/>
        <v>558903.84</v>
      </c>
      <c r="AF50" s="273">
        <f t="shared" si="59"/>
        <v>522939.72000000003</v>
      </c>
      <c r="AG50" s="334">
        <f t="shared" si="59"/>
        <v>609668.89999999991</v>
      </c>
      <c r="AH50" s="334">
        <f t="shared" ref="AH50:AI50" si="60">SUM(AH45:AH49)</f>
        <v>618959.56999999995</v>
      </c>
      <c r="AI50" s="334">
        <f t="shared" si="60"/>
        <v>571063.28</v>
      </c>
      <c r="AJ50" s="334">
        <f t="shared" ref="AJ50:AK50" si="61">SUM(AJ45:AJ49)</f>
        <v>556007.19999999995</v>
      </c>
      <c r="AK50" s="334">
        <f t="shared" si="61"/>
        <v>536576.43999999994</v>
      </c>
      <c r="AL50" s="334">
        <f t="shared" ref="AL50:AM50" si="62">SUM(AL45:AL49)</f>
        <v>524306</v>
      </c>
      <c r="AM50" s="334">
        <f t="shared" si="62"/>
        <v>517993.8</v>
      </c>
      <c r="AN50" s="334">
        <f t="shared" ref="AN50:AO50" si="63">SUM(AN45:AN49)</f>
        <v>536986.07999999996</v>
      </c>
      <c r="AO50" s="334">
        <f t="shared" si="63"/>
        <v>525207.74</v>
      </c>
      <c r="AP50" s="334">
        <f t="shared" ref="AP50:AQ50" si="64">SUM(AP45:AP49)</f>
        <v>610699.44000000006</v>
      </c>
      <c r="AQ50" s="334">
        <f t="shared" si="64"/>
        <v>719830.93</v>
      </c>
      <c r="AR50" s="334">
        <f t="shared" ref="AR50:AS50" si="65">SUM(AR45:AR49)</f>
        <v>774255.57000000007</v>
      </c>
      <c r="AS50" s="334">
        <f t="shared" si="65"/>
        <v>798481.98</v>
      </c>
      <c r="AT50" s="334">
        <f t="shared" ref="AT50:AU50" si="66">SUM(AT45:AT49)</f>
        <v>1082207.81</v>
      </c>
      <c r="AU50" s="334">
        <f t="shared" si="66"/>
        <v>1094614.47</v>
      </c>
      <c r="AV50" s="334">
        <f t="shared" ref="AV50:AW50" si="67">SUM(AV45:AV49)</f>
        <v>1336183.08</v>
      </c>
      <c r="AW50" s="334">
        <f t="shared" si="67"/>
        <v>1342226.2100000002</v>
      </c>
      <c r="AX50" s="334">
        <f t="shared" ref="AX50" si="68">SUM(AX45:AX49)</f>
        <v>1271634.82</v>
      </c>
    </row>
    <row r="51" spans="1:50"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row>
    <row r="52" spans="1:50"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row>
    <row r="53" spans="1:50"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row>
    <row r="54" spans="1:50"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row>
    <row r="55" spans="1:50"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row>
    <row r="56" spans="1:50"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row>
    <row r="57" spans="1:50" x14ac:dyDescent="0.25">
      <c r="A57" s="4"/>
      <c r="B57" s="35" t="s">
        <v>41</v>
      </c>
      <c r="C57" s="108">
        <f>SUM(C52:C56)</f>
        <v>1996955.9900000002</v>
      </c>
      <c r="D57" s="79">
        <f>SUM(D52:D56)</f>
        <v>2255188.77</v>
      </c>
      <c r="E57" s="79">
        <f t="shared" ref="E57:AG57" si="69">SUM(E52:E56)</f>
        <v>2461382.44</v>
      </c>
      <c r="F57" s="79">
        <f t="shared" si="69"/>
        <v>2466540.7200000007</v>
      </c>
      <c r="G57" s="79">
        <f t="shared" si="69"/>
        <v>2681467.5</v>
      </c>
      <c r="H57" s="79">
        <f t="shared" si="69"/>
        <v>2861329.7600000002</v>
      </c>
      <c r="I57" s="79">
        <f t="shared" si="69"/>
        <v>3168062.0900000003</v>
      </c>
      <c r="J57" s="79">
        <f t="shared" si="69"/>
        <v>3199264.12</v>
      </c>
      <c r="K57" s="79">
        <f t="shared" si="69"/>
        <v>3369560.7</v>
      </c>
      <c r="L57" s="110">
        <f t="shared" si="69"/>
        <v>3415988.12</v>
      </c>
      <c r="M57" s="79">
        <f t="shared" si="69"/>
        <v>3396447.76</v>
      </c>
      <c r="N57" s="79">
        <f t="shared" si="69"/>
        <v>3281244.92</v>
      </c>
      <c r="O57" s="79">
        <f t="shared" si="69"/>
        <v>3294462.43</v>
      </c>
      <c r="P57" s="79">
        <f t="shared" si="69"/>
        <v>3444846.7600000007</v>
      </c>
      <c r="Q57" s="79">
        <f t="shared" si="69"/>
        <v>3468520.64</v>
      </c>
      <c r="R57" s="79">
        <f t="shared" si="69"/>
        <v>3541341.3400000003</v>
      </c>
      <c r="S57" s="79">
        <f t="shared" si="69"/>
        <v>3584904.86</v>
      </c>
      <c r="T57" s="79">
        <f t="shared" si="69"/>
        <v>3550041.3699999996</v>
      </c>
      <c r="U57" s="175">
        <f t="shared" si="69"/>
        <v>3660268.4899999998</v>
      </c>
      <c r="V57" s="175">
        <f t="shared" si="69"/>
        <v>3775138.08</v>
      </c>
      <c r="W57" s="175">
        <f t="shared" si="69"/>
        <v>3661167.3499999996</v>
      </c>
      <c r="X57" s="175">
        <f t="shared" si="69"/>
        <v>3662968.82</v>
      </c>
      <c r="Y57" s="175">
        <f t="shared" si="69"/>
        <v>3671070.41</v>
      </c>
      <c r="Z57" s="175">
        <f t="shared" si="69"/>
        <v>3723459.9899999998</v>
      </c>
      <c r="AA57" s="175">
        <f t="shared" si="69"/>
        <v>3560446.7000000007</v>
      </c>
      <c r="AB57" s="109">
        <f t="shared" si="69"/>
        <v>3552167.6199999996</v>
      </c>
      <c r="AC57" s="273">
        <f t="shared" si="69"/>
        <v>3579206.9899999998</v>
      </c>
      <c r="AD57" s="273">
        <f t="shared" si="69"/>
        <v>3523248.2899999996</v>
      </c>
      <c r="AE57" s="273">
        <f t="shared" si="69"/>
        <v>3370969.83</v>
      </c>
      <c r="AF57" s="273">
        <f t="shared" si="69"/>
        <v>3229724.7</v>
      </c>
      <c r="AG57" s="334">
        <f t="shared" si="69"/>
        <v>3212914.3000000003</v>
      </c>
      <c r="AH57" s="334">
        <f t="shared" ref="AH57:AI57" si="70">SUM(AH52:AH56)</f>
        <v>3204856.0900000003</v>
      </c>
      <c r="AI57" s="334">
        <f t="shared" si="70"/>
        <v>3406105.67</v>
      </c>
      <c r="AJ57" s="334">
        <f t="shared" ref="AJ57:AK57" si="71">SUM(AJ52:AJ56)</f>
        <v>3392076.9899999998</v>
      </c>
      <c r="AK57" s="334">
        <f t="shared" si="71"/>
        <v>3408986.2399999998</v>
      </c>
      <c r="AL57" s="334">
        <f t="shared" ref="AL57:AM57" si="72">SUM(AL52:AL56)</f>
        <v>3485850.37</v>
      </c>
      <c r="AM57" s="334">
        <f t="shared" si="72"/>
        <v>3421977.8400000003</v>
      </c>
      <c r="AN57" s="334">
        <f t="shared" ref="AN57:AO57" si="73">SUM(AN52:AN56)</f>
        <v>3498292.2399999998</v>
      </c>
      <c r="AO57" s="334">
        <f t="shared" si="73"/>
        <v>3483189.9000000004</v>
      </c>
      <c r="AP57" s="334">
        <f t="shared" ref="AP57:AQ57" si="74">SUM(AP52:AP56)</f>
        <v>3564284.93</v>
      </c>
      <c r="AQ57" s="334">
        <f t="shared" si="74"/>
        <v>3548481.5499999993</v>
      </c>
      <c r="AR57" s="334">
        <f t="shared" ref="AR57:AS57" si="75">SUM(AR52:AR56)</f>
        <v>3670327.15</v>
      </c>
      <c r="AS57" s="334">
        <f t="shared" si="75"/>
        <v>3604078.05</v>
      </c>
      <c r="AT57" s="334">
        <f t="shared" ref="AT57:AU57" si="76">SUM(AT52:AT56)</f>
        <v>3723402.74</v>
      </c>
      <c r="AU57" s="334">
        <f t="shared" si="76"/>
        <v>3792414.3100000005</v>
      </c>
      <c r="AV57" s="334">
        <f t="shared" ref="AV57:AW57" si="77">SUM(AV52:AV56)</f>
        <v>3790331.9099999997</v>
      </c>
      <c r="AW57" s="334">
        <f t="shared" si="77"/>
        <v>3754561.8400000003</v>
      </c>
      <c r="AX57" s="334">
        <f t="shared" ref="AX57" si="78">SUM(AX52:AX56)</f>
        <v>3880561.7100000004</v>
      </c>
    </row>
    <row r="58" spans="1:50"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row>
    <row r="59" spans="1:50" x14ac:dyDescent="0.25">
      <c r="A59" s="4"/>
      <c r="B59" s="35" t="s">
        <v>36</v>
      </c>
      <c r="C59" s="227">
        <f>SUM(C38+C45+C52)</f>
        <v>3826695.65</v>
      </c>
      <c r="D59" s="77">
        <f>SUM(D38+D45+D52)</f>
        <v>3818671.59</v>
      </c>
      <c r="E59" s="77">
        <f>SUM(E38+E45+E52)</f>
        <v>3838253.42</v>
      </c>
      <c r="F59" s="77">
        <f t="shared" ref="F59:AG59" si="79">SUM(F38+F45+F52)</f>
        <v>3806505.1900000004</v>
      </c>
      <c r="G59" s="77">
        <f t="shared" si="79"/>
        <v>3823123.29</v>
      </c>
      <c r="H59" s="77">
        <f>SUM(H38+H52+H45)</f>
        <v>3934165.3300000005</v>
      </c>
      <c r="I59" s="77">
        <f t="shared" si="79"/>
        <v>4065137.2300000004</v>
      </c>
      <c r="J59" s="77">
        <f t="shared" si="79"/>
        <v>4014844.29</v>
      </c>
      <c r="K59" s="77">
        <f t="shared" si="79"/>
        <v>4014264.08</v>
      </c>
      <c r="L59" s="78">
        <f t="shared" si="79"/>
        <v>4227082.0500000007</v>
      </c>
      <c r="M59" s="79">
        <f t="shared" si="79"/>
        <v>4336213.28</v>
      </c>
      <c r="N59" s="79">
        <f t="shared" si="79"/>
        <v>4439648.2699999996</v>
      </c>
      <c r="O59" s="79">
        <f t="shared" si="79"/>
        <v>4371216.63</v>
      </c>
      <c r="P59" s="79">
        <f t="shared" si="79"/>
        <v>4293148.4000000004</v>
      </c>
      <c r="Q59" s="79">
        <f t="shared" si="79"/>
        <v>3966386.17</v>
      </c>
      <c r="R59" s="79">
        <f t="shared" si="79"/>
        <v>3937995.4000000004</v>
      </c>
      <c r="S59" s="79">
        <f t="shared" si="79"/>
        <v>3794364.2</v>
      </c>
      <c r="T59" s="79">
        <f t="shared" si="79"/>
        <v>3773771.84</v>
      </c>
      <c r="U59" s="189">
        <f t="shared" si="79"/>
        <v>3666658.9299999997</v>
      </c>
      <c r="V59" s="189">
        <f t="shared" si="79"/>
        <v>3626830.38</v>
      </c>
      <c r="W59" s="189">
        <f t="shared" si="79"/>
        <v>3518991.0100000002</v>
      </c>
      <c r="X59" s="189">
        <f t="shared" si="79"/>
        <v>3602157.82</v>
      </c>
      <c r="Y59" s="189">
        <f t="shared" si="79"/>
        <v>3523063.09</v>
      </c>
      <c r="Z59" s="189">
        <f t="shared" si="79"/>
        <v>3529365.59</v>
      </c>
      <c r="AA59" s="189">
        <f t="shared" si="79"/>
        <v>3439204.49</v>
      </c>
      <c r="AB59" s="254">
        <f t="shared" si="79"/>
        <v>3392870.92</v>
      </c>
      <c r="AC59" s="254">
        <f t="shared" si="79"/>
        <v>3397006.97</v>
      </c>
      <c r="AD59" s="254">
        <f t="shared" si="79"/>
        <v>3395212.3600000003</v>
      </c>
      <c r="AE59" s="254">
        <f t="shared" si="79"/>
        <v>3280909.2399999998</v>
      </c>
      <c r="AF59" s="254">
        <f t="shared" si="79"/>
        <v>3140365.71</v>
      </c>
      <c r="AG59" s="335">
        <f t="shared" si="79"/>
        <v>3057907.73</v>
      </c>
      <c r="AH59" s="335">
        <f t="shared" ref="AH59:AI59" si="80">SUM(AH38+AH45+AH52)</f>
        <v>3028735.71</v>
      </c>
      <c r="AI59" s="335">
        <f t="shared" si="80"/>
        <v>3174664.31</v>
      </c>
      <c r="AJ59" s="335">
        <f t="shared" ref="AJ59:AK59" si="81">SUM(AJ38+AJ45+AJ52)</f>
        <v>3122481.41</v>
      </c>
      <c r="AK59" s="335">
        <f t="shared" si="81"/>
        <v>3169054.74</v>
      </c>
      <c r="AL59" s="335">
        <f t="shared" ref="AL59:AM59" si="82">SUM(AL38+AL45+AL52)</f>
        <v>3263874.29</v>
      </c>
      <c r="AM59" s="335">
        <f t="shared" si="82"/>
        <v>3318228.7700000005</v>
      </c>
      <c r="AN59" s="335">
        <f t="shared" ref="AN59:AO59" si="83">SUM(AN38+AN45+AN52)</f>
        <v>3401153.3200000003</v>
      </c>
      <c r="AO59" s="335">
        <f t="shared" si="83"/>
        <v>3509660.58</v>
      </c>
      <c r="AP59" s="335">
        <f t="shared" ref="AP59:AQ59" si="84">SUM(AP38+AP45+AP52)</f>
        <v>3674411.4400000004</v>
      </c>
      <c r="AQ59" s="335">
        <f t="shared" si="84"/>
        <v>3828314.5</v>
      </c>
      <c r="AR59" s="335">
        <f t="shared" ref="AR59:AS59" si="85">SUM(AR38+AR45+AR52)</f>
        <v>4124015.48</v>
      </c>
      <c r="AS59" s="335">
        <f t="shared" si="85"/>
        <v>4100918.99</v>
      </c>
      <c r="AT59" s="335">
        <f t="shared" ref="AT59:AU59" si="86">SUM(AT38+AT45+AT52)</f>
        <v>4930081.28</v>
      </c>
      <c r="AU59" s="335">
        <f t="shared" si="86"/>
        <v>4989657.3100000005</v>
      </c>
      <c r="AV59" s="335">
        <f t="shared" ref="AV59:AW59" si="87">SUM(AV38+AV45+AV52)</f>
        <v>5199406.8100000005</v>
      </c>
      <c r="AW59" s="335">
        <f t="shared" si="87"/>
        <v>5371530.6099999994</v>
      </c>
      <c r="AX59" s="335">
        <f t="shared" ref="AX59" si="88">SUM(AX38+AX45+AX52)</f>
        <v>5560875.9000000004</v>
      </c>
    </row>
    <row r="60" spans="1:50" x14ac:dyDescent="0.25">
      <c r="A60" s="4"/>
      <c r="B60" s="35" t="s">
        <v>37</v>
      </c>
      <c r="C60" s="227">
        <f>SUM(C39+C46+C53)</f>
        <v>1567567.1099999999</v>
      </c>
      <c r="D60" s="77">
        <f t="shared" ref="D60:V63" si="89">SUM(D39+D46+D53)</f>
        <v>1531506.0899999999</v>
      </c>
      <c r="E60" s="77">
        <f t="shared" si="89"/>
        <v>1728976.12</v>
      </c>
      <c r="F60" s="77">
        <f t="shared" si="89"/>
        <v>1665043.56</v>
      </c>
      <c r="G60" s="77">
        <f>SUM(G39+G46+G53)</f>
        <v>1612211.27</v>
      </c>
      <c r="H60" s="77">
        <f>SUM(H39+H46+H53)</f>
        <v>1674980.97</v>
      </c>
      <c r="I60" s="77">
        <f t="shared" si="89"/>
        <v>1758995.21</v>
      </c>
      <c r="J60" s="77">
        <f t="shared" si="89"/>
        <v>1699470.96</v>
      </c>
      <c r="K60" s="77">
        <f t="shared" si="89"/>
        <v>1552718.62</v>
      </c>
      <c r="L60" s="109">
        <f t="shared" si="89"/>
        <v>1298363.8900000001</v>
      </c>
      <c r="M60" s="108">
        <f t="shared" si="89"/>
        <v>908056.27</v>
      </c>
      <c r="N60" s="77">
        <f t="shared" si="89"/>
        <v>658804.68999999994</v>
      </c>
      <c r="O60" s="77">
        <f t="shared" si="89"/>
        <v>477830.5</v>
      </c>
      <c r="P60" s="77">
        <f t="shared" si="89"/>
        <v>480998.02</v>
      </c>
      <c r="Q60" s="77">
        <f t="shared" si="89"/>
        <v>664595.54</v>
      </c>
      <c r="R60" s="77">
        <f t="shared" si="89"/>
        <v>519658.04000000004</v>
      </c>
      <c r="S60" s="77">
        <f t="shared" si="89"/>
        <v>490162.33999999997</v>
      </c>
      <c r="T60" s="77">
        <f t="shared" si="89"/>
        <v>501263.5</v>
      </c>
      <c r="U60" s="189">
        <f t="shared" si="89"/>
        <v>528958.55000000005</v>
      </c>
      <c r="V60" s="189">
        <f t="shared" si="89"/>
        <v>571086.63</v>
      </c>
      <c r="W60" s="189">
        <f>SUM(W39+W46+W53)</f>
        <v>563848.92000000004</v>
      </c>
      <c r="X60" s="189">
        <f t="shared" ref="X60:AG60" si="90">SUM(X39+X46+X53)</f>
        <v>716235.66</v>
      </c>
      <c r="Y60" s="189">
        <f t="shared" si="90"/>
        <v>715829.48</v>
      </c>
      <c r="Z60" s="189">
        <f t="shared" si="90"/>
        <v>833446.94</v>
      </c>
      <c r="AA60" s="189">
        <f t="shared" si="90"/>
        <v>967984.77</v>
      </c>
      <c r="AB60" s="254">
        <f t="shared" si="90"/>
        <v>963097.63</v>
      </c>
      <c r="AC60" s="254">
        <f t="shared" si="90"/>
        <v>1025401.58</v>
      </c>
      <c r="AD60" s="254">
        <f t="shared" si="90"/>
        <v>1028218.38</v>
      </c>
      <c r="AE60" s="254">
        <f t="shared" si="90"/>
        <v>1046998.9500000001</v>
      </c>
      <c r="AF60" s="254">
        <f t="shared" si="90"/>
        <v>1049425.0899999999</v>
      </c>
      <c r="AG60" s="335">
        <f t="shared" si="90"/>
        <v>1072906.6300000001</v>
      </c>
      <c r="AH60" s="335">
        <f t="shared" ref="AH60:AI60" si="91">SUM(AH39+AH46+AH53)</f>
        <v>1141528.8900000001</v>
      </c>
      <c r="AI60" s="335">
        <f t="shared" si="91"/>
        <v>1274737.03</v>
      </c>
      <c r="AJ60" s="335">
        <f t="shared" ref="AJ60:AK60" si="92">SUM(AJ39+AJ46+AJ53)</f>
        <v>1276346.2999999998</v>
      </c>
      <c r="AK60" s="335">
        <f t="shared" si="92"/>
        <v>1301546.6499999999</v>
      </c>
      <c r="AL60" s="335">
        <f t="shared" ref="AL60:AM60" si="93">SUM(AL39+AL46+AL53)</f>
        <v>1327528.98</v>
      </c>
      <c r="AM60" s="335">
        <f t="shared" si="93"/>
        <v>1380122.58</v>
      </c>
      <c r="AN60" s="335">
        <f t="shared" ref="AN60:AO60" si="94">SUM(AN39+AN46+AN53)</f>
        <v>1434201.88</v>
      </c>
      <c r="AO60" s="335">
        <f t="shared" si="94"/>
        <v>1443140.04</v>
      </c>
      <c r="AP60" s="335">
        <f t="shared" ref="AP60:AQ60" si="95">SUM(AP39+AP46+AP53)</f>
        <v>1552276.1400000001</v>
      </c>
      <c r="AQ60" s="335">
        <f t="shared" si="95"/>
        <v>1573366.91</v>
      </c>
      <c r="AR60" s="335">
        <f t="shared" ref="AR60:AS60" si="96">SUM(AR39+AR46+AR53)</f>
        <v>1797552.76</v>
      </c>
      <c r="AS60" s="335">
        <f t="shared" si="96"/>
        <v>1817646.5</v>
      </c>
      <c r="AT60" s="335">
        <f t="shared" ref="AT60:AU60" si="97">SUM(AT39+AT46+AT53)</f>
        <v>1924179.42</v>
      </c>
      <c r="AU60" s="335">
        <f t="shared" si="97"/>
        <v>1927712.6400000001</v>
      </c>
      <c r="AV60" s="335">
        <f t="shared" ref="AV60:AW60" si="98">SUM(AV39+AV46+AV53)</f>
        <v>2237017.4299999997</v>
      </c>
      <c r="AW60" s="335">
        <f t="shared" si="98"/>
        <v>2449019.9900000002</v>
      </c>
      <c r="AX60" s="335">
        <f t="shared" ref="AX60" si="99">SUM(AX39+AX46+AX53)</f>
        <v>2310117.52</v>
      </c>
    </row>
    <row r="61" spans="1:50" x14ac:dyDescent="0.25">
      <c r="A61" s="4"/>
      <c r="B61" s="35" t="s">
        <v>38</v>
      </c>
      <c r="C61" s="227">
        <f>SUM(C40+C47+C54)</f>
        <v>514307.27</v>
      </c>
      <c r="D61" s="77">
        <f t="shared" si="89"/>
        <v>548434.99</v>
      </c>
      <c r="E61" s="77">
        <f t="shared" si="89"/>
        <v>377828.13999999996</v>
      </c>
      <c r="F61" s="77">
        <f t="shared" si="89"/>
        <v>323546.2</v>
      </c>
      <c r="G61" s="77">
        <f t="shared" si="89"/>
        <v>354726.75</v>
      </c>
      <c r="H61" s="77">
        <f t="shared" si="89"/>
        <v>347263.7</v>
      </c>
      <c r="I61" s="77">
        <f t="shared" si="89"/>
        <v>402110.45999999996</v>
      </c>
      <c r="J61" s="77">
        <f t="shared" si="89"/>
        <v>351238.12999999995</v>
      </c>
      <c r="K61" s="77">
        <f t="shared" si="89"/>
        <v>319111.98</v>
      </c>
      <c r="L61" s="109">
        <f t="shared" si="89"/>
        <v>312992.84999999998</v>
      </c>
      <c r="M61" s="108">
        <f t="shared" si="89"/>
        <v>283108.44</v>
      </c>
      <c r="N61" s="77">
        <f t="shared" si="89"/>
        <v>261113.08000000002</v>
      </c>
      <c r="O61" s="77">
        <f t="shared" si="89"/>
        <v>258660.07</v>
      </c>
      <c r="P61" s="77">
        <f t="shared" si="89"/>
        <v>246410.04</v>
      </c>
      <c r="Q61" s="77">
        <f t="shared" si="89"/>
        <v>240875.13</v>
      </c>
      <c r="R61" s="77">
        <f t="shared" si="89"/>
        <v>224331.5</v>
      </c>
      <c r="S61" s="77">
        <f t="shared" si="89"/>
        <v>209907.66</v>
      </c>
      <c r="T61" s="77">
        <f t="shared" si="89"/>
        <v>211261.3</v>
      </c>
      <c r="U61" s="189">
        <f t="shared" si="89"/>
        <v>195476.45</v>
      </c>
      <c r="V61" s="189">
        <f t="shared" si="89"/>
        <v>343171.83999999997</v>
      </c>
      <c r="W61" s="189">
        <f t="shared" ref="W61:AG61" si="100">SUM(W40+W47+W54)</f>
        <v>310871.3</v>
      </c>
      <c r="X61" s="189">
        <f t="shared" si="100"/>
        <v>314897.70999999996</v>
      </c>
      <c r="Y61" s="189">
        <f t="shared" si="100"/>
        <v>308651.82</v>
      </c>
      <c r="Z61" s="189">
        <f t="shared" si="100"/>
        <v>131697.45000000001</v>
      </c>
      <c r="AA61" s="189">
        <f t="shared" si="100"/>
        <v>105351.69</v>
      </c>
      <c r="AB61" s="254">
        <f t="shared" si="100"/>
        <v>97031.02</v>
      </c>
      <c r="AC61" s="254">
        <f t="shared" si="100"/>
        <v>99542.260000000009</v>
      </c>
      <c r="AD61" s="254">
        <f t="shared" si="100"/>
        <v>91622.51999999999</v>
      </c>
      <c r="AE61" s="254">
        <f t="shared" si="100"/>
        <v>76698.33</v>
      </c>
      <c r="AF61" s="254">
        <f t="shared" si="100"/>
        <v>71783.61</v>
      </c>
      <c r="AG61" s="335">
        <f t="shared" si="100"/>
        <v>78460.2</v>
      </c>
      <c r="AH61" s="335">
        <f t="shared" ref="AH61:AI61" si="101">SUM(AH40+AH47+AH54)</f>
        <v>83963.25</v>
      </c>
      <c r="AI61" s="335">
        <f t="shared" si="101"/>
        <v>87781.440000000002</v>
      </c>
      <c r="AJ61" s="335">
        <f t="shared" ref="AJ61:AK61" si="102">SUM(AJ40+AJ47+AJ54)</f>
        <v>83092.61</v>
      </c>
      <c r="AK61" s="335">
        <f t="shared" si="102"/>
        <v>94506.579999999987</v>
      </c>
      <c r="AL61" s="335">
        <f t="shared" ref="AL61:AM61" si="103">SUM(AL40+AL47+AL54)</f>
        <v>105142.95</v>
      </c>
      <c r="AM61" s="335">
        <f t="shared" si="103"/>
        <v>128833.12</v>
      </c>
      <c r="AN61" s="335">
        <f t="shared" ref="AN61:AO61" si="104">SUM(AN40+AN47+AN54)</f>
        <v>119336.32000000001</v>
      </c>
      <c r="AO61" s="335">
        <f t="shared" si="104"/>
        <v>133618.27000000002</v>
      </c>
      <c r="AP61" s="335">
        <f t="shared" ref="AP61:AQ61" si="105">SUM(AP40+AP47+AP54)</f>
        <v>172533.78</v>
      </c>
      <c r="AQ61" s="335">
        <f t="shared" si="105"/>
        <v>184943.30000000002</v>
      </c>
      <c r="AR61" s="335">
        <f t="shared" ref="AR61:AS61" si="106">SUM(AR40+AR47+AR54)</f>
        <v>217197.52999999997</v>
      </c>
      <c r="AS61" s="335">
        <f t="shared" si="106"/>
        <v>165871.42000000001</v>
      </c>
      <c r="AT61" s="335">
        <f t="shared" ref="AT61:AU61" si="107">SUM(AT40+AT47+AT54)</f>
        <v>278915.65999999997</v>
      </c>
      <c r="AU61" s="335">
        <f t="shared" si="107"/>
        <v>278690.8</v>
      </c>
      <c r="AV61" s="335">
        <f t="shared" ref="AV61:AW61" si="108">SUM(AV40+AV47+AV54)</f>
        <v>357770.77</v>
      </c>
      <c r="AW61" s="335">
        <f t="shared" si="108"/>
        <v>330170.7</v>
      </c>
      <c r="AX61" s="335">
        <f t="shared" ref="AX61" si="109">SUM(AX40+AX47+AX54)</f>
        <v>312104.53999999998</v>
      </c>
    </row>
    <row r="62" spans="1:50" x14ac:dyDescent="0.25">
      <c r="A62" s="4"/>
      <c r="B62" s="35" t="s">
        <v>39</v>
      </c>
      <c r="C62" s="227">
        <f>SUM(C41+C48+C55)</f>
        <v>370060.25</v>
      </c>
      <c r="D62" s="77">
        <f t="shared" si="89"/>
        <v>392810.66000000003</v>
      </c>
      <c r="E62" s="77">
        <f t="shared" si="89"/>
        <v>425791.02999999997</v>
      </c>
      <c r="F62" s="77">
        <f t="shared" si="89"/>
        <v>403148.48</v>
      </c>
      <c r="G62" s="77">
        <f t="shared" si="89"/>
        <v>412418.05000000005</v>
      </c>
      <c r="H62" s="77">
        <f t="shared" si="89"/>
        <v>379252.46</v>
      </c>
      <c r="I62" s="77">
        <f t="shared" si="89"/>
        <v>451234.87</v>
      </c>
      <c r="J62" s="77">
        <f t="shared" si="89"/>
        <v>455065.61999999994</v>
      </c>
      <c r="K62" s="77">
        <f t="shared" si="89"/>
        <v>427261.04000000004</v>
      </c>
      <c r="L62" s="109">
        <f t="shared" si="89"/>
        <v>449417.83999999997</v>
      </c>
      <c r="M62" s="108">
        <f t="shared" si="89"/>
        <v>407748.95999999996</v>
      </c>
      <c r="N62" s="77">
        <f t="shared" si="89"/>
        <v>399801.07999999996</v>
      </c>
      <c r="O62" s="77">
        <f t="shared" si="89"/>
        <v>356274.18999999994</v>
      </c>
      <c r="P62" s="77">
        <f t="shared" si="89"/>
        <v>366704.14</v>
      </c>
      <c r="Q62" s="77">
        <f t="shared" si="89"/>
        <v>378523.5</v>
      </c>
      <c r="R62" s="77">
        <f t="shared" si="89"/>
        <v>342406.12</v>
      </c>
      <c r="S62" s="77">
        <f t="shared" si="89"/>
        <v>321880.19</v>
      </c>
      <c r="T62" s="77">
        <f t="shared" si="89"/>
        <v>326964.7</v>
      </c>
      <c r="U62" s="189">
        <f t="shared" si="89"/>
        <v>342779.35</v>
      </c>
      <c r="V62" s="189">
        <f t="shared" si="89"/>
        <v>338407.25</v>
      </c>
      <c r="W62" s="189">
        <f t="shared" ref="W62:AG62" si="110">SUM(W41+W48+W55)</f>
        <v>294757.64</v>
      </c>
      <c r="X62" s="189">
        <f t="shared" si="110"/>
        <v>226313.89</v>
      </c>
      <c r="Y62" s="189">
        <f t="shared" si="110"/>
        <v>200895.21</v>
      </c>
      <c r="Z62" s="189">
        <f t="shared" si="110"/>
        <v>196035.65</v>
      </c>
      <c r="AA62" s="189">
        <f t="shared" si="110"/>
        <v>171199.03999999998</v>
      </c>
      <c r="AB62" s="254">
        <f t="shared" si="110"/>
        <v>175842.08000000002</v>
      </c>
      <c r="AC62" s="254">
        <f t="shared" si="110"/>
        <v>255141.91</v>
      </c>
      <c r="AD62" s="254">
        <f t="shared" si="110"/>
        <v>226340.87</v>
      </c>
      <c r="AE62" s="254">
        <f t="shared" si="110"/>
        <v>217577.46</v>
      </c>
      <c r="AF62" s="254">
        <f t="shared" si="110"/>
        <v>212824.22999999998</v>
      </c>
      <c r="AG62" s="335">
        <f t="shared" si="110"/>
        <v>218273.3</v>
      </c>
      <c r="AH62" s="335">
        <f t="shared" ref="AH62:AI62" si="111">SUM(AH41+AH48+AH55)</f>
        <v>238123.88</v>
      </c>
      <c r="AI62" s="335">
        <f t="shared" si="111"/>
        <v>189328.91</v>
      </c>
      <c r="AJ62" s="335">
        <f t="shared" ref="AJ62:AK62" si="112">SUM(AJ41+AJ48+AJ55)</f>
        <v>180205.22</v>
      </c>
      <c r="AK62" s="335">
        <f t="shared" si="112"/>
        <v>195852.07</v>
      </c>
      <c r="AL62" s="335">
        <f t="shared" ref="AL62:AM62" si="113">SUM(AL41+AL48+AL55)</f>
        <v>228317.53999999998</v>
      </c>
      <c r="AM62" s="335">
        <f t="shared" si="113"/>
        <v>255902.5</v>
      </c>
      <c r="AN62" s="335">
        <f t="shared" ref="AN62:AO62" si="114">SUM(AN41+AN48+AN55)</f>
        <v>235935.64</v>
      </c>
      <c r="AO62" s="335">
        <f t="shared" si="114"/>
        <v>254732.85</v>
      </c>
      <c r="AP62" s="335">
        <f t="shared" ref="AP62:AQ62" si="115">SUM(AP41+AP48+AP55)</f>
        <v>330136.56</v>
      </c>
      <c r="AQ62" s="335">
        <f t="shared" si="115"/>
        <v>311762.62</v>
      </c>
      <c r="AR62" s="335">
        <f t="shared" ref="AR62:AS62" si="116">SUM(AR41+AR48+AR55)</f>
        <v>383229.27</v>
      </c>
      <c r="AS62" s="335">
        <f t="shared" si="116"/>
        <v>319648.45999999996</v>
      </c>
      <c r="AT62" s="335">
        <f t="shared" ref="AT62:AU62" si="117">SUM(AT41+AT48+AT55)</f>
        <v>425089.29</v>
      </c>
      <c r="AU62" s="335">
        <f t="shared" si="117"/>
        <v>448625.29</v>
      </c>
      <c r="AV62" s="335">
        <f t="shared" ref="AV62:AW62" si="118">SUM(AV41+AV48+AV55)</f>
        <v>608522.18000000005</v>
      </c>
      <c r="AW62" s="335">
        <f t="shared" si="118"/>
        <v>614495.75</v>
      </c>
      <c r="AX62" s="335">
        <f t="shared" ref="AX62" si="119">SUM(AX41+AX48+AX55)</f>
        <v>372226.37999999995</v>
      </c>
    </row>
    <row r="63" spans="1:50" x14ac:dyDescent="0.25">
      <c r="A63" s="4"/>
      <c r="B63" s="35" t="s">
        <v>40</v>
      </c>
      <c r="C63" s="227">
        <f>SUM(C42+C49+C56)</f>
        <v>88361.5</v>
      </c>
      <c r="D63" s="77">
        <f t="shared" si="89"/>
        <v>63980.44</v>
      </c>
      <c r="E63" s="77">
        <f t="shared" si="89"/>
        <v>63980.44</v>
      </c>
      <c r="F63" s="77">
        <f t="shared" si="89"/>
        <v>90088.459999999992</v>
      </c>
      <c r="G63" s="77">
        <f t="shared" si="89"/>
        <v>116428.91999999998</v>
      </c>
      <c r="H63" s="77">
        <f t="shared" si="89"/>
        <v>102723.92</v>
      </c>
      <c r="I63" s="77">
        <f t="shared" si="89"/>
        <v>180095.77</v>
      </c>
      <c r="J63" s="77">
        <f t="shared" si="89"/>
        <v>214517.12</v>
      </c>
      <c r="K63" s="77">
        <f t="shared" si="89"/>
        <v>215435.61999999997</v>
      </c>
      <c r="L63" s="109">
        <f t="shared" si="89"/>
        <v>204666.65</v>
      </c>
      <c r="M63" s="108">
        <f t="shared" si="89"/>
        <v>201164.17</v>
      </c>
      <c r="N63" s="77">
        <f t="shared" si="89"/>
        <v>192968.34</v>
      </c>
      <c r="O63" s="77">
        <f t="shared" si="89"/>
        <v>161336.90999999997</v>
      </c>
      <c r="P63" s="77">
        <f t="shared" si="89"/>
        <v>145762.66</v>
      </c>
      <c r="Q63" s="77">
        <f t="shared" si="89"/>
        <v>145762.66</v>
      </c>
      <c r="R63" s="77">
        <f t="shared" si="89"/>
        <v>144647.99</v>
      </c>
      <c r="S63" s="77">
        <f t="shared" si="89"/>
        <v>188765.73</v>
      </c>
      <c r="T63" s="77">
        <f t="shared" si="89"/>
        <v>129147.7</v>
      </c>
      <c r="U63" s="189">
        <f>SUM(U42+U49+U56)</f>
        <v>87200.89</v>
      </c>
      <c r="V63" s="189">
        <f>SUM(V42+V49+V56)</f>
        <v>87200.89</v>
      </c>
      <c r="W63" s="189">
        <f t="shared" ref="W63:AG63" si="120">SUM(W42+W49+W56)</f>
        <v>38886.83</v>
      </c>
      <c r="X63" s="189">
        <f t="shared" si="120"/>
        <v>67148.72</v>
      </c>
      <c r="Y63" s="189">
        <f t="shared" si="120"/>
        <v>52049.89</v>
      </c>
      <c r="Z63" s="189">
        <f t="shared" si="120"/>
        <v>46142.880000000005</v>
      </c>
      <c r="AA63" s="189">
        <f t="shared" si="120"/>
        <v>11399.349999999999</v>
      </c>
      <c r="AB63" s="254">
        <f t="shared" si="120"/>
        <v>48227.05</v>
      </c>
      <c r="AC63" s="254">
        <f t="shared" si="120"/>
        <v>53907.62</v>
      </c>
      <c r="AD63" s="254">
        <f t="shared" si="120"/>
        <v>23932.02</v>
      </c>
      <c r="AE63" s="254">
        <f t="shared" si="120"/>
        <v>3175.7700000000004</v>
      </c>
      <c r="AF63" s="254">
        <f t="shared" si="120"/>
        <v>44293.89</v>
      </c>
      <c r="AG63" s="335">
        <f t="shared" si="120"/>
        <v>59395.5</v>
      </c>
      <c r="AH63" s="335">
        <f t="shared" ref="AH63:AI63" si="121">SUM(AH42+AH49+AH56)</f>
        <v>19230.810000000001</v>
      </c>
      <c r="AI63" s="335">
        <f t="shared" si="121"/>
        <v>43230.84</v>
      </c>
      <c r="AJ63" s="335">
        <f t="shared" ref="AJ63:AK63" si="122">SUM(AJ42+AJ49+AJ56)</f>
        <v>70736.2</v>
      </c>
      <c r="AK63" s="335">
        <f t="shared" si="122"/>
        <v>105977.16</v>
      </c>
      <c r="AL63" s="335">
        <f t="shared" ref="AL63:AM63" si="123">SUM(AL42+AL49+AL56)</f>
        <v>44172.63</v>
      </c>
      <c r="AM63" s="335">
        <f t="shared" si="123"/>
        <v>22297.25</v>
      </c>
      <c r="AN63" s="335">
        <f t="shared" ref="AN63:AO63" si="124">SUM(AN42+AN49+AN56)</f>
        <v>16426.810000000001</v>
      </c>
      <c r="AO63" s="335">
        <f t="shared" si="124"/>
        <v>71844.44</v>
      </c>
      <c r="AP63" s="335">
        <f t="shared" ref="AP63:AQ63" si="125">SUM(AP42+AP49+AP56)</f>
        <v>123237.89</v>
      </c>
      <c r="AQ63" s="335">
        <f t="shared" si="125"/>
        <v>69829.47</v>
      </c>
      <c r="AR63" s="335">
        <f t="shared" ref="AR63:AS63" si="126">SUM(AR42+AR49+AR56)</f>
        <v>49980.83</v>
      </c>
      <c r="AS63" s="335">
        <f t="shared" si="126"/>
        <v>74991.739999999991</v>
      </c>
      <c r="AT63" s="335">
        <f t="shared" ref="AT63:AU63" si="127">SUM(AT42+AT49+AT56)</f>
        <v>110663.34</v>
      </c>
      <c r="AU63" s="335">
        <f t="shared" si="127"/>
        <v>95814.399999999994</v>
      </c>
      <c r="AV63" s="335">
        <f t="shared" ref="AV63:AW63" si="128">SUM(AV42+AV49+AV56)</f>
        <v>95814.399999999994</v>
      </c>
      <c r="AW63" s="335">
        <f t="shared" si="128"/>
        <v>146962.74</v>
      </c>
      <c r="AX63" s="335">
        <f t="shared" ref="AX63" si="129">SUM(AX42+AX49+AX56)</f>
        <v>78339.7</v>
      </c>
    </row>
    <row r="64" spans="1:50" ht="15.75" thickBot="1" x14ac:dyDescent="0.3">
      <c r="A64" s="4"/>
      <c r="B64" s="37" t="s">
        <v>41</v>
      </c>
      <c r="C64" s="100">
        <f>SUM(C59:C63)</f>
        <v>6366991.7799999993</v>
      </c>
      <c r="D64" s="81">
        <f>SUM(D59:D63)</f>
        <v>6355403.7700000005</v>
      </c>
      <c r="E64" s="81">
        <f t="shared" ref="E64:V64" si="130">SUM(E59:E63)</f>
        <v>6434829.1500000004</v>
      </c>
      <c r="F64" s="81">
        <f t="shared" si="130"/>
        <v>6288331.8899999997</v>
      </c>
      <c r="G64" s="81">
        <f t="shared" si="130"/>
        <v>6318908.2800000003</v>
      </c>
      <c r="H64" s="81">
        <f t="shared" si="130"/>
        <v>6438386.3800000008</v>
      </c>
      <c r="I64" s="81">
        <f t="shared" si="130"/>
        <v>6857573.54</v>
      </c>
      <c r="J64" s="81">
        <f t="shared" si="130"/>
        <v>6735136.1200000001</v>
      </c>
      <c r="K64" s="81">
        <f t="shared" si="130"/>
        <v>6528791.3399999999</v>
      </c>
      <c r="L64" s="160">
        <f t="shared" si="130"/>
        <v>6492523.2800000012</v>
      </c>
      <c r="M64" s="81">
        <f t="shared" si="130"/>
        <v>6136291.120000001</v>
      </c>
      <c r="N64" s="81">
        <f t="shared" si="130"/>
        <v>5952335.459999999</v>
      </c>
      <c r="O64" s="81">
        <f t="shared" si="130"/>
        <v>5625318.3000000007</v>
      </c>
      <c r="P64" s="81">
        <f t="shared" si="130"/>
        <v>5533023.2599999998</v>
      </c>
      <c r="Q64" s="81">
        <f t="shared" si="130"/>
        <v>5396143</v>
      </c>
      <c r="R64" s="81">
        <f t="shared" si="130"/>
        <v>5169039.0500000007</v>
      </c>
      <c r="S64" s="81">
        <f t="shared" si="130"/>
        <v>5005080.120000001</v>
      </c>
      <c r="T64" s="81">
        <f t="shared" si="130"/>
        <v>4942409.04</v>
      </c>
      <c r="U64" s="176">
        <f t="shared" si="130"/>
        <v>4821074.169999999</v>
      </c>
      <c r="V64" s="176">
        <f t="shared" si="130"/>
        <v>4966696.9899999993</v>
      </c>
      <c r="W64" s="189">
        <f t="shared" ref="W64:Z64" si="131">SUM(W43+W50+W57)</f>
        <v>4727355.6999999993</v>
      </c>
      <c r="X64" s="189">
        <f t="shared" si="131"/>
        <v>4926753.8</v>
      </c>
      <c r="Y64" s="189">
        <f t="shared" si="131"/>
        <v>4800489.49</v>
      </c>
      <c r="Z64" s="189">
        <f t="shared" si="131"/>
        <v>4736688.51</v>
      </c>
      <c r="AA64" s="292">
        <f t="shared" ref="AA64:AG64" si="132">SUM(AA43+AA50+AA57)</f>
        <v>4695139.3400000008</v>
      </c>
      <c r="AB64" s="263">
        <f t="shared" si="132"/>
        <v>4677068.6999999993</v>
      </c>
      <c r="AC64" s="263">
        <f t="shared" si="132"/>
        <v>4831000.34</v>
      </c>
      <c r="AD64" s="263">
        <f t="shared" si="132"/>
        <v>4765326.1499999994</v>
      </c>
      <c r="AE64" s="263">
        <f t="shared" si="132"/>
        <v>4625359.75</v>
      </c>
      <c r="AF64" s="263">
        <f t="shared" si="132"/>
        <v>4518692.53</v>
      </c>
      <c r="AG64" s="336">
        <f t="shared" si="132"/>
        <v>4486943.3600000003</v>
      </c>
      <c r="AH64" s="336">
        <f t="shared" ref="AH64:AI64" si="133">SUM(AH43+AH50+AH57)</f>
        <v>4511582.540000001</v>
      </c>
      <c r="AI64" s="336">
        <f t="shared" si="133"/>
        <v>4769742.5299999993</v>
      </c>
      <c r="AJ64" s="336">
        <f t="shared" ref="AJ64:AK64" si="134">SUM(AJ43+AJ50+AJ57)</f>
        <v>4732861.74</v>
      </c>
      <c r="AK64" s="336">
        <f t="shared" si="134"/>
        <v>4866937.1999999993</v>
      </c>
      <c r="AL64" s="336">
        <f t="shared" ref="AL64:AM64" si="135">SUM(AL43+AL50+AL57)</f>
        <v>4969036.3900000006</v>
      </c>
      <c r="AM64" s="336">
        <f t="shared" si="135"/>
        <v>5105384.2200000007</v>
      </c>
      <c r="AN64" s="336">
        <f t="shared" ref="AN64:AO64" si="136">SUM(AN43+AN50+AN57)</f>
        <v>5207053.97</v>
      </c>
      <c r="AO64" s="336">
        <f t="shared" si="136"/>
        <v>5412996.1799999997</v>
      </c>
      <c r="AP64" s="336">
        <f t="shared" ref="AP64:AQ64" si="137">SUM(AP43+AP50+AP57)</f>
        <v>5852595.8100000005</v>
      </c>
      <c r="AQ64" s="336">
        <f t="shared" si="137"/>
        <v>5968216.7999999989</v>
      </c>
      <c r="AR64" s="336">
        <f t="shared" ref="AR64:AS64" si="138">SUM(AR43+AR50+AR57)</f>
        <v>6571975.8699999992</v>
      </c>
      <c r="AS64" s="336">
        <f t="shared" si="138"/>
        <v>6479077.1099999994</v>
      </c>
      <c r="AT64" s="336">
        <f t="shared" ref="AT64:AU64" si="139">SUM(AT43+AT50+AT57)</f>
        <v>7668928.9900000002</v>
      </c>
      <c r="AU64" s="336">
        <f t="shared" si="139"/>
        <v>7740500.4400000004</v>
      </c>
      <c r="AV64" s="336">
        <f t="shared" ref="AV64:AW64" si="140">SUM(AV43+AV50+AV57)</f>
        <v>8498531.5899999999</v>
      </c>
      <c r="AW64" s="336">
        <f t="shared" si="140"/>
        <v>8912179.790000001</v>
      </c>
      <c r="AX64" s="336">
        <f t="shared" ref="AX64" si="141">SUM(AX43+AX50+AX57)</f>
        <v>8633664.040000001</v>
      </c>
    </row>
    <row r="65" spans="1:50"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row>
    <row r="66" spans="1:50"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
        <f>116.277+144569.355+6477.555+930881.001+320.019+7.203-53.523-109.074+292.236</f>
        <v>1082501.0490000001</v>
      </c>
      <c r="AX66" s="521">
        <f>148.176+111537.635+4512.165+840285.516+430.122+57570.492+8967.735+473504.64</f>
        <v>1496956.4809999999</v>
      </c>
    </row>
    <row r="67" spans="1:50"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521">
        <f>28.812+17058.762+409.542+146564.586+20.58+1750.329+1011.507+24235.008+1393.266</f>
        <v>192472.39200000002</v>
      </c>
    </row>
    <row r="68" spans="1:50"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521">
        <f>5463.99+1336.671+141671.691+20158.11+7292.523+1026.942+1781.199+1261.554+201751.82+27609.21+8481.018</f>
        <v>417834.728</v>
      </c>
    </row>
    <row r="69" spans="1:50"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521">
        <f>127914.218+38455.788+97269.732+26215.833+142548.399+46599.653+39759.531+43693.398</f>
        <v>562456.55200000003</v>
      </c>
    </row>
    <row r="70" spans="1:50"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521">
        <f>58560.39+60695.449</f>
        <v>119255.83900000001</v>
      </c>
    </row>
    <row r="71" spans="1:50" x14ac:dyDescent="0.25">
      <c r="A71" s="4"/>
      <c r="B71" s="35" t="s">
        <v>41</v>
      </c>
      <c r="C71" s="156">
        <f>SUM(C66:C70)</f>
        <v>4433807.21</v>
      </c>
      <c r="D71" s="83">
        <f>SUM(D66:D70)</f>
        <v>1358805.149</v>
      </c>
      <c r="E71" s="83">
        <f t="shared" ref="E71:Z71" si="142">SUM(E66:E70)</f>
        <v>1351111.514</v>
      </c>
      <c r="F71" s="83">
        <f t="shared" si="142"/>
        <v>1443879.7340000002</v>
      </c>
      <c r="G71" s="83">
        <f t="shared" si="142"/>
        <v>1141703.1230000001</v>
      </c>
      <c r="H71" s="83">
        <f t="shared" si="142"/>
        <v>1537399.4010000001</v>
      </c>
      <c r="I71" s="83">
        <f>SUM(I66:I70)</f>
        <v>1175296.0120000001</v>
      </c>
      <c r="J71" s="83">
        <f t="shared" si="142"/>
        <v>887962.98100000003</v>
      </c>
      <c r="K71" s="83">
        <f t="shared" si="142"/>
        <v>759250.16</v>
      </c>
      <c r="L71" s="166">
        <f t="shared" si="142"/>
        <v>442343.25400000002</v>
      </c>
      <c r="M71" s="83">
        <f t="shared" si="142"/>
        <v>349924.75699999998</v>
      </c>
      <c r="N71" s="83">
        <f t="shared" si="142"/>
        <v>283743.93399999995</v>
      </c>
      <c r="O71" s="83">
        <f t="shared" si="142"/>
        <v>692413.77199999988</v>
      </c>
      <c r="P71" s="83">
        <f t="shared" si="142"/>
        <v>376979.23599999998</v>
      </c>
      <c r="Q71" s="83">
        <f t="shared" si="142"/>
        <v>456168.88800000004</v>
      </c>
      <c r="R71" s="83">
        <f t="shared" si="142"/>
        <v>194920.49900000001</v>
      </c>
      <c r="S71" s="83">
        <f t="shared" si="142"/>
        <v>479726.17900000006</v>
      </c>
      <c r="T71" s="83">
        <f t="shared" si="142"/>
        <v>494261.56799999997</v>
      </c>
      <c r="U71" s="178">
        <f t="shared" si="142"/>
        <v>237655.76399999997</v>
      </c>
      <c r="V71" s="178">
        <f t="shared" si="142"/>
        <v>466772.48600000003</v>
      </c>
      <c r="W71" s="178">
        <f t="shared" si="142"/>
        <v>441280.91200000001</v>
      </c>
      <c r="X71" s="178">
        <f t="shared" si="142"/>
        <v>379110.36400000006</v>
      </c>
      <c r="Y71" s="178">
        <f t="shared" si="142"/>
        <v>322301.424</v>
      </c>
      <c r="Z71" s="178">
        <f t="shared" si="142"/>
        <v>410886.22500000003</v>
      </c>
      <c r="AA71" s="178">
        <f t="shared" ref="AA71:AG71" si="143">SUM(AA66:AA70)</f>
        <v>210031.84100000001</v>
      </c>
      <c r="AB71" s="257">
        <f t="shared" si="143"/>
        <v>674024.1669999999</v>
      </c>
      <c r="AC71" s="257">
        <f t="shared" si="143"/>
        <v>456800.538</v>
      </c>
      <c r="AD71" s="257">
        <f t="shared" si="143"/>
        <v>416353.74749999994</v>
      </c>
      <c r="AE71" s="257">
        <f t="shared" si="143"/>
        <v>560714.50800000003</v>
      </c>
      <c r="AF71" s="257">
        <f t="shared" si="143"/>
        <v>667361.54</v>
      </c>
      <c r="AG71" s="257">
        <f t="shared" si="143"/>
        <v>1086149.4010000001</v>
      </c>
      <c r="AH71" s="257">
        <f t="shared" ref="AH71:AI71" si="144">SUM(AH66:AH70)</f>
        <v>961258.05199999991</v>
      </c>
      <c r="AI71" s="257">
        <f t="shared" si="144"/>
        <v>1163364.557</v>
      </c>
      <c r="AJ71" s="257">
        <f t="shared" ref="AJ71" si="145">SUM(AJ66:AJ70)</f>
        <v>846517.90699999989</v>
      </c>
      <c r="AK71" s="257">
        <f t="shared" ref="AK71:AQ71" si="146">SUM(AK66:AK70)</f>
        <v>1501625.2219999998</v>
      </c>
      <c r="AL71" s="257">
        <f t="shared" si="146"/>
        <v>1335855.6640000001</v>
      </c>
      <c r="AM71" s="257">
        <f t="shared" si="146"/>
        <v>1699268.7030000004</v>
      </c>
      <c r="AN71" s="257">
        <f t="shared" si="146"/>
        <v>988365.12599999993</v>
      </c>
      <c r="AO71" s="257">
        <f t="shared" si="146"/>
        <v>1523048.6670000001</v>
      </c>
      <c r="AP71" s="257">
        <f t="shared" si="146"/>
        <v>2977990.3730000001</v>
      </c>
      <c r="AQ71" s="257">
        <f t="shared" si="146"/>
        <v>2989937.7940000002</v>
      </c>
      <c r="AR71" s="257">
        <f t="shared" ref="AR71:AS71" si="147">SUM(AR66:AR70)</f>
        <v>2626046.946</v>
      </c>
      <c r="AS71" s="257">
        <f t="shared" si="147"/>
        <v>2022248.1969999999</v>
      </c>
      <c r="AT71" s="257">
        <f t="shared" ref="AT71:AU71" si="148">SUM(AT66:AT70)</f>
        <v>3154721.0989999995</v>
      </c>
      <c r="AU71" s="257">
        <f t="shared" si="148"/>
        <v>2537055.08</v>
      </c>
      <c r="AV71" s="257">
        <f t="shared" ref="AV71:AW71" si="149">SUM(AV66:AV70)</f>
        <v>3068146.3709999998</v>
      </c>
      <c r="AW71" s="257">
        <f t="shared" si="149"/>
        <v>1877856.4010000001</v>
      </c>
      <c r="AX71" s="257">
        <f t="shared" ref="AX71" si="150">SUM(AX66:AX70)</f>
        <v>2788975.9920000001</v>
      </c>
    </row>
    <row r="72" spans="1:50"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row>
    <row r="73" spans="1:50"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row>
    <row r="74" spans="1:50"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row>
    <row r="75" spans="1:50"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row>
    <row r="76" spans="1:50"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row>
    <row r="77" spans="1:50"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row>
    <row r="78" spans="1:50" ht="15.75" thickBot="1" x14ac:dyDescent="0.3">
      <c r="A78" s="4"/>
      <c r="B78" s="35" t="s">
        <v>41</v>
      </c>
      <c r="C78" s="97">
        <f t="shared" ref="C78:AG78" si="151">SUM(C73:C77)</f>
        <v>5045903.04</v>
      </c>
      <c r="D78" s="89">
        <f t="shared" si="151"/>
        <v>1651372.6400000001</v>
      </c>
      <c r="E78" s="89">
        <f t="shared" si="151"/>
        <v>1722982.33</v>
      </c>
      <c r="F78" s="89">
        <f t="shared" si="151"/>
        <v>1617259.6699999997</v>
      </c>
      <c r="G78" s="89">
        <f t="shared" si="151"/>
        <v>1422728.48</v>
      </c>
      <c r="H78" s="89">
        <f t="shared" si="151"/>
        <v>1654529.2099999997</v>
      </c>
      <c r="I78" s="89">
        <f t="shared" si="151"/>
        <v>1235386.1600000001</v>
      </c>
      <c r="J78" s="89">
        <f t="shared" si="151"/>
        <v>739441.38000000012</v>
      </c>
      <c r="K78" s="89">
        <f t="shared" si="151"/>
        <v>761924.95000000019</v>
      </c>
      <c r="L78" s="99">
        <f t="shared" si="151"/>
        <v>479189.21</v>
      </c>
      <c r="M78" s="89">
        <f t="shared" si="151"/>
        <v>387443.99</v>
      </c>
      <c r="N78" s="89">
        <f t="shared" si="151"/>
        <v>349715.89</v>
      </c>
      <c r="O78" s="89">
        <f t="shared" si="151"/>
        <v>565234.46</v>
      </c>
      <c r="P78" s="89">
        <f t="shared" si="151"/>
        <v>468470.42000000004</v>
      </c>
      <c r="Q78" s="89">
        <f t="shared" si="151"/>
        <v>498982.56999999995</v>
      </c>
      <c r="R78" s="89">
        <f t="shared" si="151"/>
        <v>274812.79999999999</v>
      </c>
      <c r="S78" s="89">
        <f t="shared" si="151"/>
        <v>345999.62</v>
      </c>
      <c r="T78" s="89">
        <f t="shared" si="151"/>
        <v>535237.6</v>
      </c>
      <c r="U78" s="180">
        <f t="shared" si="151"/>
        <v>339710.55000000005</v>
      </c>
      <c r="V78" s="180">
        <f t="shared" si="151"/>
        <v>546898.67000000004</v>
      </c>
      <c r="W78" s="180">
        <f t="shared" si="151"/>
        <v>333882.75</v>
      </c>
      <c r="X78" s="180">
        <f t="shared" si="151"/>
        <v>714123.95000000007</v>
      </c>
      <c r="Y78" s="180">
        <f t="shared" si="151"/>
        <v>379650.98</v>
      </c>
      <c r="Z78" s="180">
        <f t="shared" si="151"/>
        <v>476963.69</v>
      </c>
      <c r="AA78" s="292">
        <f t="shared" si="151"/>
        <v>247641.37000000002</v>
      </c>
      <c r="AB78" s="159">
        <f t="shared" si="151"/>
        <v>486503.08000000007</v>
      </c>
      <c r="AC78" s="302">
        <f t="shared" si="151"/>
        <v>530086.86999999988</v>
      </c>
      <c r="AD78" s="302">
        <f t="shared" si="151"/>
        <v>929851.04</v>
      </c>
      <c r="AE78" s="302">
        <f t="shared" si="151"/>
        <v>594675.06000000006</v>
      </c>
      <c r="AF78" s="302">
        <f t="shared" si="151"/>
        <v>447406.37</v>
      </c>
      <c r="AG78" s="302">
        <f t="shared" si="151"/>
        <v>1142873.6599999999</v>
      </c>
      <c r="AH78" s="302">
        <f t="shared" ref="AH78:AI78" si="152">SUM(AH73:AH77)</f>
        <v>1094575.8399999999</v>
      </c>
      <c r="AI78" s="302">
        <f t="shared" si="152"/>
        <v>1461773.3199999998</v>
      </c>
      <c r="AJ78" s="302">
        <f t="shared" ref="AJ78:AK78" si="153">SUM(AJ73:AJ77)</f>
        <v>831268.29</v>
      </c>
      <c r="AK78" s="302">
        <f t="shared" si="153"/>
        <v>2126301.37</v>
      </c>
      <c r="AL78" s="302">
        <f t="shared" ref="AL78:AM78" si="154">SUM(AL73:AL77)</f>
        <v>1904879.08</v>
      </c>
      <c r="AM78" s="302">
        <f t="shared" si="154"/>
        <v>2306360.1100000003</v>
      </c>
      <c r="AN78" s="302">
        <f t="shared" ref="AN78:AO78" si="155">SUM(AN73:AN77)</f>
        <v>1344423.29</v>
      </c>
      <c r="AO78" s="302">
        <f t="shared" si="155"/>
        <v>1717621.97</v>
      </c>
      <c r="AP78" s="302">
        <f t="shared" ref="AP78:AQ78" si="156">SUM(AP73:AP77)</f>
        <v>3944530.5100000002</v>
      </c>
      <c r="AQ78" s="302">
        <f t="shared" si="156"/>
        <v>3743216.8499999996</v>
      </c>
      <c r="AR78" s="302">
        <f t="shared" ref="AR78:AS78" si="157">SUM(AR73:AR77)</f>
        <v>3306104.5200000005</v>
      </c>
      <c r="AS78" s="302">
        <f t="shared" si="157"/>
        <v>2395550.19</v>
      </c>
      <c r="AT78" s="302">
        <f t="shared" ref="AT78:AU78" si="158">SUM(AT73:AT77)</f>
        <v>3984095.08</v>
      </c>
      <c r="AU78" s="302">
        <f t="shared" si="158"/>
        <v>3090475.19</v>
      </c>
      <c r="AV78" s="302">
        <f t="shared" ref="AV78:AW78" si="159">SUM(AV73:AV77)</f>
        <v>3810011.1900000004</v>
      </c>
      <c r="AW78" s="302">
        <f t="shared" si="159"/>
        <v>2103486.81</v>
      </c>
      <c r="AX78" s="302">
        <f t="shared" ref="AX78" si="160">SUM(AX73:AX77)</f>
        <v>3506678.99</v>
      </c>
    </row>
    <row r="79" spans="1:50"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row>
    <row r="80" spans="1:50"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row>
    <row r="81" spans="1:50"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row>
    <row r="82" spans="1:50"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row>
    <row r="83" spans="1:50"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row>
    <row r="84" spans="1:50"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row>
    <row r="85" spans="1:50" x14ac:dyDescent="0.25">
      <c r="A85" s="4"/>
      <c r="B85" s="35" t="s">
        <v>41</v>
      </c>
      <c r="C85" s="108">
        <f>SUM(C80:C84)</f>
        <v>3737993.2099999995</v>
      </c>
      <c r="D85" s="79">
        <f t="shared" ref="D85:AG85" si="161">SUM(D80:D84)</f>
        <v>2392480.5499999998</v>
      </c>
      <c r="E85" s="109">
        <f t="shared" si="161"/>
        <v>1823717.35</v>
      </c>
      <c r="F85" s="109">
        <f t="shared" si="161"/>
        <v>1970070.05</v>
      </c>
      <c r="G85" s="79">
        <f t="shared" si="161"/>
        <v>2144761.98</v>
      </c>
      <c r="H85" s="109">
        <f t="shared" si="161"/>
        <v>1396077.3800000001</v>
      </c>
      <c r="I85" s="109">
        <f t="shared" si="161"/>
        <v>1059769.42</v>
      </c>
      <c r="J85" s="109">
        <f t="shared" si="161"/>
        <v>994192.85</v>
      </c>
      <c r="K85" s="109">
        <f t="shared" si="161"/>
        <v>1568293.0599999998</v>
      </c>
      <c r="L85" s="110">
        <f t="shared" si="161"/>
        <v>1370383.0299999998</v>
      </c>
      <c r="M85" s="79">
        <f t="shared" si="161"/>
        <v>1022191.11</v>
      </c>
      <c r="N85" s="89">
        <f t="shared" si="161"/>
        <v>1042908.94</v>
      </c>
      <c r="O85" s="109">
        <f t="shared" si="161"/>
        <v>785518.01</v>
      </c>
      <c r="P85" s="98">
        <f t="shared" si="161"/>
        <v>745401.44000000006</v>
      </c>
      <c r="Q85" s="109">
        <f t="shared" si="161"/>
        <v>694325.04999999993</v>
      </c>
      <c r="R85" s="98">
        <f t="shared" si="161"/>
        <v>615160.6</v>
      </c>
      <c r="S85" s="109">
        <f t="shared" si="161"/>
        <v>663184.99</v>
      </c>
      <c r="T85" s="79">
        <f t="shared" si="161"/>
        <v>582541.73</v>
      </c>
      <c r="U85" s="180">
        <f t="shared" si="161"/>
        <v>603713.13</v>
      </c>
      <c r="V85" s="180">
        <f t="shared" si="161"/>
        <v>440941.84</v>
      </c>
      <c r="W85" s="180">
        <f t="shared" si="161"/>
        <v>673463.78999999992</v>
      </c>
      <c r="X85" s="180">
        <f t="shared" si="161"/>
        <v>542921.97000000009</v>
      </c>
      <c r="Y85" s="180">
        <f t="shared" si="161"/>
        <v>445817.01</v>
      </c>
      <c r="Z85" s="180">
        <f t="shared" si="161"/>
        <v>556682.45000000007</v>
      </c>
      <c r="AA85" s="180">
        <f t="shared" si="161"/>
        <v>533736.41</v>
      </c>
      <c r="AB85" s="98">
        <f t="shared" si="161"/>
        <v>534970.11</v>
      </c>
      <c r="AC85" s="98">
        <f t="shared" si="161"/>
        <v>420819.51</v>
      </c>
      <c r="AD85" s="98">
        <f t="shared" si="161"/>
        <v>572596.81000000006</v>
      </c>
      <c r="AE85" s="98">
        <f t="shared" si="161"/>
        <v>709809.61</v>
      </c>
      <c r="AF85" s="98">
        <f t="shared" si="161"/>
        <v>628026.49</v>
      </c>
      <c r="AG85" s="98">
        <f t="shared" si="161"/>
        <v>495845.53000000009</v>
      </c>
      <c r="AH85" s="98">
        <f t="shared" ref="AH85:AI85" si="162">SUM(AH80:AH84)</f>
        <v>764192.59</v>
      </c>
      <c r="AI85" s="98">
        <f t="shared" si="162"/>
        <v>652998.79</v>
      </c>
      <c r="AJ85" s="98">
        <f t="shared" ref="AJ85:AK85" si="163">SUM(AJ80:AJ84)</f>
        <v>623519.77</v>
      </c>
      <c r="AK85" s="98">
        <f t="shared" si="163"/>
        <v>1023375.53</v>
      </c>
      <c r="AL85" s="98">
        <f t="shared" ref="AL85:AM85" si="164">SUM(AL80:AL84)</f>
        <v>1126637.92</v>
      </c>
      <c r="AM85" s="98">
        <f t="shared" si="164"/>
        <v>1111969.9099999999</v>
      </c>
      <c r="AN85" s="98">
        <f t="shared" ref="AN85:AO85" si="165">SUM(AN80:AN84)</f>
        <v>1229518.1999999997</v>
      </c>
      <c r="AO85" s="98">
        <f t="shared" si="165"/>
        <v>1671147.4600000002</v>
      </c>
      <c r="AP85" s="98">
        <f t="shared" ref="AP85:AQ85" si="166">SUM(AP80:AP84)</f>
        <v>2303860.02</v>
      </c>
      <c r="AQ85" s="98">
        <f t="shared" si="166"/>
        <v>1339716.69</v>
      </c>
      <c r="AR85" s="98">
        <f t="shared" ref="AR85:AS85" si="167">SUM(AR80:AR84)</f>
        <v>1546253.2699999998</v>
      </c>
      <c r="AS85" s="98">
        <f t="shared" si="167"/>
        <v>2975075.04</v>
      </c>
      <c r="AT85" s="98">
        <f t="shared" ref="AT85:AU85" si="168">SUM(AT80:AT84)</f>
        <v>3277168.25</v>
      </c>
      <c r="AU85" s="98">
        <f t="shared" si="168"/>
        <v>1448847.21</v>
      </c>
      <c r="AV85" s="98">
        <f t="shared" ref="AV85:AW85" si="169">SUM(AV80:AV84)</f>
        <v>1480353.85</v>
      </c>
      <c r="AW85" s="98">
        <f t="shared" si="169"/>
        <v>4117612.17</v>
      </c>
      <c r="AX85" s="98">
        <f t="shared" ref="AX85" si="170">SUM(AX80:AX84)</f>
        <v>3734242.2199999997</v>
      </c>
    </row>
    <row r="86" spans="1:50"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row>
    <row r="87" spans="1:50"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row>
    <row r="88" spans="1:50"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row>
    <row r="89" spans="1:50"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row>
    <row r="90" spans="1:50"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row>
    <row r="91" spans="1:50"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row>
    <row r="92" spans="1:50" ht="15.75" thickBot="1" x14ac:dyDescent="0.3">
      <c r="A92" s="4"/>
      <c r="B92" s="37" t="s">
        <v>41</v>
      </c>
      <c r="C92" s="122">
        <f>SUM(C87:C91)</f>
        <v>18160</v>
      </c>
      <c r="D92" s="60">
        <f>SUM(D87:D91)</f>
        <v>13454</v>
      </c>
      <c r="E92" s="60">
        <f t="shared" ref="E92:AG92" si="171">SUM(E87:E91)</f>
        <v>8828</v>
      </c>
      <c r="F92" s="60">
        <f t="shared" si="171"/>
        <v>11204</v>
      </c>
      <c r="G92" s="60">
        <f t="shared" si="171"/>
        <v>13414</v>
      </c>
      <c r="H92" s="60">
        <f t="shared" si="171"/>
        <v>7704</v>
      </c>
      <c r="I92" s="60">
        <f t="shared" si="171"/>
        <v>6709</v>
      </c>
      <c r="J92" s="60">
        <f t="shared" si="171"/>
        <v>6630</v>
      </c>
      <c r="K92" s="60">
        <f t="shared" si="171"/>
        <v>12064</v>
      </c>
      <c r="L92" s="163">
        <f t="shared" si="171"/>
        <v>11487</v>
      </c>
      <c r="M92" s="60">
        <f t="shared" si="171"/>
        <v>9979</v>
      </c>
      <c r="N92" s="60">
        <f t="shared" si="171"/>
        <v>9687</v>
      </c>
      <c r="O92" s="60">
        <f t="shared" si="171"/>
        <v>8678</v>
      </c>
      <c r="P92" s="60">
        <f t="shared" si="171"/>
        <v>7954</v>
      </c>
      <c r="Q92" s="60">
        <f t="shared" si="171"/>
        <v>9698</v>
      </c>
      <c r="R92" s="60">
        <f t="shared" si="171"/>
        <v>7760</v>
      </c>
      <c r="S92" s="60">
        <f t="shared" si="171"/>
        <v>10452</v>
      </c>
      <c r="T92" s="60">
        <f t="shared" si="171"/>
        <v>8111</v>
      </c>
      <c r="U92" s="187">
        <f t="shared" si="171"/>
        <v>8400</v>
      </c>
      <c r="V92" s="187">
        <f t="shared" si="171"/>
        <v>7581</v>
      </c>
      <c r="W92" s="187">
        <f t="shared" si="171"/>
        <v>8757</v>
      </c>
      <c r="X92" s="187">
        <f t="shared" si="171"/>
        <v>10461</v>
      </c>
      <c r="Y92" s="187">
        <f t="shared" si="171"/>
        <v>8116</v>
      </c>
      <c r="Z92" s="187">
        <f t="shared" si="171"/>
        <v>8974</v>
      </c>
      <c r="AA92" s="295">
        <f t="shared" si="171"/>
        <v>8476</v>
      </c>
      <c r="AB92" s="262">
        <f t="shared" si="171"/>
        <v>9988</v>
      </c>
      <c r="AC92" s="262">
        <f t="shared" si="171"/>
        <v>7362</v>
      </c>
      <c r="AD92" s="262">
        <f t="shared" si="171"/>
        <v>8896</v>
      </c>
      <c r="AE92" s="262">
        <f t="shared" si="171"/>
        <v>8504</v>
      </c>
      <c r="AF92" s="262">
        <f t="shared" si="171"/>
        <v>9536</v>
      </c>
      <c r="AG92" s="262">
        <f t="shared" si="171"/>
        <v>8153</v>
      </c>
      <c r="AH92" s="262">
        <f t="shared" ref="AH92:AI92" si="172">SUM(AH87:AH91)</f>
        <v>9363</v>
      </c>
      <c r="AI92" s="262">
        <f t="shared" si="172"/>
        <v>8403</v>
      </c>
      <c r="AJ92" s="262">
        <f t="shared" ref="AJ92:AK92" si="173">SUM(AJ87:AJ91)</f>
        <v>6856</v>
      </c>
      <c r="AK92" s="262">
        <f t="shared" si="173"/>
        <v>12118</v>
      </c>
      <c r="AL92" s="262">
        <f t="shared" ref="AL92:AQ92" si="174">SUM(AL87:AL91)</f>
        <v>8744</v>
      </c>
      <c r="AM92" s="262">
        <f t="shared" si="174"/>
        <v>9418</v>
      </c>
      <c r="AN92" s="262">
        <f t="shared" si="174"/>
        <v>8446</v>
      </c>
      <c r="AO92" s="262">
        <f t="shared" si="174"/>
        <v>10621</v>
      </c>
      <c r="AP92" s="262">
        <f t="shared" si="174"/>
        <v>12301</v>
      </c>
      <c r="AQ92" s="262">
        <f t="shared" si="174"/>
        <v>6266</v>
      </c>
      <c r="AR92" s="262">
        <f t="shared" ref="AR92:AS92" si="175">SUM(AR87:AR91)</f>
        <v>7026</v>
      </c>
      <c r="AS92" s="262">
        <f t="shared" si="175"/>
        <v>11288</v>
      </c>
      <c r="AT92" s="262">
        <f t="shared" ref="AT92:AU92" si="176">SUM(AT87:AT91)</f>
        <v>12880</v>
      </c>
      <c r="AU92" s="262">
        <f t="shared" si="176"/>
        <v>6010</v>
      </c>
      <c r="AV92" s="262">
        <f t="shared" ref="AV92:AW92" si="177">SUM(AV87:AV91)</f>
        <v>6654</v>
      </c>
      <c r="AW92" s="262">
        <f t="shared" si="177"/>
        <v>16356</v>
      </c>
      <c r="AX92" s="262">
        <f t="shared" ref="AX92" si="178">SUM(AX87:AX91)</f>
        <v>13713</v>
      </c>
    </row>
    <row r="93" spans="1:50"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row>
    <row r="94" spans="1:50" x14ac:dyDescent="0.25">
      <c r="A94" s="4"/>
      <c r="B94" s="35" t="s">
        <v>36</v>
      </c>
      <c r="C94" s="97">
        <f t="shared" ref="C94:AB94" si="179">C73-C80</f>
        <v>842539.15000000037</v>
      </c>
      <c r="D94" s="77">
        <f t="shared" si="179"/>
        <v>-616976.49000000011</v>
      </c>
      <c r="E94" s="77">
        <f t="shared" si="179"/>
        <v>-107572.27000000002</v>
      </c>
      <c r="F94" s="77">
        <f t="shared" si="179"/>
        <v>-34604.610000000102</v>
      </c>
      <c r="G94" s="77">
        <f t="shared" si="179"/>
        <v>-105307.20000000007</v>
      </c>
      <c r="H94" s="77">
        <f t="shared" si="179"/>
        <v>86533.719999999972</v>
      </c>
      <c r="I94" s="77">
        <f t="shared" si="179"/>
        <v>-55667.189999999944</v>
      </c>
      <c r="J94" s="77">
        <f t="shared" si="179"/>
        <v>-211034.93999999994</v>
      </c>
      <c r="K94" s="77">
        <f t="shared" si="179"/>
        <v>-412199.08</v>
      </c>
      <c r="L94" s="98">
        <f t="shared" si="179"/>
        <v>-547518.36999999988</v>
      </c>
      <c r="M94" s="97">
        <f t="shared" si="179"/>
        <v>-356116.83999999997</v>
      </c>
      <c r="N94" s="97">
        <f t="shared" si="179"/>
        <v>-361364.05999999994</v>
      </c>
      <c r="O94" s="97">
        <f t="shared" si="179"/>
        <v>-98081.489999999991</v>
      </c>
      <c r="P94" s="97">
        <f t="shared" si="179"/>
        <v>-130037.01999999996</v>
      </c>
      <c r="Q94" s="97">
        <f t="shared" si="179"/>
        <v>-147257.78000000003</v>
      </c>
      <c r="R94" s="97">
        <f t="shared" si="179"/>
        <v>-144530.80000000002</v>
      </c>
      <c r="S94" s="97">
        <f t="shared" si="179"/>
        <v>-217032.11</v>
      </c>
      <c r="T94" s="97">
        <f t="shared" si="179"/>
        <v>4700.8400000000256</v>
      </c>
      <c r="U94" s="97">
        <f t="shared" si="179"/>
        <v>-98657.979999999981</v>
      </c>
      <c r="V94" s="97">
        <f t="shared" si="179"/>
        <v>53859.070000000007</v>
      </c>
      <c r="W94" s="97">
        <f t="shared" si="179"/>
        <v>-156278.43999999997</v>
      </c>
      <c r="X94" s="97">
        <f t="shared" si="179"/>
        <v>9819.679999999993</v>
      </c>
      <c r="Y94" s="97">
        <f t="shared" si="179"/>
        <v>-68399.700000000012</v>
      </c>
      <c r="Z94" s="97">
        <f t="shared" si="179"/>
        <v>-25709.840000000026</v>
      </c>
      <c r="AA94" s="97">
        <f t="shared" si="179"/>
        <v>-144714.99000000002</v>
      </c>
      <c r="AB94" s="97">
        <f t="shared" si="179"/>
        <v>-50962.419999999984</v>
      </c>
      <c r="AC94" s="97">
        <f t="shared" ref="AC94:AH94" si="180">AC73-AC80</f>
        <v>63891.02999999997</v>
      </c>
      <c r="AD94" s="97">
        <f t="shared" si="180"/>
        <v>231537.52000000002</v>
      </c>
      <c r="AE94" s="97">
        <f t="shared" si="180"/>
        <v>15976.600000000035</v>
      </c>
      <c r="AF94" s="97">
        <f t="shared" si="180"/>
        <v>-201370.18000000002</v>
      </c>
      <c r="AG94" s="97">
        <f t="shared" si="180"/>
        <v>407603.72000000003</v>
      </c>
      <c r="AH94" s="97">
        <f t="shared" si="180"/>
        <v>191286.94</v>
      </c>
      <c r="AI94" s="97">
        <f t="shared" ref="AI94:AJ94" si="181">AI73-AI80</f>
        <v>512462.07999999996</v>
      </c>
      <c r="AJ94" s="97">
        <f t="shared" si="181"/>
        <v>140264.26</v>
      </c>
      <c r="AK94" s="97">
        <f t="shared" ref="AK94:AL94" si="182">AK73-AK80</f>
        <v>778174.6</v>
      </c>
      <c r="AL94" s="97">
        <f t="shared" si="182"/>
        <v>573567.18000000005</v>
      </c>
      <c r="AM94" s="97">
        <f t="shared" ref="AM94:AN94" si="183">AM73-AM80</f>
        <v>799702.00999999989</v>
      </c>
      <c r="AN94" s="97">
        <f t="shared" si="183"/>
        <v>108301.01000000001</v>
      </c>
      <c r="AO94" s="97">
        <f t="shared" ref="AO94:AP94" si="184">AO73-AO80</f>
        <v>340131.77</v>
      </c>
      <c r="AP94" s="97">
        <f t="shared" si="184"/>
        <v>1630292.21</v>
      </c>
      <c r="AQ94" s="97">
        <f t="shared" ref="AQ94:AR94" si="185">AQ73-AQ80</f>
        <v>1500056.0099999998</v>
      </c>
      <c r="AR94" s="97">
        <f t="shared" si="185"/>
        <v>970068.67000000016</v>
      </c>
      <c r="AS94" s="97">
        <f t="shared" ref="AS94:AT94" si="186">AS73-AS80</f>
        <v>-62193.060000000056</v>
      </c>
      <c r="AT94" s="97">
        <f t="shared" si="186"/>
        <v>1051910.1200000001</v>
      </c>
      <c r="AU94" s="97">
        <f t="shared" ref="AU94" si="187">AU73-AU80</f>
        <v>1015969.91</v>
      </c>
      <c r="AV94" s="97">
        <f t="shared" ref="AV94:AW94" si="188">AV73-AV80</f>
        <v>1204870.92</v>
      </c>
      <c r="AW94" s="97">
        <f t="shared" si="188"/>
        <v>-875842.47</v>
      </c>
      <c r="AX94" s="97">
        <f t="shared" ref="AX94" si="189">AX73-AX80</f>
        <v>173673.41000000015</v>
      </c>
    </row>
    <row r="95" spans="1:50" x14ac:dyDescent="0.25">
      <c r="A95" s="4"/>
      <c r="B95" s="35" t="s">
        <v>37</v>
      </c>
      <c r="C95" s="97">
        <f t="shared" ref="C95:R98" si="190">C74-C81</f>
        <v>260812</v>
      </c>
      <c r="D95" s="77">
        <f t="shared" si="190"/>
        <v>-99438.43</v>
      </c>
      <c r="E95" s="77">
        <f t="shared" si="190"/>
        <v>226936.43000000002</v>
      </c>
      <c r="F95" s="77">
        <f t="shared" si="190"/>
        <v>-98309.68</v>
      </c>
      <c r="G95" s="77">
        <f t="shared" si="190"/>
        <v>-398531.74</v>
      </c>
      <c r="H95" s="77">
        <f t="shared" si="190"/>
        <v>180714.41</v>
      </c>
      <c r="I95" s="77">
        <f t="shared" si="190"/>
        <v>156846.70000000001</v>
      </c>
      <c r="J95" s="77">
        <f t="shared" si="190"/>
        <v>2693.8999999999942</v>
      </c>
      <c r="K95" s="77">
        <f t="shared" si="190"/>
        <v>-144632.85999999999</v>
      </c>
      <c r="L95" s="98">
        <f t="shared" si="190"/>
        <v>-64494.26</v>
      </c>
      <c r="M95" s="97">
        <f t="shared" si="190"/>
        <v>-23432.869999999995</v>
      </c>
      <c r="N95" s="97">
        <f t="shared" si="190"/>
        <v>23360.899999999994</v>
      </c>
      <c r="O95" s="97">
        <f t="shared" si="190"/>
        <v>-35043.040000000001</v>
      </c>
      <c r="P95" s="97">
        <f t="shared" si="190"/>
        <v>-2114.9900000000052</v>
      </c>
      <c r="Q95" s="97">
        <f t="shared" si="190"/>
        <v>-45350.170000000013</v>
      </c>
      <c r="R95" s="97">
        <f t="shared" si="190"/>
        <v>-3053.5499999999956</v>
      </c>
      <c r="S95" s="97">
        <f t="shared" ref="S95:Z98" si="191">S74-S81</f>
        <v>-55244.62</v>
      </c>
      <c r="T95" s="97">
        <f t="shared" si="191"/>
        <v>19476.400000000001</v>
      </c>
      <c r="U95" s="97">
        <f t="shared" si="191"/>
        <v>10785.230000000003</v>
      </c>
      <c r="V95" s="97">
        <f t="shared" si="191"/>
        <v>59115.849999999991</v>
      </c>
      <c r="W95" s="97">
        <f t="shared" si="191"/>
        <v>-11023.280000000002</v>
      </c>
      <c r="X95" s="97">
        <f t="shared" si="191"/>
        <v>225506.19000000003</v>
      </c>
      <c r="Y95" s="97">
        <f t="shared" si="191"/>
        <v>33045.320000000007</v>
      </c>
      <c r="Z95" s="97">
        <f t="shared" si="191"/>
        <v>36253.18</v>
      </c>
      <c r="AA95" s="97">
        <f t="shared" ref="AA95:AG95" si="192">AA74-AA81</f>
        <v>26552.49</v>
      </c>
      <c r="AB95" s="97">
        <f t="shared" si="192"/>
        <v>-18640.039999999997</v>
      </c>
      <c r="AC95" s="97">
        <f t="shared" si="192"/>
        <v>31388.000000000004</v>
      </c>
      <c r="AD95" s="97">
        <f t="shared" si="192"/>
        <v>107972.05000000002</v>
      </c>
      <c r="AE95" s="97">
        <f t="shared" si="192"/>
        <v>83885.51999999999</v>
      </c>
      <c r="AF95" s="97">
        <f t="shared" si="192"/>
        <v>8009.4099999999962</v>
      </c>
      <c r="AG95" s="97">
        <f t="shared" si="192"/>
        <v>22458.25</v>
      </c>
      <c r="AH95" s="97">
        <f t="shared" ref="AH95:AI95" si="193">AH74-AH81</f>
        <v>95905.2</v>
      </c>
      <c r="AI95" s="97">
        <f t="shared" si="193"/>
        <v>242518.92</v>
      </c>
      <c r="AJ95" s="97">
        <f t="shared" ref="AJ95:AK95" si="194">AJ74-AJ81</f>
        <v>57949.7</v>
      </c>
      <c r="AK95" s="97">
        <f t="shared" si="194"/>
        <v>167765.73000000001</v>
      </c>
      <c r="AL95" s="97">
        <f t="shared" ref="AL95:AM95" si="195">AL74-AL81</f>
        <v>260446.74000000002</v>
      </c>
      <c r="AM95" s="97">
        <f t="shared" si="195"/>
        <v>319690.01</v>
      </c>
      <c r="AN95" s="97">
        <f t="shared" ref="AN95:AO95" si="196">AN74-AN81</f>
        <v>283868.72000000003</v>
      </c>
      <c r="AO95" s="97">
        <f t="shared" si="196"/>
        <v>-22184.47</v>
      </c>
      <c r="AP95" s="97">
        <f t="shared" ref="AP95:AQ95" si="197">AP74-AP81</f>
        <v>-235380.78999999998</v>
      </c>
      <c r="AQ95" s="97">
        <f t="shared" si="197"/>
        <v>667112.98</v>
      </c>
      <c r="AR95" s="97">
        <f t="shared" ref="AR95:AS95" si="198">AR74-AR81</f>
        <v>655548.02</v>
      </c>
      <c r="AS95" s="97">
        <f t="shared" si="198"/>
        <v>126980.66</v>
      </c>
      <c r="AT95" s="97">
        <f t="shared" ref="AT95:AU95" si="199">AT74-AT81</f>
        <v>29327.650000000023</v>
      </c>
      <c r="AU95" s="97">
        <f t="shared" si="199"/>
        <v>369532.62</v>
      </c>
      <c r="AV95" s="97">
        <f t="shared" ref="AV95:AW95" si="200">AV74-AV81</f>
        <v>526283.24</v>
      </c>
      <c r="AW95" s="97">
        <f t="shared" si="200"/>
        <v>-190445.24</v>
      </c>
      <c r="AX95" s="97">
        <f t="shared" ref="AX95" si="201">AX74-AX81</f>
        <v>-175180.19999999998</v>
      </c>
    </row>
    <row r="96" spans="1:50" x14ac:dyDescent="0.25">
      <c r="A96" s="4"/>
      <c r="B96" s="35" t="s">
        <v>38</v>
      </c>
      <c r="C96" s="97">
        <f t="shared" si="190"/>
        <v>-10419.950000000012</v>
      </c>
      <c r="D96" s="77">
        <f t="shared" si="190"/>
        <v>4181.8099999999977</v>
      </c>
      <c r="E96" s="77">
        <f t="shared" si="190"/>
        <v>-74425.389999999985</v>
      </c>
      <c r="F96" s="77">
        <f t="shared" si="190"/>
        <v>-113044.62000000001</v>
      </c>
      <c r="G96" s="77">
        <f t="shared" si="190"/>
        <v>-27684.25999999998</v>
      </c>
      <c r="H96" s="77">
        <f t="shared" si="190"/>
        <v>-7806.0100000000093</v>
      </c>
      <c r="I96" s="77">
        <f t="shared" si="190"/>
        <v>22200.309999999998</v>
      </c>
      <c r="J96" s="77">
        <f t="shared" si="190"/>
        <v>-74442.47</v>
      </c>
      <c r="K96" s="77">
        <f t="shared" si="190"/>
        <v>-102882.98000000001</v>
      </c>
      <c r="L96" s="98">
        <f t="shared" si="190"/>
        <v>-99450.12</v>
      </c>
      <c r="M96" s="97">
        <f t="shared" si="190"/>
        <v>-76526.290000000008</v>
      </c>
      <c r="N96" s="97">
        <f t="shared" si="190"/>
        <v>-53381.86</v>
      </c>
      <c r="O96" s="97">
        <f t="shared" si="190"/>
        <v>-16084.049999999996</v>
      </c>
      <c r="P96" s="97">
        <f t="shared" si="190"/>
        <v>-7045.6200000000026</v>
      </c>
      <c r="Q96" s="97">
        <f t="shared" si="190"/>
        <v>-22925.80999999999</v>
      </c>
      <c r="R96" s="97">
        <f t="shared" si="190"/>
        <v>-40133.600000000006</v>
      </c>
      <c r="S96" s="97">
        <f t="shared" si="191"/>
        <v>-38802.160000000003</v>
      </c>
      <c r="T96" s="97">
        <f t="shared" si="191"/>
        <v>3086.4700000000012</v>
      </c>
      <c r="U96" s="97">
        <f t="shared" si="191"/>
        <v>-23237.74</v>
      </c>
      <c r="V96" s="97">
        <f t="shared" si="191"/>
        <v>-9006.2699999999968</v>
      </c>
      <c r="W96" s="97">
        <f t="shared" si="191"/>
        <v>-51064.66</v>
      </c>
      <c r="X96" s="97">
        <f t="shared" si="191"/>
        <v>-5081.6499999999942</v>
      </c>
      <c r="Y96" s="97">
        <f t="shared" si="191"/>
        <v>-11218.960000000003</v>
      </c>
      <c r="Z96" s="97">
        <f t="shared" si="191"/>
        <v>-19356.82</v>
      </c>
      <c r="AA96" s="97">
        <f t="shared" ref="AA96:AG96" si="202">AA75-AA82</f>
        <v>-32338.429999999997</v>
      </c>
      <c r="AB96" s="97">
        <f t="shared" si="202"/>
        <v>-22548.650000000005</v>
      </c>
      <c r="AC96" s="97">
        <f t="shared" si="202"/>
        <v>10688.54</v>
      </c>
      <c r="AD96" s="97">
        <f t="shared" si="202"/>
        <v>41780.35</v>
      </c>
      <c r="AE96" s="97">
        <f t="shared" si="202"/>
        <v>2922.9599999999991</v>
      </c>
      <c r="AF96" s="97">
        <f t="shared" si="202"/>
        <v>-30734.16</v>
      </c>
      <c r="AG96" s="97">
        <f t="shared" si="202"/>
        <v>80754.34</v>
      </c>
      <c r="AH96" s="97">
        <f t="shared" ref="AH96:AI96" si="203">AH75-AH82</f>
        <v>54753.37</v>
      </c>
      <c r="AI96" s="97">
        <f t="shared" si="203"/>
        <v>63271.020000000004</v>
      </c>
      <c r="AJ96" s="97">
        <f t="shared" ref="AJ96:AK96" si="204">AJ75-AJ82</f>
        <v>-4092.4199999999983</v>
      </c>
      <c r="AK96" s="97">
        <f t="shared" si="204"/>
        <v>61442.37999999999</v>
      </c>
      <c r="AL96" s="97">
        <f t="shared" ref="AL96:AM96" si="205">AL75-AL82</f>
        <v>64661.710000000006</v>
      </c>
      <c r="AM96" s="97">
        <f t="shared" si="205"/>
        <v>42182.290000000008</v>
      </c>
      <c r="AN96" s="97">
        <f t="shared" ref="AN96:AO96" si="206">AN75-AN82</f>
        <v>-36069.699999999997</v>
      </c>
      <c r="AO96" s="97">
        <f t="shared" si="206"/>
        <v>-131916.24</v>
      </c>
      <c r="AP96" s="97">
        <f t="shared" ref="AP96:AQ96" si="207">AP75-AP82</f>
        <v>181222.41</v>
      </c>
      <c r="AQ96" s="97">
        <f t="shared" si="207"/>
        <v>81796.020000000019</v>
      </c>
      <c r="AR96" s="97">
        <f t="shared" ref="AR96:AS96" si="208">AR75-AR82</f>
        <v>51420.869999999995</v>
      </c>
      <c r="AS96" s="97">
        <f t="shared" si="208"/>
        <v>-268964.32000000007</v>
      </c>
      <c r="AT96" s="97">
        <f t="shared" ref="AT96:AU96" si="209">AT75-AT82</f>
        <v>-32703.179999999993</v>
      </c>
      <c r="AU96" s="97">
        <f t="shared" si="209"/>
        <v>39925.890000000014</v>
      </c>
      <c r="AV96" s="97">
        <f t="shared" ref="AV96:AW96" si="210">AV75-AV82</f>
        <v>250416.71999999997</v>
      </c>
      <c r="AW96" s="97">
        <f t="shared" si="210"/>
        <v>-389360.86</v>
      </c>
      <c r="AX96" s="97">
        <f t="shared" ref="AX96" si="211">AX75-AX82</f>
        <v>41904.559999999998</v>
      </c>
    </row>
    <row r="97" spans="1:50" x14ac:dyDescent="0.25">
      <c r="A97" s="4"/>
      <c r="B97" s="35" t="s">
        <v>39</v>
      </c>
      <c r="C97" s="97">
        <f t="shared" si="190"/>
        <v>175993.46000000008</v>
      </c>
      <c r="D97" s="77">
        <f t="shared" si="190"/>
        <v>12008.380000000005</v>
      </c>
      <c r="E97" s="77">
        <f t="shared" si="190"/>
        <v>-188090.18999999997</v>
      </c>
      <c r="F97" s="77">
        <f t="shared" si="190"/>
        <v>-131845.35999999999</v>
      </c>
      <c r="G97" s="77">
        <f t="shared" si="190"/>
        <v>-89593.709999999992</v>
      </c>
      <c r="H97" s="77">
        <f t="shared" si="190"/>
        <v>48498.610000000015</v>
      </c>
      <c r="I97" s="77">
        <f t="shared" si="190"/>
        <v>100926.07</v>
      </c>
      <c r="J97" s="77">
        <f t="shared" si="190"/>
        <v>-71554.34</v>
      </c>
      <c r="K97" s="77">
        <f t="shared" si="190"/>
        <v>-142791.97</v>
      </c>
      <c r="L97" s="98">
        <f t="shared" si="190"/>
        <v>-92778.02</v>
      </c>
      <c r="M97" s="97">
        <f t="shared" si="190"/>
        <v>-114297.2</v>
      </c>
      <c r="N97" s="97">
        <f t="shared" si="190"/>
        <v>-77318.319999999992</v>
      </c>
      <c r="O97" s="97">
        <f t="shared" si="190"/>
        <v>-85310.28</v>
      </c>
      <c r="P97" s="97">
        <f t="shared" si="190"/>
        <v>-3995.3699999999953</v>
      </c>
      <c r="Q97" s="97">
        <f t="shared" si="190"/>
        <v>-13025.989999999991</v>
      </c>
      <c r="R97" s="97">
        <f t="shared" si="190"/>
        <v>-65983.510000000009</v>
      </c>
      <c r="S97" s="97">
        <f t="shared" si="191"/>
        <v>-54261.060000000005</v>
      </c>
      <c r="T97" s="97">
        <f t="shared" si="191"/>
        <v>3579.6700000000055</v>
      </c>
      <c r="U97" s="97">
        <f t="shared" si="191"/>
        <v>-29714.46</v>
      </c>
      <c r="V97" s="97">
        <f t="shared" si="191"/>
        <v>-2457.3000000000029</v>
      </c>
      <c r="W97" s="97">
        <f t="shared" si="191"/>
        <v>-69036.490000000005</v>
      </c>
      <c r="X97" s="97">
        <f t="shared" si="191"/>
        <v>-21057.62</v>
      </c>
      <c r="Y97" s="97">
        <f t="shared" si="191"/>
        <v>-6728.1100000000006</v>
      </c>
      <c r="Z97" s="97">
        <f t="shared" si="191"/>
        <v>-19951.150000000001</v>
      </c>
      <c r="AA97" s="97">
        <f t="shared" ref="AA97:AG97" si="212">AA76-AA83</f>
        <v>-46674.42</v>
      </c>
      <c r="AB97" s="97">
        <f t="shared" si="212"/>
        <v>-23934.07</v>
      </c>
      <c r="AC97" s="97">
        <f t="shared" si="212"/>
        <v>-2386.0099999999948</v>
      </c>
      <c r="AD97" s="97">
        <f t="shared" si="212"/>
        <v>25453.099999999991</v>
      </c>
      <c r="AE97" s="97">
        <f t="shared" si="212"/>
        <v>-17332.099999999999</v>
      </c>
      <c r="AF97" s="97">
        <f t="shared" si="212"/>
        <v>-36070.92</v>
      </c>
      <c r="AG97" s="97">
        <f t="shared" si="212"/>
        <v>108724.01000000001</v>
      </c>
      <c r="AH97" s="97">
        <f t="shared" ref="AH97:AI97" si="213">AH76-AH83</f>
        <v>112260.42</v>
      </c>
      <c r="AI97" s="97">
        <f t="shared" si="213"/>
        <v>-21423.479999999996</v>
      </c>
      <c r="AJ97" s="97">
        <f t="shared" ref="AJ97:AK97" si="214">AJ76-AJ83</f>
        <v>-48497.97</v>
      </c>
      <c r="AK97" s="97">
        <f t="shared" si="214"/>
        <v>33064.069999999978</v>
      </c>
      <c r="AL97" s="97">
        <f t="shared" ref="AL97:AM97" si="215">AL76-AL83</f>
        <v>82733.45</v>
      </c>
      <c r="AM97" s="97">
        <f t="shared" si="215"/>
        <v>45598.339999999982</v>
      </c>
      <c r="AN97" s="97">
        <f t="shared" ref="AN97:AO97" si="216">AN76-AN83</f>
        <v>-104969.15</v>
      </c>
      <c r="AO97" s="97">
        <f t="shared" si="216"/>
        <v>-180801.82</v>
      </c>
      <c r="AP97" s="97">
        <f t="shared" ref="AP97:AQ97" si="217">AP76-AP83</f>
        <v>130855.18000000002</v>
      </c>
      <c r="AQ97" s="97">
        <f t="shared" si="217"/>
        <v>100900.21000000002</v>
      </c>
      <c r="AR97" s="97">
        <f t="shared" ref="AR97:AS97" si="218">AR76-AR83</f>
        <v>109820.20999999999</v>
      </c>
      <c r="AS97" s="97">
        <f t="shared" si="218"/>
        <v>-403204.69</v>
      </c>
      <c r="AT97" s="97">
        <f t="shared" ref="AT97:AU97" si="219">AT76-AT83</f>
        <v>-198726.07999999996</v>
      </c>
      <c r="AU97" s="97">
        <f t="shared" si="219"/>
        <v>200182.35</v>
      </c>
      <c r="AV97" s="97">
        <f t="shared" ref="AV97:AW97" si="220">AV76-AV83</f>
        <v>309179.20999999996</v>
      </c>
      <c r="AW97" s="97">
        <f t="shared" si="220"/>
        <v>-418974.18</v>
      </c>
      <c r="AX97" s="97">
        <f t="shared" ref="AX97" si="221">AX76-AX83</f>
        <v>-135404.94000000006</v>
      </c>
    </row>
    <row r="98" spans="1:50" x14ac:dyDescent="0.25">
      <c r="A98" s="4"/>
      <c r="B98" s="35" t="s">
        <v>40</v>
      </c>
      <c r="C98" s="97">
        <f t="shared" si="190"/>
        <v>38985.170000000013</v>
      </c>
      <c r="D98" s="77">
        <f t="shared" si="190"/>
        <v>-40883.179999999993</v>
      </c>
      <c r="E98" s="77">
        <f t="shared" si="190"/>
        <v>42416.399999999994</v>
      </c>
      <c r="F98" s="77">
        <f t="shared" si="190"/>
        <v>24993.89</v>
      </c>
      <c r="G98" s="77">
        <f t="shared" si="190"/>
        <v>-100916.59</v>
      </c>
      <c r="H98" s="77">
        <f t="shared" si="190"/>
        <v>-49488.900000000009</v>
      </c>
      <c r="I98" s="77">
        <f t="shared" si="190"/>
        <v>-48689.15</v>
      </c>
      <c r="J98" s="77">
        <f t="shared" si="190"/>
        <v>99586.38</v>
      </c>
      <c r="K98" s="77">
        <f t="shared" si="190"/>
        <v>-3861.2200000000012</v>
      </c>
      <c r="L98" s="98">
        <f t="shared" si="190"/>
        <v>-86953.05</v>
      </c>
      <c r="M98" s="97">
        <f t="shared" si="190"/>
        <v>-64373.919999999998</v>
      </c>
      <c r="N98" s="97">
        <f t="shared" si="190"/>
        <v>-224489.71</v>
      </c>
      <c r="O98" s="97">
        <f t="shared" si="190"/>
        <v>14235.309999999998</v>
      </c>
      <c r="P98" s="97">
        <f t="shared" si="190"/>
        <v>-133738.01999999999</v>
      </c>
      <c r="Q98" s="97">
        <f t="shared" si="190"/>
        <v>33217.269999999997</v>
      </c>
      <c r="R98" s="97">
        <f t="shared" si="190"/>
        <v>-86646.34</v>
      </c>
      <c r="S98" s="97">
        <f t="shared" si="191"/>
        <v>48154.579999999994</v>
      </c>
      <c r="T98" s="97">
        <f t="shared" si="191"/>
        <v>-78147.510000000009</v>
      </c>
      <c r="U98" s="97">
        <f t="shared" si="191"/>
        <v>-123177.62999999999</v>
      </c>
      <c r="V98" s="97">
        <f t="shared" si="191"/>
        <v>4445.4799999999996</v>
      </c>
      <c r="W98" s="97">
        <f t="shared" si="191"/>
        <v>-52178.17</v>
      </c>
      <c r="X98" s="97">
        <f t="shared" si="191"/>
        <v>-37984.620000000003</v>
      </c>
      <c r="Y98" s="97">
        <f t="shared" si="191"/>
        <v>-12864.580000000002</v>
      </c>
      <c r="Z98" s="97">
        <f t="shared" si="191"/>
        <v>-50954.130000000005</v>
      </c>
      <c r="AA98" s="97">
        <f t="shared" ref="AA98:AG98" si="222">AA77-AA84</f>
        <v>-88919.69</v>
      </c>
      <c r="AB98" s="97">
        <f t="shared" si="222"/>
        <v>67618.150000000009</v>
      </c>
      <c r="AC98" s="97">
        <f t="shared" si="222"/>
        <v>5685.7999999999993</v>
      </c>
      <c r="AD98" s="97">
        <f t="shared" si="222"/>
        <v>-49488.79</v>
      </c>
      <c r="AE98" s="97">
        <f t="shared" si="222"/>
        <v>-200587.53</v>
      </c>
      <c r="AF98" s="97">
        <f t="shared" si="222"/>
        <v>79545.73000000001</v>
      </c>
      <c r="AG98" s="97">
        <f t="shared" si="222"/>
        <v>27487.809999999998</v>
      </c>
      <c r="AH98" s="97">
        <f t="shared" ref="AH98:AI98" si="223">AH77-AH84</f>
        <v>-123822.68</v>
      </c>
      <c r="AI98" s="97">
        <f t="shared" si="223"/>
        <v>11945.990000000002</v>
      </c>
      <c r="AJ98" s="97">
        <f t="shared" ref="AJ98:AK98" si="224">AJ77-AJ84</f>
        <v>62124.950000000012</v>
      </c>
      <c r="AK98" s="97">
        <f t="shared" si="224"/>
        <v>62479.06</v>
      </c>
      <c r="AL98" s="97">
        <f t="shared" ref="AL98:AM98" si="225">AL77-AL84</f>
        <v>-203167.92</v>
      </c>
      <c r="AM98" s="97">
        <f t="shared" si="225"/>
        <v>-12782.449999999997</v>
      </c>
      <c r="AN98" s="97">
        <f t="shared" ref="AN98:AO98" si="226">AN77-AN84</f>
        <v>-136225.78999999998</v>
      </c>
      <c r="AO98" s="97">
        <f t="shared" si="226"/>
        <v>41245.270000000004</v>
      </c>
      <c r="AP98" s="97">
        <f t="shared" ref="AP98:AQ98" si="227">AP77-AP84</f>
        <v>-66318.52</v>
      </c>
      <c r="AQ98" s="97">
        <f t="shared" si="227"/>
        <v>53634.94</v>
      </c>
      <c r="AR98" s="97">
        <f t="shared" ref="AR98:AS98" si="228">AR77-AR84</f>
        <v>-27006.520000000004</v>
      </c>
      <c r="AS98" s="97">
        <f t="shared" si="228"/>
        <v>27856.559999999998</v>
      </c>
      <c r="AT98" s="97">
        <f t="shared" ref="AT98:AU98" si="229">AT77-AT84</f>
        <v>-142881.68</v>
      </c>
      <c r="AU98" s="97">
        <f t="shared" si="229"/>
        <v>16017.210000000006</v>
      </c>
      <c r="AV98" s="97">
        <f t="shared" ref="AV98:AW98" si="230">AV77-AV84</f>
        <v>38907.25</v>
      </c>
      <c r="AW98" s="97">
        <f t="shared" si="230"/>
        <v>-139502.61000000004</v>
      </c>
      <c r="AX98" s="97">
        <f t="shared" ref="AX98" si="231">AX77-AX84</f>
        <v>-132556.06</v>
      </c>
    </row>
    <row r="99" spans="1:50" ht="15.75" thickBot="1" x14ac:dyDescent="0.3">
      <c r="A99" s="4"/>
      <c r="B99" s="37" t="s">
        <v>41</v>
      </c>
      <c r="C99" s="100">
        <f>SUM(C94:C98)</f>
        <v>1307909.8300000005</v>
      </c>
      <c r="D99" s="81">
        <f>SUM(D94:D98)</f>
        <v>-741107.91000000015</v>
      </c>
      <c r="E99" s="81">
        <f t="shared" ref="E99:Y99" si="232">SUM(E94:E98)</f>
        <v>-100735.01999999996</v>
      </c>
      <c r="F99" s="81">
        <f t="shared" si="232"/>
        <v>-352810.38000000006</v>
      </c>
      <c r="G99" s="81">
        <f t="shared" si="232"/>
        <v>-722033.5</v>
      </c>
      <c r="H99" s="81">
        <f t="shared" si="232"/>
        <v>258451.82999999996</v>
      </c>
      <c r="I99" s="81">
        <f t="shared" si="232"/>
        <v>175616.74000000008</v>
      </c>
      <c r="J99" s="81">
        <f t="shared" si="232"/>
        <v>-254751.46999999997</v>
      </c>
      <c r="K99" s="81">
        <f t="shared" si="232"/>
        <v>-806368.10999999987</v>
      </c>
      <c r="L99" s="160">
        <f t="shared" si="232"/>
        <v>-891193.82</v>
      </c>
      <c r="M99" s="81">
        <f t="shared" si="232"/>
        <v>-634747.12</v>
      </c>
      <c r="N99" s="200">
        <f t="shared" si="232"/>
        <v>-693193.04999999993</v>
      </c>
      <c r="O99" s="81">
        <f t="shared" si="232"/>
        <v>-220283.55</v>
      </c>
      <c r="P99" s="81">
        <f t="shared" si="232"/>
        <v>-276931.0199999999</v>
      </c>
      <c r="Q99" s="81">
        <f t="shared" si="232"/>
        <v>-195342.48000000004</v>
      </c>
      <c r="R99" s="81">
        <f t="shared" si="232"/>
        <v>-340347.80000000005</v>
      </c>
      <c r="S99" s="81">
        <f t="shared" si="232"/>
        <v>-317185.37</v>
      </c>
      <c r="T99" s="81">
        <f t="shared" si="232"/>
        <v>-47304.129999999976</v>
      </c>
      <c r="U99" s="80">
        <f t="shared" si="232"/>
        <v>-264002.57999999996</v>
      </c>
      <c r="V99" s="80">
        <f t="shared" si="232"/>
        <v>105956.82999999999</v>
      </c>
      <c r="W99" s="80">
        <f t="shared" si="232"/>
        <v>-339581.04</v>
      </c>
      <c r="X99" s="80">
        <f t="shared" si="232"/>
        <v>171201.98000000004</v>
      </c>
      <c r="Y99" s="80">
        <f t="shared" si="232"/>
        <v>-66166.030000000013</v>
      </c>
      <c r="Z99" s="80">
        <f t="shared" ref="Z99:AG99" si="233">SUM(Z94:Z98)</f>
        <v>-79718.760000000038</v>
      </c>
      <c r="AA99" s="296">
        <f t="shared" si="233"/>
        <v>-286095.04000000004</v>
      </c>
      <c r="AB99" s="263">
        <f t="shared" si="233"/>
        <v>-48467.029999999984</v>
      </c>
      <c r="AC99" s="263">
        <f t="shared" si="233"/>
        <v>109267.35999999999</v>
      </c>
      <c r="AD99" s="263">
        <f t="shared" si="233"/>
        <v>357254.23000000004</v>
      </c>
      <c r="AE99" s="263">
        <f t="shared" si="233"/>
        <v>-115134.54999999999</v>
      </c>
      <c r="AF99" s="263">
        <f t="shared" si="233"/>
        <v>-180620.12000000002</v>
      </c>
      <c r="AG99" s="263">
        <f t="shared" si="233"/>
        <v>647028.13000000012</v>
      </c>
      <c r="AH99" s="263">
        <f t="shared" ref="AH99:AI99" si="234">SUM(AH94:AH98)</f>
        <v>330383.25</v>
      </c>
      <c r="AI99" s="263">
        <f t="shared" si="234"/>
        <v>808774.53</v>
      </c>
      <c r="AJ99" s="263">
        <f t="shared" ref="AJ99:AK99" si="235">SUM(AJ94:AJ98)</f>
        <v>207748.52000000005</v>
      </c>
      <c r="AK99" s="263">
        <f t="shared" si="235"/>
        <v>1102925.8399999999</v>
      </c>
      <c r="AL99" s="263">
        <f t="shared" ref="AL99:AM99" si="236">SUM(AL94:AL98)</f>
        <v>778241.15999999992</v>
      </c>
      <c r="AM99" s="263">
        <f t="shared" si="236"/>
        <v>1194390.2000000002</v>
      </c>
      <c r="AN99" s="263">
        <f t="shared" ref="AN99:AO99" si="237">SUM(AN94:AN98)</f>
        <v>114905.09000000005</v>
      </c>
      <c r="AO99" s="263">
        <f t="shared" si="237"/>
        <v>46474.510000000053</v>
      </c>
      <c r="AP99" s="263">
        <f t="shared" ref="AP99:AQ99" si="238">SUM(AP94:AP98)</f>
        <v>1640670.4899999998</v>
      </c>
      <c r="AQ99" s="263">
        <f t="shared" si="238"/>
        <v>2403500.1599999997</v>
      </c>
      <c r="AR99" s="263">
        <f t="shared" ref="AR99:AS99" si="239">SUM(AR94:AR98)</f>
        <v>1759851.25</v>
      </c>
      <c r="AS99" s="263">
        <f t="shared" si="239"/>
        <v>-579524.85000000009</v>
      </c>
      <c r="AT99" s="263">
        <f t="shared" ref="AT99:AU99" si="240">SUM(AT94:AT98)</f>
        <v>706926.83000000007</v>
      </c>
      <c r="AU99" s="263">
        <f t="shared" si="240"/>
        <v>1641627.98</v>
      </c>
      <c r="AV99" s="263">
        <f t="shared" ref="AV99:AW99" si="241">SUM(AV94:AV98)</f>
        <v>2329657.34</v>
      </c>
      <c r="AW99" s="263">
        <f t="shared" si="241"/>
        <v>-2014125.3599999999</v>
      </c>
      <c r="AX99" s="263">
        <f t="shared" ref="AX99" si="242">SUM(AX94:AX98)</f>
        <v>-227563.22999999989</v>
      </c>
    </row>
    <row r="100" spans="1:50"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row>
    <row r="101" spans="1:50"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row>
    <row r="102" spans="1:50"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row>
    <row r="103" spans="1:50"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row>
    <row r="104" spans="1:50"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row>
    <row r="105" spans="1:50"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row>
    <row r="106" spans="1:50" x14ac:dyDescent="0.25">
      <c r="A106" s="4"/>
      <c r="B106" s="35" t="s">
        <v>41</v>
      </c>
      <c r="C106" s="131">
        <f>SUM(C101:C105)</f>
        <v>57</v>
      </c>
      <c r="D106" s="58">
        <f>SUM(D101:D105)</f>
        <v>64</v>
      </c>
      <c r="E106" s="58">
        <f t="shared" ref="E106:AG106" si="243">SUM(E101:E105)</f>
        <v>78</v>
      </c>
      <c r="F106" s="58">
        <f t="shared" si="243"/>
        <v>85</v>
      </c>
      <c r="G106" s="58">
        <f t="shared" si="243"/>
        <v>92</v>
      </c>
      <c r="H106" s="58">
        <f t="shared" si="243"/>
        <v>89</v>
      </c>
      <c r="I106" s="58">
        <f t="shared" si="243"/>
        <v>88</v>
      </c>
      <c r="J106" s="58">
        <f t="shared" si="243"/>
        <v>90</v>
      </c>
      <c r="K106" s="58">
        <f t="shared" si="243"/>
        <v>181</v>
      </c>
      <c r="L106" s="130">
        <f t="shared" si="243"/>
        <v>348</v>
      </c>
      <c r="M106" s="58">
        <f t="shared" si="243"/>
        <v>575</v>
      </c>
      <c r="N106" s="58">
        <f t="shared" si="243"/>
        <v>815</v>
      </c>
      <c r="O106" s="58">
        <f t="shared" si="243"/>
        <v>964</v>
      </c>
      <c r="P106" s="58">
        <f t="shared" si="243"/>
        <v>963</v>
      </c>
      <c r="Q106" s="58">
        <f t="shared" si="243"/>
        <v>955</v>
      </c>
      <c r="R106" s="58">
        <f t="shared" si="243"/>
        <v>1213</v>
      </c>
      <c r="S106" s="58">
        <f t="shared" si="243"/>
        <v>1269</v>
      </c>
      <c r="T106" s="58">
        <f t="shared" si="243"/>
        <v>1257</v>
      </c>
      <c r="U106" s="70">
        <f t="shared" si="243"/>
        <v>1204</v>
      </c>
      <c r="V106" s="70">
        <f t="shared" si="243"/>
        <v>1113</v>
      </c>
      <c r="W106" s="70">
        <f t="shared" si="243"/>
        <v>1066</v>
      </c>
      <c r="X106" s="70">
        <f t="shared" si="243"/>
        <v>970</v>
      </c>
      <c r="Y106" s="70">
        <f t="shared" si="243"/>
        <v>894</v>
      </c>
      <c r="Z106" s="70">
        <f t="shared" si="243"/>
        <v>801</v>
      </c>
      <c r="AA106" s="70">
        <f t="shared" si="243"/>
        <v>697</v>
      </c>
      <c r="AB106" s="242">
        <f t="shared" si="243"/>
        <v>669</v>
      </c>
      <c r="AC106" s="242">
        <f t="shared" si="243"/>
        <v>582</v>
      </c>
      <c r="AD106" s="242">
        <f t="shared" si="243"/>
        <v>680</v>
      </c>
      <c r="AE106" s="242">
        <f t="shared" si="243"/>
        <v>762</v>
      </c>
      <c r="AF106" s="242">
        <f t="shared" si="243"/>
        <v>808</v>
      </c>
      <c r="AG106" s="242">
        <f t="shared" si="243"/>
        <v>781</v>
      </c>
      <c r="AH106" s="242">
        <f t="shared" ref="AH106:AI106" si="244">SUM(AH101:AH105)</f>
        <v>773</v>
      </c>
      <c r="AI106" s="242">
        <f t="shared" si="244"/>
        <v>721</v>
      </c>
      <c r="AJ106" s="242">
        <f t="shared" ref="AJ106:AK106" si="245">SUM(AJ101:AJ105)</f>
        <v>719</v>
      </c>
      <c r="AK106" s="242">
        <f t="shared" si="245"/>
        <v>706</v>
      </c>
      <c r="AL106" s="242">
        <f t="shared" ref="AL106:AM106" si="246">SUM(AL101:AL105)</f>
        <v>711</v>
      </c>
      <c r="AM106" s="242">
        <f t="shared" si="246"/>
        <v>617</v>
      </c>
      <c r="AN106" s="242">
        <f t="shared" ref="AN106:AO106" si="247">SUM(AN101:AN105)</f>
        <v>580</v>
      </c>
      <c r="AO106" s="242">
        <f t="shared" si="247"/>
        <v>571</v>
      </c>
      <c r="AP106" s="242">
        <f t="shared" ref="AP106:AQ106" si="248">SUM(AP101:AP105)</f>
        <v>528</v>
      </c>
      <c r="AQ106" s="242">
        <f t="shared" si="248"/>
        <v>425</v>
      </c>
      <c r="AR106" s="242">
        <f t="shared" ref="AR106:AS106" si="249">SUM(AR101:AR105)</f>
        <v>396</v>
      </c>
      <c r="AS106" s="242">
        <f t="shared" si="249"/>
        <v>462</v>
      </c>
      <c r="AT106" s="242">
        <f t="shared" ref="AT106:AU106" si="250">SUM(AT101:AT105)</f>
        <v>499</v>
      </c>
      <c r="AU106" s="242">
        <f t="shared" si="250"/>
        <v>504</v>
      </c>
      <c r="AV106" s="242">
        <f t="shared" ref="AV106:AW106" si="251">SUM(AV101:AV105)</f>
        <v>524</v>
      </c>
      <c r="AW106" s="242">
        <f t="shared" si="251"/>
        <v>526</v>
      </c>
      <c r="AX106" s="242">
        <f t="shared" ref="AX106" si="252">SUM(AX101:AX105)</f>
        <v>529</v>
      </c>
    </row>
    <row r="107" spans="1:50"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row>
    <row r="108" spans="1:50"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row>
    <row r="109" spans="1:50"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row>
    <row r="110" spans="1:50"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row>
    <row r="111" spans="1:50"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row>
    <row r="112" spans="1:50"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row>
    <row r="113" spans="1:50" x14ac:dyDescent="0.25">
      <c r="A113" s="4"/>
      <c r="B113" s="35" t="s">
        <v>41</v>
      </c>
      <c r="C113" s="222">
        <f>SUM(C108:C112)</f>
        <v>0</v>
      </c>
      <c r="D113" s="73">
        <f>SUM(D108:D112)</f>
        <v>0</v>
      </c>
      <c r="E113" s="73">
        <f t="shared" ref="E113:AG113" si="253">SUM(E108:E112)</f>
        <v>0</v>
      </c>
      <c r="F113" s="73">
        <f t="shared" si="253"/>
        <v>0</v>
      </c>
      <c r="G113" s="73">
        <f t="shared" si="253"/>
        <v>0</v>
      </c>
      <c r="H113" s="73">
        <f t="shared" si="253"/>
        <v>0</v>
      </c>
      <c r="I113" s="73">
        <f t="shared" si="253"/>
        <v>0</v>
      </c>
      <c r="J113" s="73">
        <f t="shared" si="253"/>
        <v>0</v>
      </c>
      <c r="K113" s="73">
        <f t="shared" si="253"/>
        <v>0</v>
      </c>
      <c r="L113" s="74">
        <f t="shared" si="253"/>
        <v>0</v>
      </c>
      <c r="M113" s="222">
        <f t="shared" si="253"/>
        <v>0</v>
      </c>
      <c r="N113" s="73">
        <f t="shared" si="253"/>
        <v>0</v>
      </c>
      <c r="O113" s="73">
        <f t="shared" si="253"/>
        <v>0</v>
      </c>
      <c r="P113" s="73">
        <f t="shared" si="253"/>
        <v>0</v>
      </c>
      <c r="Q113" s="73">
        <f t="shared" si="253"/>
        <v>0</v>
      </c>
      <c r="R113" s="73">
        <f t="shared" si="253"/>
        <v>0</v>
      </c>
      <c r="S113" s="73">
        <f>SUM(S108:S112)</f>
        <v>0</v>
      </c>
      <c r="T113" s="73">
        <f t="shared" si="253"/>
        <v>0</v>
      </c>
      <c r="U113" s="74">
        <f t="shared" si="253"/>
        <v>0</v>
      </c>
      <c r="V113" s="74">
        <f t="shared" si="253"/>
        <v>0</v>
      </c>
      <c r="W113" s="74">
        <f t="shared" si="253"/>
        <v>13</v>
      </c>
      <c r="X113" s="74">
        <f t="shared" si="253"/>
        <v>16</v>
      </c>
      <c r="Y113" s="74">
        <f t="shared" si="253"/>
        <v>5</v>
      </c>
      <c r="Z113" s="74">
        <f t="shared" si="253"/>
        <v>9</v>
      </c>
      <c r="AA113" s="74">
        <f t="shared" si="253"/>
        <v>1</v>
      </c>
      <c r="AB113" s="250">
        <f t="shared" si="253"/>
        <v>0</v>
      </c>
      <c r="AC113" s="250">
        <f t="shared" si="253"/>
        <v>4</v>
      </c>
      <c r="AD113" s="250">
        <f t="shared" si="253"/>
        <v>4</v>
      </c>
      <c r="AE113" s="250">
        <f t="shared" si="253"/>
        <v>3</v>
      </c>
      <c r="AF113" s="250">
        <f t="shared" si="253"/>
        <v>0</v>
      </c>
      <c r="AG113" s="250">
        <f t="shared" si="253"/>
        <v>0</v>
      </c>
      <c r="AH113" s="250">
        <f t="shared" ref="AH113:AI113" si="254">SUM(AH108:AH112)</f>
        <v>0</v>
      </c>
      <c r="AI113" s="250">
        <f t="shared" si="254"/>
        <v>0</v>
      </c>
      <c r="AJ113" s="250">
        <f t="shared" ref="AJ113:AK113" si="255">SUM(AJ108:AJ112)</f>
        <v>0</v>
      </c>
      <c r="AK113" s="250">
        <f t="shared" si="255"/>
        <v>0</v>
      </c>
      <c r="AL113" s="250">
        <f t="shared" ref="AL113:AM113" si="256">SUM(AL108:AL112)</f>
        <v>0</v>
      </c>
      <c r="AM113" s="250">
        <f t="shared" si="256"/>
        <v>0</v>
      </c>
      <c r="AN113" s="250">
        <f t="shared" ref="AN113:AO113" si="257">SUM(AN108:AN112)</f>
        <v>0</v>
      </c>
      <c r="AO113" s="250">
        <f t="shared" si="257"/>
        <v>6</v>
      </c>
      <c r="AP113" s="250">
        <f t="shared" ref="AP113:AQ113" si="258">SUM(AP108:AP112)</f>
        <v>0</v>
      </c>
      <c r="AQ113" s="250">
        <f t="shared" si="258"/>
        <v>0</v>
      </c>
      <c r="AR113" s="250">
        <f t="shared" ref="AR113:AS113" si="259">SUM(AR108:AR112)</f>
        <v>0</v>
      </c>
      <c r="AS113" s="250">
        <f t="shared" si="259"/>
        <v>0</v>
      </c>
      <c r="AT113" s="250">
        <f t="shared" ref="AT113:AU113" si="260">SUM(AT108:AT112)</f>
        <v>0</v>
      </c>
      <c r="AU113" s="250">
        <f t="shared" si="260"/>
        <v>0</v>
      </c>
      <c r="AV113" s="250">
        <f t="shared" ref="AV113:AW113" si="261">SUM(AV108:AV112)</f>
        <v>0</v>
      </c>
      <c r="AW113" s="250">
        <f t="shared" si="261"/>
        <v>0</v>
      </c>
      <c r="AX113" s="250">
        <f t="shared" ref="AX113" si="262">SUM(AX108:AX112)</f>
        <v>0</v>
      </c>
    </row>
    <row r="114" spans="1:50"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row>
    <row r="115" spans="1:50"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row>
    <row r="116" spans="1:50"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row>
    <row r="117" spans="1:50"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row>
    <row r="118" spans="1:50"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row>
    <row r="119" spans="1:50"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row>
    <row r="120" spans="1:50" ht="15.75" thickBot="1" x14ac:dyDescent="0.3">
      <c r="A120" s="4"/>
      <c r="B120" s="36" t="s">
        <v>41</v>
      </c>
      <c r="C120" s="151">
        <f>SUM(C115:C119)</f>
        <v>255</v>
      </c>
      <c r="D120" s="152">
        <f>SUM(D115:D119)</f>
        <v>148</v>
      </c>
      <c r="E120" s="152">
        <f t="shared" ref="E120:AG120" si="263">SUM(E115:E119)</f>
        <v>165</v>
      </c>
      <c r="F120" s="152">
        <f t="shared" si="263"/>
        <v>146</v>
      </c>
      <c r="G120" s="152">
        <f t="shared" si="263"/>
        <v>149</v>
      </c>
      <c r="H120" s="152">
        <f t="shared" si="263"/>
        <v>146</v>
      </c>
      <c r="I120" s="152">
        <f t="shared" si="263"/>
        <v>140</v>
      </c>
      <c r="J120" s="152">
        <f t="shared" si="263"/>
        <v>133</v>
      </c>
      <c r="K120" s="152">
        <f t="shared" si="263"/>
        <v>148</v>
      </c>
      <c r="L120" s="153">
        <f t="shared" si="263"/>
        <v>187</v>
      </c>
      <c r="M120" s="152">
        <f t="shared" si="263"/>
        <v>181</v>
      </c>
      <c r="N120" s="201">
        <f t="shared" si="263"/>
        <v>156</v>
      </c>
      <c r="O120" s="152">
        <f t="shared" si="263"/>
        <v>162</v>
      </c>
      <c r="P120" s="152">
        <f t="shared" si="263"/>
        <v>161</v>
      </c>
      <c r="Q120" s="152">
        <f t="shared" si="263"/>
        <v>166</v>
      </c>
      <c r="R120" s="152">
        <f t="shared" si="263"/>
        <v>144</v>
      </c>
      <c r="S120" s="152">
        <f t="shared" si="263"/>
        <v>129</v>
      </c>
      <c r="T120" s="152">
        <f t="shared" si="263"/>
        <v>138</v>
      </c>
      <c r="U120" s="153">
        <f t="shared" si="263"/>
        <v>138</v>
      </c>
      <c r="V120" s="153">
        <f t="shared" si="263"/>
        <v>121</v>
      </c>
      <c r="W120" s="153">
        <f t="shared" si="263"/>
        <v>117</v>
      </c>
      <c r="X120" s="153">
        <f t="shared" si="263"/>
        <v>110</v>
      </c>
      <c r="Y120" s="153">
        <f t="shared" si="263"/>
        <v>129</v>
      </c>
      <c r="Z120" s="153">
        <f t="shared" si="263"/>
        <v>104</v>
      </c>
      <c r="AA120" s="297">
        <f t="shared" si="263"/>
        <v>100</v>
      </c>
      <c r="AB120" s="298">
        <f t="shared" si="263"/>
        <v>91</v>
      </c>
      <c r="AC120" s="298">
        <f t="shared" si="263"/>
        <v>108</v>
      </c>
      <c r="AD120" s="298">
        <f t="shared" si="263"/>
        <v>183</v>
      </c>
      <c r="AE120" s="298">
        <f t="shared" si="263"/>
        <v>203</v>
      </c>
      <c r="AF120" s="298">
        <f t="shared" si="263"/>
        <v>319</v>
      </c>
      <c r="AG120" s="298">
        <f t="shared" si="263"/>
        <v>420</v>
      </c>
      <c r="AH120" s="298">
        <f t="shared" ref="AH120:AI120" si="264">SUM(AH115:AH119)</f>
        <v>458</v>
      </c>
      <c r="AI120" s="298">
        <f t="shared" si="264"/>
        <v>451</v>
      </c>
      <c r="AJ120" s="298">
        <f t="shared" ref="AJ120:AK120" si="265">SUM(AJ115:AJ119)</f>
        <v>438</v>
      </c>
      <c r="AK120" s="298">
        <f t="shared" si="265"/>
        <v>424</v>
      </c>
      <c r="AL120" s="298">
        <f t="shared" ref="AL120:AM120" si="266">SUM(AL115:AL119)</f>
        <v>345</v>
      </c>
      <c r="AM120" s="298">
        <f t="shared" si="266"/>
        <v>267</v>
      </c>
      <c r="AN120" s="298">
        <f t="shared" ref="AN120:AO120" si="267">SUM(AN115:AN119)</f>
        <v>224</v>
      </c>
      <c r="AO120" s="298">
        <f t="shared" si="267"/>
        <v>208</v>
      </c>
      <c r="AP120" s="298">
        <f t="shared" ref="AP120:AQ120" si="268">SUM(AP115:AP119)</f>
        <v>178</v>
      </c>
      <c r="AQ120" s="298">
        <f t="shared" si="268"/>
        <v>158</v>
      </c>
      <c r="AR120" s="298">
        <f t="shared" ref="AR120:AS120" si="269">SUM(AR115:AR119)</f>
        <v>160</v>
      </c>
      <c r="AS120" s="298">
        <f t="shared" si="269"/>
        <v>155</v>
      </c>
      <c r="AT120" s="298">
        <f t="shared" ref="AT120:AU120" si="270">SUM(AT115:AT119)</f>
        <v>171</v>
      </c>
      <c r="AU120" s="298">
        <f t="shared" si="270"/>
        <v>168</v>
      </c>
      <c r="AV120" s="298">
        <f t="shared" ref="AV120:AW120" si="271">SUM(AV115:AV119)</f>
        <v>151</v>
      </c>
      <c r="AW120" s="298">
        <f t="shared" si="271"/>
        <v>159</v>
      </c>
      <c r="AX120" s="298">
        <f t="shared" ref="AX120" si="272">SUM(AX115:AX119)</f>
        <v>164</v>
      </c>
    </row>
    <row r="121" spans="1:50"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row>
    <row r="122" spans="1:50"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row>
    <row r="123" spans="1:50"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row>
    <row r="124" spans="1:50"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row>
    <row r="125" spans="1:50"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row>
    <row r="126" spans="1:50"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row>
    <row r="127" spans="1:50" ht="15.75" thickBot="1" x14ac:dyDescent="0.3">
      <c r="A127" s="4"/>
      <c r="B127" s="36" t="s">
        <v>41</v>
      </c>
      <c r="C127" s="151">
        <f>SUM(C122:C126)</f>
        <v>617</v>
      </c>
      <c r="D127" s="152">
        <f>SUM(D122:D126)</f>
        <v>470</v>
      </c>
      <c r="E127" s="152">
        <f t="shared" ref="E127:AG127" si="273">SUM(E122:E126)</f>
        <v>352</v>
      </c>
      <c r="F127" s="152">
        <f t="shared" si="273"/>
        <v>471</v>
      </c>
      <c r="G127" s="152">
        <f t="shared" si="273"/>
        <v>337</v>
      </c>
      <c r="H127" s="152">
        <f t="shared" si="273"/>
        <v>403</v>
      </c>
      <c r="I127" s="152">
        <f t="shared" si="273"/>
        <v>347</v>
      </c>
      <c r="J127" s="152">
        <f t="shared" si="273"/>
        <v>326</v>
      </c>
      <c r="K127" s="152">
        <f t="shared" si="273"/>
        <v>301</v>
      </c>
      <c r="L127" s="197">
        <f t="shared" si="273"/>
        <v>263</v>
      </c>
      <c r="M127" s="152">
        <f t="shared" si="273"/>
        <v>368</v>
      </c>
      <c r="N127" s="201">
        <f t="shared" si="273"/>
        <v>333</v>
      </c>
      <c r="O127" s="152">
        <f t="shared" si="273"/>
        <v>270</v>
      </c>
      <c r="P127" s="152">
        <f t="shared" si="273"/>
        <v>1458</v>
      </c>
      <c r="Q127" s="152">
        <f t="shared" si="273"/>
        <v>1174</v>
      </c>
      <c r="R127" s="152">
        <f t="shared" si="273"/>
        <v>801</v>
      </c>
      <c r="S127" s="152">
        <f t="shared" si="273"/>
        <v>508</v>
      </c>
      <c r="T127" s="152">
        <f t="shared" si="273"/>
        <v>447</v>
      </c>
      <c r="U127" s="153">
        <f t="shared" si="273"/>
        <v>5868</v>
      </c>
      <c r="V127" s="153">
        <f t="shared" si="273"/>
        <v>6009</v>
      </c>
      <c r="W127" s="153">
        <f t="shared" si="273"/>
        <v>6295</v>
      </c>
      <c r="X127" s="153">
        <f t="shared" si="273"/>
        <v>7080</v>
      </c>
      <c r="Y127" s="153">
        <f t="shared" si="273"/>
        <v>5840</v>
      </c>
      <c r="Z127" s="153">
        <f t="shared" si="273"/>
        <v>5837</v>
      </c>
      <c r="AA127" s="297">
        <f t="shared" si="273"/>
        <v>5752</v>
      </c>
      <c r="AB127" s="298">
        <f t="shared" si="273"/>
        <v>5696</v>
      </c>
      <c r="AC127" s="298">
        <f t="shared" si="273"/>
        <v>5668</v>
      </c>
      <c r="AD127" s="298">
        <f t="shared" si="273"/>
        <v>5513</v>
      </c>
      <c r="AE127" s="298">
        <f t="shared" si="273"/>
        <v>5336</v>
      </c>
      <c r="AF127" s="298">
        <f t="shared" si="273"/>
        <v>4534</v>
      </c>
      <c r="AG127" s="298">
        <f t="shared" si="273"/>
        <v>4597</v>
      </c>
      <c r="AH127" s="298">
        <f t="shared" ref="AH127:AI127" si="274">SUM(AH122:AH126)</f>
        <v>3440</v>
      </c>
      <c r="AI127" s="298">
        <f t="shared" si="274"/>
        <v>3663</v>
      </c>
      <c r="AJ127" s="298">
        <f t="shared" ref="AJ127:AK127" si="275">SUM(AJ122:AJ126)</f>
        <v>3394</v>
      </c>
      <c r="AK127" s="298">
        <f t="shared" si="275"/>
        <v>3379</v>
      </c>
      <c r="AL127" s="298">
        <f t="shared" ref="AL127:AM127" si="276">SUM(AL122:AL126)</f>
        <v>3357</v>
      </c>
      <c r="AM127" s="298">
        <f t="shared" si="276"/>
        <v>3351</v>
      </c>
      <c r="AN127" s="298">
        <f t="shared" ref="AN127:AO127" si="277">SUM(AN122:AN126)</f>
        <v>3455</v>
      </c>
      <c r="AO127" s="298">
        <f t="shared" si="277"/>
        <v>3362</v>
      </c>
      <c r="AP127" s="298">
        <f t="shared" ref="AP127:AQ127" si="278">SUM(AP122:AP126)</f>
        <v>3339</v>
      </c>
      <c r="AQ127" s="298">
        <f t="shared" si="278"/>
        <v>3236</v>
      </c>
      <c r="AR127" s="298">
        <f t="shared" ref="AR127:AS127" si="279">SUM(AR122:AR126)</f>
        <v>3335</v>
      </c>
      <c r="AS127" s="298">
        <f t="shared" si="279"/>
        <v>3295</v>
      </c>
      <c r="AT127" s="298">
        <f t="shared" ref="AT127:AU127" si="280">SUM(AT122:AT126)</f>
        <v>3654</v>
      </c>
      <c r="AU127" s="298">
        <f t="shared" si="280"/>
        <v>3706</v>
      </c>
      <c r="AV127" s="298">
        <f t="shared" ref="AV127:AW127" si="281">SUM(AV122:AV126)</f>
        <v>4025</v>
      </c>
      <c r="AW127" s="298">
        <f t="shared" si="281"/>
        <v>3936</v>
      </c>
      <c r="AX127" s="298">
        <f t="shared" ref="AX127" si="282">SUM(AX122:AX126)</f>
        <v>4312</v>
      </c>
    </row>
    <row r="128" spans="1:50"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row>
    <row r="129" spans="1:50"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row>
    <row r="130" spans="1:50"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row>
    <row r="131" spans="1:50"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row>
    <row r="132" spans="1:50"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row>
    <row r="133" spans="1:50"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row>
    <row r="134" spans="1:50" ht="15.75" thickBot="1" x14ac:dyDescent="0.3">
      <c r="A134" s="4"/>
      <c r="B134" s="36" t="s">
        <v>41</v>
      </c>
      <c r="C134" s="220">
        <f>SUM(C129:C133)</f>
        <v>94</v>
      </c>
      <c r="D134" s="201">
        <f>SUM(D129:D133)</f>
        <v>42</v>
      </c>
      <c r="E134" s="201">
        <f t="shared" ref="E134:V134" si="283">SUM(E129:E133)</f>
        <v>48</v>
      </c>
      <c r="F134" s="201">
        <f t="shared" si="283"/>
        <v>43</v>
      </c>
      <c r="G134" s="201">
        <f t="shared" si="283"/>
        <v>24</v>
      </c>
      <c r="H134" s="201">
        <f t="shared" si="283"/>
        <v>43</v>
      </c>
      <c r="I134" s="201">
        <f t="shared" si="283"/>
        <v>47</v>
      </c>
      <c r="J134" s="201">
        <f t="shared" si="283"/>
        <v>0</v>
      </c>
      <c r="K134" s="201">
        <f t="shared" si="283"/>
        <v>0</v>
      </c>
      <c r="L134" s="221">
        <f t="shared" si="283"/>
        <v>0</v>
      </c>
      <c r="M134" s="152">
        <f t="shared" si="283"/>
        <v>0</v>
      </c>
      <c r="N134" s="201">
        <f t="shared" si="283"/>
        <v>0</v>
      </c>
      <c r="O134" s="152">
        <f t="shared" si="283"/>
        <v>0</v>
      </c>
      <c r="P134" s="152">
        <f t="shared" si="283"/>
        <v>0</v>
      </c>
      <c r="Q134" s="152">
        <f t="shared" si="283"/>
        <v>0</v>
      </c>
      <c r="R134" s="152">
        <f t="shared" si="283"/>
        <v>0</v>
      </c>
      <c r="S134" s="152">
        <f t="shared" si="283"/>
        <v>0</v>
      </c>
      <c r="T134" s="152">
        <f t="shared" si="283"/>
        <v>0</v>
      </c>
      <c r="U134" s="153">
        <f t="shared" si="283"/>
        <v>0</v>
      </c>
      <c r="V134" s="246">
        <f t="shared" si="283"/>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row>
    <row r="135" spans="1:50" ht="15.75" thickTop="1" x14ac:dyDescent="0.25">
      <c r="A135" s="4"/>
    </row>
    <row r="136" spans="1:50" x14ac:dyDescent="0.25">
      <c r="B136" s="1" t="s">
        <v>27</v>
      </c>
    </row>
    <row r="137" spans="1:50" x14ac:dyDescent="0.25">
      <c r="B137" s="33" t="s">
        <v>28</v>
      </c>
    </row>
    <row r="140" spans="1:50" x14ac:dyDescent="0.25">
      <c r="B140" s="34" t="s">
        <v>26</v>
      </c>
    </row>
    <row r="141" spans="1:50" ht="97.5" customHeight="1" x14ac:dyDescent="0.25">
      <c r="B141" s="228"/>
      <c r="C141" s="538"/>
      <c r="D141" s="538"/>
      <c r="E141" s="538"/>
      <c r="F141" s="538"/>
      <c r="G141" s="538"/>
      <c r="H141" s="538"/>
      <c r="I141" s="538"/>
      <c r="J141" s="538"/>
      <c r="K141" s="538"/>
      <c r="L141" s="538"/>
    </row>
    <row r="142" spans="1:50" ht="52.5" customHeight="1" x14ac:dyDescent="0.25">
      <c r="B142" s="228"/>
      <c r="C142" s="540"/>
      <c r="D142" s="540"/>
      <c r="E142" s="540"/>
      <c r="F142" s="540"/>
      <c r="G142" s="540"/>
      <c r="H142" s="540"/>
      <c r="I142" s="540"/>
      <c r="J142" s="540"/>
      <c r="K142" s="540"/>
      <c r="L142" s="540"/>
    </row>
    <row r="143" spans="1:50" ht="36.75" customHeight="1" x14ac:dyDescent="0.25">
      <c r="B143" s="228"/>
      <c r="C143" s="538"/>
      <c r="D143" s="538"/>
      <c r="E143" s="538"/>
      <c r="F143" s="538"/>
      <c r="G143" s="538"/>
      <c r="H143" s="538"/>
      <c r="I143" s="538"/>
      <c r="J143" s="538"/>
      <c r="K143" s="538"/>
      <c r="L143" s="538"/>
    </row>
    <row r="144" spans="1:50" ht="54" customHeight="1" x14ac:dyDescent="0.25">
      <c r="B144" s="228"/>
      <c r="C144" s="538"/>
      <c r="D144" s="538"/>
      <c r="E144" s="538"/>
      <c r="F144" s="538"/>
      <c r="G144" s="538"/>
      <c r="H144" s="538"/>
      <c r="I144" s="538"/>
      <c r="J144" s="538"/>
      <c r="K144" s="538"/>
      <c r="L144" s="538"/>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5"/>
  <sheetViews>
    <sheetView tabSelected="1" workbookViewId="0">
      <selection activeCell="K4" sqref="K4"/>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3" width="11.85546875" style="2" bestFit="1" customWidth="1"/>
    <col min="14" max="14" width="11.85546875" style="495" bestFit="1" customWidth="1"/>
    <col min="15" max="15" width="11.85546875" style="496" bestFit="1" customWidth="1"/>
    <col min="16" max="21" width="10.85546875" style="496" bestFit="1" customWidth="1"/>
    <col min="22" max="22" width="10.85546875" style="498" customWidth="1"/>
    <col min="23" max="24" width="10.85546875" style="2" customWidth="1"/>
    <col min="25" max="32" width="9.140625" style="2"/>
    <col min="33" max="35" width="11.5703125" style="2" bestFit="1" customWidth="1"/>
    <col min="36" max="38" width="10.85546875" style="2" bestFit="1" customWidth="1"/>
    <col min="39" max="16384" width="9.140625" style="2"/>
  </cols>
  <sheetData>
    <row r="1" spans="1:46" ht="16.5" thickTop="1" thickBot="1" x14ac:dyDescent="0.3">
      <c r="B1" s="528" t="s">
        <v>19</v>
      </c>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38"/>
      <c r="AC1" s="38"/>
      <c r="AD1" s="38"/>
      <c r="AE1" s="38"/>
      <c r="AF1" s="39"/>
      <c r="AG1" s="312"/>
      <c r="AH1" s="312"/>
      <c r="AI1" s="312"/>
    </row>
    <row r="2" spans="1:46" ht="27.6" customHeight="1" thickTop="1" thickBot="1" x14ac:dyDescent="0.3">
      <c r="B2" s="5" t="s">
        <v>0</v>
      </c>
      <c r="C2" s="531" t="s">
        <v>57</v>
      </c>
      <c r="D2" s="532"/>
      <c r="E2" s="532"/>
      <c r="F2" s="532"/>
      <c r="G2" s="532"/>
      <c r="H2" s="532"/>
      <c r="I2" s="532"/>
      <c r="J2" s="6"/>
      <c r="K2" s="7"/>
      <c r="L2" s="7"/>
      <c r="M2" s="531"/>
      <c r="N2" s="532"/>
      <c r="O2" s="532"/>
      <c r="P2" s="532"/>
      <c r="Q2" s="532"/>
      <c r="R2" s="532"/>
      <c r="S2" s="532"/>
      <c r="T2" s="7"/>
      <c r="U2" s="7"/>
      <c r="V2" s="486"/>
      <c r="W2" s="7"/>
      <c r="X2" s="7"/>
      <c r="Y2" s="7"/>
      <c r="Z2" s="8"/>
      <c r="AA2" s="8"/>
    </row>
    <row r="3" spans="1:46" ht="27.6" customHeight="1" thickTop="1" thickBot="1" x14ac:dyDescent="0.3">
      <c r="B3" s="5" t="s">
        <v>1</v>
      </c>
      <c r="C3" s="531" t="s">
        <v>48</v>
      </c>
      <c r="D3" s="532"/>
      <c r="E3" s="532"/>
      <c r="F3" s="532"/>
      <c r="G3" s="532"/>
      <c r="H3" s="532"/>
      <c r="I3" s="532"/>
      <c r="J3" s="6"/>
      <c r="K3" s="9"/>
      <c r="L3" s="9"/>
      <c r="M3" s="531"/>
      <c r="N3" s="532"/>
      <c r="O3" s="532"/>
      <c r="P3" s="532"/>
      <c r="Q3" s="532"/>
      <c r="R3" s="532"/>
      <c r="S3" s="532"/>
      <c r="T3" s="6"/>
      <c r="U3" s="6"/>
      <c r="V3" s="487"/>
      <c r="W3" s="9"/>
      <c r="X3" s="9"/>
      <c r="Y3" s="9"/>
      <c r="Z3" s="10"/>
      <c r="AA3" s="10"/>
    </row>
    <row r="4" spans="1:46" ht="27.6" customHeight="1" thickTop="1" thickBot="1" x14ac:dyDescent="0.3">
      <c r="B4" s="5" t="s">
        <v>2</v>
      </c>
      <c r="C4" s="533">
        <v>44259</v>
      </c>
      <c r="D4" s="534"/>
      <c r="E4" s="534"/>
      <c r="F4" s="534"/>
      <c r="G4" s="534"/>
      <c r="H4" s="534"/>
      <c r="I4" s="534"/>
      <c r="J4" s="6"/>
      <c r="K4" s="9"/>
      <c r="L4" s="9"/>
      <c r="M4" s="533"/>
      <c r="N4" s="534"/>
      <c r="O4" s="534"/>
      <c r="P4" s="534"/>
      <c r="Q4" s="534"/>
      <c r="R4" s="534"/>
      <c r="S4" s="534"/>
      <c r="T4" s="6"/>
      <c r="U4" s="6"/>
      <c r="V4" s="487"/>
      <c r="W4" s="9"/>
      <c r="X4" s="9"/>
      <c r="Y4" s="9"/>
      <c r="Z4" s="11"/>
      <c r="AA4" s="11"/>
    </row>
    <row r="5" spans="1:46" ht="15.75" thickTop="1" x14ac:dyDescent="0.25">
      <c r="B5" s="5"/>
      <c r="C5" s="12"/>
      <c r="D5" s="12"/>
      <c r="E5" s="12"/>
      <c r="F5" s="6"/>
      <c r="G5" s="7"/>
      <c r="H5" s="6"/>
      <c r="I5" s="7"/>
      <c r="J5" s="6"/>
      <c r="K5" s="9"/>
      <c r="L5" s="9"/>
      <c r="M5" s="9"/>
      <c r="N5" s="488"/>
      <c r="O5" s="6"/>
      <c r="P5" s="6"/>
      <c r="Q5" s="6"/>
      <c r="R5" s="6"/>
      <c r="S5" s="6"/>
      <c r="T5" s="6"/>
      <c r="U5" s="6"/>
      <c r="V5" s="487"/>
      <c r="W5" s="9"/>
      <c r="X5" s="9"/>
      <c r="Y5" s="9"/>
      <c r="Z5" s="11"/>
      <c r="AA5" s="11"/>
    </row>
    <row r="6" spans="1:46" ht="15.75" thickBot="1" x14ac:dyDescent="0.3">
      <c r="B6" s="13"/>
      <c r="C6" s="14"/>
      <c r="D6" s="15"/>
      <c r="E6" s="15"/>
      <c r="F6" s="16"/>
      <c r="G6" s="17"/>
      <c r="H6" s="18"/>
      <c r="I6" s="17"/>
      <c r="J6" s="19"/>
      <c r="K6" s="18"/>
      <c r="L6" s="18"/>
      <c r="M6" s="18"/>
      <c r="N6" s="489"/>
      <c r="O6" s="414"/>
      <c r="P6" s="414"/>
      <c r="Q6" s="414"/>
      <c r="R6" s="414"/>
      <c r="S6" s="414"/>
      <c r="T6" s="414"/>
      <c r="U6" s="414"/>
      <c r="V6" s="490"/>
      <c r="W6" s="18"/>
      <c r="X6" s="18"/>
      <c r="Y6" s="18"/>
      <c r="Z6" s="20"/>
      <c r="AA6" s="20"/>
    </row>
    <row r="7" spans="1:46" s="3" customFormat="1" ht="15.75" thickBot="1" x14ac:dyDescent="0.3">
      <c r="B7" s="21"/>
      <c r="C7" s="22">
        <v>2019</v>
      </c>
      <c r="D7" s="23"/>
      <c r="E7" s="23"/>
      <c r="F7" s="23"/>
      <c r="G7" s="23"/>
      <c r="H7" s="23"/>
      <c r="I7" s="23"/>
      <c r="J7" s="23"/>
      <c r="K7" s="23"/>
      <c r="L7" s="195"/>
      <c r="M7" s="202">
        <v>2020</v>
      </c>
      <c r="N7" s="491"/>
      <c r="O7" s="25"/>
      <c r="P7" s="23"/>
      <c r="Q7" s="23"/>
      <c r="R7" s="23"/>
      <c r="S7" s="23"/>
      <c r="T7" s="23"/>
      <c r="U7" s="26"/>
      <c r="V7" s="492"/>
      <c r="W7" s="202"/>
      <c r="X7" s="202"/>
      <c r="Y7" s="22">
        <v>2021</v>
      </c>
      <c r="Z7" s="23"/>
      <c r="AA7" s="23"/>
      <c r="AB7" s="23"/>
      <c r="AC7" s="23"/>
      <c r="AD7" s="23"/>
      <c r="AE7" s="23"/>
      <c r="AF7" s="24"/>
      <c r="AG7" s="339"/>
      <c r="AH7" s="447"/>
      <c r="AI7" s="447"/>
      <c r="AJ7" s="508"/>
      <c r="AK7" s="25" t="s">
        <v>15</v>
      </c>
      <c r="AL7" s="23"/>
      <c r="AM7" s="23"/>
      <c r="AN7" s="23"/>
      <c r="AO7" s="23"/>
      <c r="AP7" s="23"/>
      <c r="AQ7" s="24"/>
      <c r="AR7" s="446"/>
      <c r="AS7" s="447"/>
      <c r="AT7" s="447"/>
    </row>
    <row r="8" spans="1:46" ht="15.75" thickBot="1" x14ac:dyDescent="0.3">
      <c r="B8" s="27"/>
      <c r="C8" s="28" t="s">
        <v>9</v>
      </c>
      <c r="D8" s="29" t="s">
        <v>10</v>
      </c>
      <c r="E8" s="29" t="s">
        <v>16</v>
      </c>
      <c r="F8" s="29" t="s">
        <v>11</v>
      </c>
      <c r="G8" s="29" t="s">
        <v>17</v>
      </c>
      <c r="H8" s="29" t="s">
        <v>3</v>
      </c>
      <c r="I8" s="29" t="s">
        <v>13</v>
      </c>
      <c r="J8" s="29" t="s">
        <v>4</v>
      </c>
      <c r="K8" s="29" t="s">
        <v>5</v>
      </c>
      <c r="L8" s="196" t="s">
        <v>6</v>
      </c>
      <c r="M8" s="318" t="s">
        <v>7</v>
      </c>
      <c r="N8" s="493" t="s">
        <v>8</v>
      </c>
      <c r="O8" s="30" t="s">
        <v>9</v>
      </c>
      <c r="P8" s="29" t="s">
        <v>10</v>
      </c>
      <c r="Q8" s="29" t="s">
        <v>16</v>
      </c>
      <c r="R8" s="29" t="s">
        <v>11</v>
      </c>
      <c r="S8" s="29" t="s">
        <v>12</v>
      </c>
      <c r="T8" s="29" t="s">
        <v>3</v>
      </c>
      <c r="U8" s="31" t="s">
        <v>13</v>
      </c>
      <c r="V8" s="494" t="s">
        <v>4</v>
      </c>
      <c r="W8" s="318" t="s">
        <v>5</v>
      </c>
      <c r="X8" s="318" t="s">
        <v>6</v>
      </c>
      <c r="Y8" s="509" t="s">
        <v>7</v>
      </c>
      <c r="Z8" s="516" t="s">
        <v>8</v>
      </c>
      <c r="AA8" s="30" t="s">
        <v>9</v>
      </c>
      <c r="AB8" s="29" t="s">
        <v>10</v>
      </c>
      <c r="AC8" s="29" t="s">
        <v>16</v>
      </c>
      <c r="AD8" s="29" t="s">
        <v>11</v>
      </c>
      <c r="AE8" s="29" t="s">
        <v>12</v>
      </c>
      <c r="AF8" s="29" t="s">
        <v>3</v>
      </c>
      <c r="AG8" s="499" t="s">
        <v>13</v>
      </c>
      <c r="AH8" s="454" t="s">
        <v>4</v>
      </c>
      <c r="AI8" s="454" t="s">
        <v>5</v>
      </c>
      <c r="AJ8" s="507" t="s">
        <v>6</v>
      </c>
      <c r="AK8" s="30" t="s">
        <v>9</v>
      </c>
      <c r="AL8" s="29" t="s">
        <v>10</v>
      </c>
      <c r="AM8" s="29" t="s">
        <v>16</v>
      </c>
      <c r="AN8" s="29" t="s">
        <v>11</v>
      </c>
      <c r="AO8" s="29" t="s">
        <v>12</v>
      </c>
      <c r="AP8" s="29" t="s">
        <v>3</v>
      </c>
      <c r="AQ8" s="32" t="s">
        <v>13</v>
      </c>
      <c r="AR8" s="451" t="s">
        <v>4</v>
      </c>
      <c r="AS8" s="452" t="s">
        <v>5</v>
      </c>
      <c r="AT8" s="452" t="s">
        <v>6</v>
      </c>
    </row>
    <row r="9" spans="1:46" x14ac:dyDescent="0.25">
      <c r="A9" s="4">
        <v>1</v>
      </c>
      <c r="B9" s="40" t="s">
        <v>14</v>
      </c>
      <c r="C9" s="48"/>
      <c r="D9" s="49"/>
      <c r="E9" s="49"/>
      <c r="F9" s="49"/>
      <c r="G9" s="49"/>
      <c r="H9" s="49"/>
      <c r="I9" s="49"/>
      <c r="J9" s="49"/>
      <c r="K9" s="49"/>
      <c r="L9" s="50"/>
      <c r="M9" s="319"/>
      <c r="N9" s="49"/>
      <c r="O9" s="51"/>
      <c r="P9" s="49"/>
      <c r="Q9" s="49"/>
      <c r="R9" s="49"/>
      <c r="S9" s="49"/>
      <c r="T9" s="49"/>
      <c r="U9" s="471"/>
      <c r="V9" s="49"/>
      <c r="W9" s="319"/>
      <c r="X9" s="50"/>
      <c r="Y9" s="4"/>
      <c r="Z9" s="4"/>
      <c r="AA9" s="51"/>
      <c r="AB9" s="52"/>
      <c r="AC9" s="53"/>
      <c r="AD9" s="53"/>
      <c r="AE9" s="53"/>
      <c r="AF9" s="53"/>
      <c r="AG9" s="500"/>
      <c r="AH9" s="449"/>
      <c r="AI9" s="449"/>
      <c r="AJ9" s="506"/>
      <c r="AK9" s="51"/>
      <c r="AL9" s="52"/>
      <c r="AM9" s="53"/>
      <c r="AN9" s="53"/>
      <c r="AO9" s="53"/>
      <c r="AP9" s="53"/>
      <c r="AQ9" s="54"/>
      <c r="AR9" s="230"/>
      <c r="AS9" s="230"/>
      <c r="AT9" s="424"/>
    </row>
    <row r="10" spans="1:46" x14ac:dyDescent="0.25">
      <c r="A10" s="4"/>
      <c r="B10" s="35" t="s">
        <v>60</v>
      </c>
      <c r="C10" s="55">
        <v>1628</v>
      </c>
      <c r="D10" s="56">
        <v>1607</v>
      </c>
      <c r="E10" s="56">
        <v>1601</v>
      </c>
      <c r="F10" s="56">
        <v>1598</v>
      </c>
      <c r="G10" s="56">
        <v>1596</v>
      </c>
      <c r="H10" s="56">
        <v>1594</v>
      </c>
      <c r="I10" s="56">
        <v>1603</v>
      </c>
      <c r="J10" s="56">
        <v>1608</v>
      </c>
      <c r="K10" s="56">
        <v>1634</v>
      </c>
      <c r="L10" s="57">
        <v>1642</v>
      </c>
      <c r="M10" s="338">
        <v>1638</v>
      </c>
      <c r="N10" s="56">
        <v>1634</v>
      </c>
      <c r="O10" s="58">
        <v>1631</v>
      </c>
      <c r="P10" s="56">
        <v>1625</v>
      </c>
      <c r="Q10" s="56">
        <v>1627</v>
      </c>
      <c r="R10" s="56">
        <v>1628</v>
      </c>
      <c r="S10" s="56">
        <v>1631</v>
      </c>
      <c r="T10" s="56">
        <v>1634</v>
      </c>
      <c r="U10" s="264">
        <v>1637</v>
      </c>
      <c r="V10" s="56">
        <v>1643</v>
      </c>
      <c r="W10" s="338">
        <v>1646</v>
      </c>
      <c r="X10" s="57">
        <v>1646</v>
      </c>
      <c r="Y10" s="4">
        <v>1641</v>
      </c>
      <c r="Z10" s="4">
        <v>1638</v>
      </c>
      <c r="AA10" s="58"/>
      <c r="AB10" s="58"/>
      <c r="AC10" s="58"/>
      <c r="AD10" s="58"/>
      <c r="AE10" s="58"/>
      <c r="AF10" s="58"/>
      <c r="AG10" s="242"/>
      <c r="AH10" s="69"/>
      <c r="AI10" s="69"/>
      <c r="AJ10" s="70"/>
      <c r="AK10" s="58">
        <f t="shared" ref="AK10:AT10" si="0">C10-O10</f>
        <v>-3</v>
      </c>
      <c r="AL10" s="58">
        <f t="shared" si="0"/>
        <v>-18</v>
      </c>
      <c r="AM10" s="58">
        <f t="shared" si="0"/>
        <v>-26</v>
      </c>
      <c r="AN10" s="58">
        <f t="shared" si="0"/>
        <v>-30</v>
      </c>
      <c r="AO10" s="58">
        <f t="shared" si="0"/>
        <v>-35</v>
      </c>
      <c r="AP10" s="58">
        <f t="shared" si="0"/>
        <v>-40</v>
      </c>
      <c r="AQ10" s="58">
        <f t="shared" si="0"/>
        <v>-34</v>
      </c>
      <c r="AR10" s="58">
        <f t="shared" si="0"/>
        <v>-35</v>
      </c>
      <c r="AS10" s="58">
        <f t="shared" si="0"/>
        <v>-12</v>
      </c>
      <c r="AT10" s="58">
        <f t="shared" si="0"/>
        <v>-4</v>
      </c>
    </row>
    <row r="11" spans="1:46" x14ac:dyDescent="0.25">
      <c r="A11" s="4"/>
      <c r="B11" s="35" t="s">
        <v>61</v>
      </c>
      <c r="C11" s="55"/>
      <c r="D11" s="56"/>
      <c r="E11" s="56"/>
      <c r="F11" s="56"/>
      <c r="G11" s="56"/>
      <c r="H11" s="56"/>
      <c r="I11" s="56"/>
      <c r="J11" s="56"/>
      <c r="K11" s="56"/>
      <c r="L11" s="57"/>
      <c r="M11" s="338"/>
      <c r="N11" s="56"/>
      <c r="O11" s="58"/>
      <c r="P11" s="56"/>
      <c r="Q11" s="56"/>
      <c r="R11" s="56"/>
      <c r="S11" s="56"/>
      <c r="T11" s="56"/>
      <c r="U11" s="264"/>
      <c r="V11" s="56"/>
      <c r="W11" s="338"/>
      <c r="X11" s="57"/>
      <c r="Y11" s="4"/>
      <c r="Z11" s="4"/>
      <c r="AA11" s="58"/>
      <c r="AB11" s="58"/>
      <c r="AC11" s="58"/>
      <c r="AD11" s="58"/>
      <c r="AE11" s="58"/>
      <c r="AF11" s="58"/>
      <c r="AG11" s="242"/>
      <c r="AH11" s="69"/>
      <c r="AI11" s="69"/>
      <c r="AJ11" s="70"/>
      <c r="AK11" s="58">
        <f t="shared" ref="AK11:AK16" si="1">C11-O11</f>
        <v>0</v>
      </c>
      <c r="AL11" s="58">
        <f t="shared" ref="AL11:AT16" si="2">D11-P11</f>
        <v>0</v>
      </c>
      <c r="AM11" s="58">
        <f t="shared" si="2"/>
        <v>0</v>
      </c>
      <c r="AN11" s="58">
        <f t="shared" si="2"/>
        <v>0</v>
      </c>
      <c r="AO11" s="58">
        <f t="shared" si="2"/>
        <v>0</v>
      </c>
      <c r="AP11" s="58">
        <f t="shared" si="2"/>
        <v>0</v>
      </c>
      <c r="AQ11" s="58">
        <f t="shared" si="2"/>
        <v>0</v>
      </c>
      <c r="AR11" s="58">
        <f t="shared" si="2"/>
        <v>0</v>
      </c>
      <c r="AS11" s="58">
        <f t="shared" si="2"/>
        <v>0</v>
      </c>
      <c r="AT11" s="58">
        <f t="shared" si="2"/>
        <v>0</v>
      </c>
    </row>
    <row r="12" spans="1:46" x14ac:dyDescent="0.25">
      <c r="A12" s="4"/>
      <c r="B12" s="35" t="s">
        <v>62</v>
      </c>
      <c r="C12" s="55">
        <v>104</v>
      </c>
      <c r="D12" s="56">
        <v>115</v>
      </c>
      <c r="E12" s="56">
        <v>118</v>
      </c>
      <c r="F12" s="56">
        <v>117</v>
      </c>
      <c r="G12" s="56">
        <v>116</v>
      </c>
      <c r="H12" s="56">
        <v>114</v>
      </c>
      <c r="I12" s="56">
        <v>116</v>
      </c>
      <c r="J12" s="56">
        <v>117</v>
      </c>
      <c r="K12" s="56">
        <v>113</v>
      </c>
      <c r="L12" s="57">
        <v>105</v>
      </c>
      <c r="M12" s="338">
        <v>112</v>
      </c>
      <c r="N12" s="56">
        <v>114</v>
      </c>
      <c r="O12" s="58">
        <v>116</v>
      </c>
      <c r="P12" s="56">
        <v>122</v>
      </c>
      <c r="Q12" s="56">
        <v>122</v>
      </c>
      <c r="R12" s="56">
        <v>123</v>
      </c>
      <c r="S12" s="56">
        <v>122</v>
      </c>
      <c r="T12" s="56">
        <v>121</v>
      </c>
      <c r="U12" s="264">
        <v>123</v>
      </c>
      <c r="V12" s="56">
        <v>123</v>
      </c>
      <c r="W12" s="338">
        <v>123</v>
      </c>
      <c r="X12" s="57">
        <v>127</v>
      </c>
      <c r="Y12" s="4">
        <v>132</v>
      </c>
      <c r="Z12" s="4">
        <v>134</v>
      </c>
      <c r="AA12" s="58"/>
      <c r="AB12" s="58"/>
      <c r="AC12" s="58"/>
      <c r="AD12" s="58"/>
      <c r="AE12" s="58"/>
      <c r="AF12" s="58"/>
      <c r="AG12" s="242"/>
      <c r="AH12" s="69"/>
      <c r="AI12" s="69"/>
      <c r="AJ12" s="70"/>
      <c r="AK12" s="58">
        <f t="shared" si="1"/>
        <v>-12</v>
      </c>
      <c r="AL12" s="58">
        <f t="shared" si="2"/>
        <v>-7</v>
      </c>
      <c r="AM12" s="58">
        <f t="shared" si="2"/>
        <v>-4</v>
      </c>
      <c r="AN12" s="58">
        <f t="shared" si="2"/>
        <v>-6</v>
      </c>
      <c r="AO12" s="58">
        <f t="shared" si="2"/>
        <v>-6</v>
      </c>
      <c r="AP12" s="58">
        <f t="shared" si="2"/>
        <v>-7</v>
      </c>
      <c r="AQ12" s="58">
        <f t="shared" si="2"/>
        <v>-7</v>
      </c>
      <c r="AR12" s="58">
        <f t="shared" si="2"/>
        <v>-6</v>
      </c>
      <c r="AS12" s="58">
        <f t="shared" si="2"/>
        <v>-10</v>
      </c>
      <c r="AT12" s="58">
        <f t="shared" si="2"/>
        <v>-22</v>
      </c>
    </row>
    <row r="13" spans="1:46" x14ac:dyDescent="0.25">
      <c r="A13" s="4"/>
      <c r="B13" s="35" t="s">
        <v>63</v>
      </c>
      <c r="C13" s="55"/>
      <c r="D13" s="56"/>
      <c r="E13" s="56"/>
      <c r="F13" s="56"/>
      <c r="G13" s="56"/>
      <c r="H13" s="56"/>
      <c r="I13" s="56"/>
      <c r="J13" s="56"/>
      <c r="K13" s="56"/>
      <c r="L13" s="57"/>
      <c r="M13" s="338"/>
      <c r="N13" s="56"/>
      <c r="O13" s="58"/>
      <c r="P13" s="56"/>
      <c r="Q13" s="56"/>
      <c r="R13" s="56"/>
      <c r="S13" s="56"/>
      <c r="T13" s="56"/>
      <c r="U13" s="264"/>
      <c r="V13" s="56"/>
      <c r="W13" s="338"/>
      <c r="X13" s="57"/>
      <c r="Y13" s="4"/>
      <c r="Z13" s="4"/>
      <c r="AA13" s="58"/>
      <c r="AB13" s="58"/>
      <c r="AC13" s="58"/>
      <c r="AD13" s="58"/>
      <c r="AE13" s="58"/>
      <c r="AF13" s="58"/>
      <c r="AG13" s="242"/>
      <c r="AH13" s="69"/>
      <c r="AI13" s="69"/>
      <c r="AJ13" s="70"/>
      <c r="AK13" s="58">
        <f t="shared" si="1"/>
        <v>0</v>
      </c>
      <c r="AL13" s="58">
        <f t="shared" si="2"/>
        <v>0</v>
      </c>
      <c r="AM13" s="58">
        <f t="shared" si="2"/>
        <v>0</v>
      </c>
      <c r="AN13" s="58">
        <f t="shared" si="2"/>
        <v>0</v>
      </c>
      <c r="AO13" s="58">
        <f t="shared" si="2"/>
        <v>0</v>
      </c>
      <c r="AP13" s="58">
        <f t="shared" si="2"/>
        <v>0</v>
      </c>
      <c r="AQ13" s="58">
        <f t="shared" si="2"/>
        <v>0</v>
      </c>
      <c r="AR13" s="58">
        <f t="shared" si="2"/>
        <v>0</v>
      </c>
      <c r="AS13" s="58">
        <f t="shared" si="2"/>
        <v>0</v>
      </c>
      <c r="AT13" s="58">
        <f t="shared" si="2"/>
        <v>0</v>
      </c>
    </row>
    <row r="14" spans="1:46" x14ac:dyDescent="0.25">
      <c r="A14" s="4"/>
      <c r="B14" s="35" t="s">
        <v>38</v>
      </c>
      <c r="C14" s="55">
        <v>184</v>
      </c>
      <c r="D14" s="56">
        <v>185</v>
      </c>
      <c r="E14" s="56">
        <v>184</v>
      </c>
      <c r="F14" s="56">
        <v>182</v>
      </c>
      <c r="G14" s="56">
        <v>182</v>
      </c>
      <c r="H14" s="56">
        <v>182</v>
      </c>
      <c r="I14" s="56">
        <v>179</v>
      </c>
      <c r="J14" s="56">
        <v>181</v>
      </c>
      <c r="K14" s="56">
        <v>182</v>
      </c>
      <c r="L14" s="57">
        <v>184</v>
      </c>
      <c r="M14" s="338">
        <v>184</v>
      </c>
      <c r="N14" s="56">
        <v>184</v>
      </c>
      <c r="O14" s="58">
        <v>184</v>
      </c>
      <c r="P14" s="56">
        <v>184</v>
      </c>
      <c r="Q14" s="56">
        <v>183</v>
      </c>
      <c r="R14" s="56">
        <v>183</v>
      </c>
      <c r="S14" s="56">
        <v>182</v>
      </c>
      <c r="T14" s="56">
        <v>183</v>
      </c>
      <c r="U14" s="264">
        <v>183</v>
      </c>
      <c r="V14" s="56">
        <v>183</v>
      </c>
      <c r="W14" s="338">
        <v>184</v>
      </c>
      <c r="X14" s="57">
        <v>185</v>
      </c>
      <c r="Y14" s="4">
        <v>186</v>
      </c>
      <c r="Z14" s="4">
        <v>186</v>
      </c>
      <c r="AA14" s="58"/>
      <c r="AB14" s="58"/>
      <c r="AC14" s="58"/>
      <c r="AD14" s="58"/>
      <c r="AE14" s="58"/>
      <c r="AF14" s="58"/>
      <c r="AG14" s="264"/>
      <c r="AH14" s="69"/>
      <c r="AI14" s="69"/>
      <c r="AJ14" s="70"/>
      <c r="AK14" s="58">
        <f t="shared" si="1"/>
        <v>0</v>
      </c>
      <c r="AL14" s="58">
        <f t="shared" si="2"/>
        <v>1</v>
      </c>
      <c r="AM14" s="58">
        <f t="shared" si="2"/>
        <v>1</v>
      </c>
      <c r="AN14" s="58">
        <f t="shared" si="2"/>
        <v>-1</v>
      </c>
      <c r="AO14" s="58">
        <f t="shared" si="2"/>
        <v>0</v>
      </c>
      <c r="AP14" s="58">
        <f t="shared" si="2"/>
        <v>-1</v>
      </c>
      <c r="AQ14" s="58">
        <f t="shared" si="2"/>
        <v>-4</v>
      </c>
      <c r="AR14" s="58">
        <f t="shared" si="2"/>
        <v>-2</v>
      </c>
      <c r="AS14" s="58">
        <f t="shared" si="2"/>
        <v>-2</v>
      </c>
      <c r="AT14" s="58">
        <f t="shared" si="2"/>
        <v>-1</v>
      </c>
    </row>
    <row r="15" spans="1:46" x14ac:dyDescent="0.25">
      <c r="A15" s="4"/>
      <c r="B15" s="35" t="s">
        <v>39</v>
      </c>
      <c r="C15" s="55"/>
      <c r="D15" s="56"/>
      <c r="E15" s="56"/>
      <c r="F15" s="56"/>
      <c r="G15" s="56"/>
      <c r="H15" s="56"/>
      <c r="I15" s="56"/>
      <c r="J15" s="56"/>
      <c r="K15" s="56"/>
      <c r="L15" s="57"/>
      <c r="M15" s="338"/>
      <c r="N15" s="56"/>
      <c r="O15" s="58"/>
      <c r="P15" s="56"/>
      <c r="Q15" s="56"/>
      <c r="R15" s="56"/>
      <c r="S15" s="56"/>
      <c r="T15" s="56"/>
      <c r="U15" s="264"/>
      <c r="V15" s="56"/>
      <c r="W15" s="338"/>
      <c r="X15" s="57"/>
      <c r="Y15" s="4"/>
      <c r="Z15" s="4"/>
      <c r="AA15" s="58"/>
      <c r="AB15" s="58"/>
      <c r="AC15" s="58"/>
      <c r="AD15" s="58"/>
      <c r="AE15" s="58"/>
      <c r="AF15" s="58"/>
      <c r="AG15" s="264"/>
      <c r="AH15" s="69"/>
      <c r="AI15" s="69"/>
      <c r="AJ15" s="70"/>
      <c r="AK15" s="58">
        <f t="shared" si="1"/>
        <v>0</v>
      </c>
      <c r="AL15" s="58">
        <f t="shared" si="2"/>
        <v>0</v>
      </c>
      <c r="AM15" s="58">
        <f t="shared" si="2"/>
        <v>0</v>
      </c>
      <c r="AN15" s="58">
        <f t="shared" si="2"/>
        <v>0</v>
      </c>
      <c r="AO15" s="58">
        <f t="shared" si="2"/>
        <v>0</v>
      </c>
      <c r="AP15" s="58">
        <f t="shared" si="2"/>
        <v>0</v>
      </c>
      <c r="AQ15" s="58">
        <f t="shared" si="2"/>
        <v>0</v>
      </c>
      <c r="AR15" s="58">
        <f t="shared" si="2"/>
        <v>0</v>
      </c>
      <c r="AS15" s="58">
        <f t="shared" si="2"/>
        <v>0</v>
      </c>
      <c r="AT15" s="58">
        <f t="shared" si="2"/>
        <v>0</v>
      </c>
    </row>
    <row r="16" spans="1:46" x14ac:dyDescent="0.25">
      <c r="A16" s="4"/>
      <c r="B16" s="35" t="s">
        <v>65</v>
      </c>
      <c r="C16" s="55">
        <v>1</v>
      </c>
      <c r="D16" s="56">
        <v>1</v>
      </c>
      <c r="E16" s="56">
        <v>1</v>
      </c>
      <c r="F16" s="56">
        <v>1</v>
      </c>
      <c r="G16" s="56">
        <v>0</v>
      </c>
      <c r="H16" s="56">
        <v>0</v>
      </c>
      <c r="I16" s="56">
        <v>4</v>
      </c>
      <c r="J16" s="56">
        <v>4</v>
      </c>
      <c r="K16" s="56">
        <v>4</v>
      </c>
      <c r="L16" s="57">
        <v>4</v>
      </c>
      <c r="M16" s="338">
        <v>4</v>
      </c>
      <c r="N16" s="56">
        <v>4</v>
      </c>
      <c r="O16" s="58">
        <v>4</v>
      </c>
      <c r="P16" s="56">
        <v>4</v>
      </c>
      <c r="Q16" s="56">
        <v>4</v>
      </c>
      <c r="R16" s="56">
        <v>4</v>
      </c>
      <c r="S16" s="56">
        <v>4</v>
      </c>
      <c r="T16" s="56">
        <v>4</v>
      </c>
      <c r="U16" s="264">
        <v>4</v>
      </c>
      <c r="V16" s="56">
        <v>4</v>
      </c>
      <c r="W16" s="338">
        <v>4</v>
      </c>
      <c r="X16" s="57">
        <v>4</v>
      </c>
      <c r="Y16" s="4">
        <v>4</v>
      </c>
      <c r="Z16" s="4">
        <v>4</v>
      </c>
      <c r="AA16" s="58"/>
      <c r="AB16" s="58"/>
      <c r="AC16" s="58"/>
      <c r="AD16" s="58"/>
      <c r="AE16" s="58"/>
      <c r="AF16" s="58"/>
      <c r="AG16" s="264"/>
      <c r="AH16" s="69"/>
      <c r="AI16" s="69"/>
      <c r="AJ16" s="70"/>
      <c r="AK16" s="58">
        <f t="shared" si="1"/>
        <v>-3</v>
      </c>
      <c r="AL16" s="58">
        <f t="shared" si="2"/>
        <v>-3</v>
      </c>
      <c r="AM16" s="58">
        <f t="shared" si="2"/>
        <v>-3</v>
      </c>
      <c r="AN16" s="58">
        <f t="shared" si="2"/>
        <v>-3</v>
      </c>
      <c r="AO16" s="58">
        <f t="shared" si="2"/>
        <v>-4</v>
      </c>
      <c r="AP16" s="58">
        <f t="shared" si="2"/>
        <v>-4</v>
      </c>
      <c r="AQ16" s="58">
        <f t="shared" si="2"/>
        <v>0</v>
      </c>
      <c r="AR16" s="58">
        <f t="shared" si="2"/>
        <v>0</v>
      </c>
      <c r="AS16" s="58">
        <f t="shared" si="2"/>
        <v>0</v>
      </c>
      <c r="AT16" s="58">
        <f t="shared" si="2"/>
        <v>0</v>
      </c>
    </row>
    <row r="17" spans="1:46" ht="15.75" thickBot="1" x14ac:dyDescent="0.3">
      <c r="A17" s="4"/>
      <c r="B17" s="37" t="s">
        <v>41</v>
      </c>
      <c r="C17" s="122">
        <f>SUM(C10:C16)</f>
        <v>1917</v>
      </c>
      <c r="D17" s="122">
        <f t="shared" ref="D17:X17" si="3">SUM(D10:D16)</f>
        <v>1908</v>
      </c>
      <c r="E17" s="122">
        <f t="shared" si="3"/>
        <v>1904</v>
      </c>
      <c r="F17" s="122">
        <f t="shared" si="3"/>
        <v>1898</v>
      </c>
      <c r="G17" s="122">
        <f t="shared" si="3"/>
        <v>1894</v>
      </c>
      <c r="H17" s="122">
        <f t="shared" si="3"/>
        <v>1890</v>
      </c>
      <c r="I17" s="122">
        <f t="shared" si="3"/>
        <v>1902</v>
      </c>
      <c r="J17" s="122">
        <f t="shared" si="3"/>
        <v>1910</v>
      </c>
      <c r="K17" s="122">
        <f t="shared" si="3"/>
        <v>1933</v>
      </c>
      <c r="L17" s="122">
        <f t="shared" si="3"/>
        <v>1935</v>
      </c>
      <c r="M17" s="122">
        <f t="shared" si="3"/>
        <v>1938</v>
      </c>
      <c r="N17" s="262">
        <f t="shared" si="3"/>
        <v>1936</v>
      </c>
      <c r="O17" s="122">
        <f t="shared" si="3"/>
        <v>1935</v>
      </c>
      <c r="P17" s="122">
        <f t="shared" si="3"/>
        <v>1935</v>
      </c>
      <c r="Q17" s="122">
        <f t="shared" si="3"/>
        <v>1936</v>
      </c>
      <c r="R17" s="122">
        <f t="shared" si="3"/>
        <v>1938</v>
      </c>
      <c r="S17" s="122">
        <f t="shared" si="3"/>
        <v>1939</v>
      </c>
      <c r="T17" s="122">
        <f t="shared" si="3"/>
        <v>1942</v>
      </c>
      <c r="U17" s="122">
        <f t="shared" si="3"/>
        <v>1947</v>
      </c>
      <c r="V17" s="199">
        <f t="shared" si="3"/>
        <v>1953</v>
      </c>
      <c r="W17" s="252">
        <f t="shared" si="3"/>
        <v>1957</v>
      </c>
      <c r="X17" s="59">
        <f t="shared" si="3"/>
        <v>1962</v>
      </c>
      <c r="Y17" s="510">
        <f>SUM(Y10:Y16)</f>
        <v>1963</v>
      </c>
      <c r="Z17" s="4">
        <f t="shared" ref="Z17" si="4">SUM(Z10:Z16)</f>
        <v>1962</v>
      </c>
      <c r="AA17" s="60"/>
      <c r="AB17" s="60"/>
      <c r="AC17" s="60"/>
      <c r="AD17" s="60"/>
      <c r="AE17" s="60"/>
      <c r="AF17" s="60"/>
      <c r="AG17" s="262"/>
      <c r="AH17" s="199"/>
      <c r="AI17" s="199"/>
      <c r="AJ17" s="59"/>
      <c r="AK17" s="60">
        <f>SUM(AK10:AK16)</f>
        <v>-18</v>
      </c>
      <c r="AL17" s="60">
        <f t="shared" ref="AL17:AT17" si="5">SUM(AL10:AL16)</f>
        <v>-27</v>
      </c>
      <c r="AM17" s="60">
        <f t="shared" si="5"/>
        <v>-32</v>
      </c>
      <c r="AN17" s="60">
        <f t="shared" si="5"/>
        <v>-40</v>
      </c>
      <c r="AO17" s="60">
        <f t="shared" si="5"/>
        <v>-45</v>
      </c>
      <c r="AP17" s="60">
        <f t="shared" si="5"/>
        <v>-52</v>
      </c>
      <c r="AQ17" s="59">
        <f t="shared" si="5"/>
        <v>-45</v>
      </c>
      <c r="AR17" s="59">
        <f t="shared" si="5"/>
        <v>-43</v>
      </c>
      <c r="AS17" s="59">
        <f t="shared" si="5"/>
        <v>-24</v>
      </c>
      <c r="AT17" s="262">
        <f t="shared" si="5"/>
        <v>-27</v>
      </c>
    </row>
    <row r="18" spans="1:46" x14ac:dyDescent="0.25">
      <c r="A18" s="4">
        <f>+A9+1</f>
        <v>2</v>
      </c>
      <c r="B18" s="41" t="s">
        <v>18</v>
      </c>
      <c r="C18" s="61"/>
      <c r="D18" s="62"/>
      <c r="E18" s="62"/>
      <c r="F18" s="62"/>
      <c r="G18" s="62"/>
      <c r="H18" s="62"/>
      <c r="I18" s="62"/>
      <c r="J18" s="62"/>
      <c r="K18" s="62"/>
      <c r="L18" s="63"/>
      <c r="M18" s="320"/>
      <c r="N18" s="62"/>
      <c r="O18" s="64"/>
      <c r="P18" s="62"/>
      <c r="Q18" s="62"/>
      <c r="R18" s="62"/>
      <c r="S18" s="62"/>
      <c r="T18" s="62"/>
      <c r="U18" s="472"/>
      <c r="V18" s="62"/>
      <c r="W18" s="320"/>
      <c r="X18" s="63"/>
      <c r="Y18" s="4"/>
      <c r="Z18" s="4"/>
      <c r="AA18" s="64"/>
      <c r="AB18" s="65"/>
      <c r="AC18" s="66"/>
      <c r="AD18" s="66"/>
      <c r="AE18" s="66"/>
      <c r="AF18" s="66"/>
      <c r="AG18" s="249"/>
      <c r="AH18" s="66"/>
      <c r="AI18" s="66"/>
      <c r="AJ18" s="249"/>
      <c r="AK18" s="64"/>
      <c r="AL18" s="65"/>
      <c r="AM18" s="66"/>
      <c r="AN18" s="66"/>
      <c r="AO18" s="66"/>
      <c r="AP18" s="66"/>
      <c r="AQ18" s="67"/>
      <c r="AR18" s="231"/>
      <c r="AS18" s="231"/>
      <c r="AT18" s="231"/>
    </row>
    <row r="19" spans="1:46" x14ac:dyDescent="0.25">
      <c r="A19" s="4"/>
      <c r="B19" s="35" t="s">
        <v>60</v>
      </c>
      <c r="C19" s="131">
        <v>671</v>
      </c>
      <c r="D19" s="69">
        <v>339</v>
      </c>
      <c r="E19" s="69">
        <v>901</v>
      </c>
      <c r="F19" s="69">
        <v>453</v>
      </c>
      <c r="G19" s="69">
        <v>775</v>
      </c>
      <c r="H19" s="69">
        <v>740</v>
      </c>
      <c r="I19" s="69">
        <v>398</v>
      </c>
      <c r="J19" s="69">
        <v>644</v>
      </c>
      <c r="K19" s="69">
        <v>312</v>
      </c>
      <c r="L19" s="70">
        <v>593</v>
      </c>
      <c r="M19" s="251">
        <v>454</v>
      </c>
      <c r="N19" s="69">
        <v>185</v>
      </c>
      <c r="O19" s="71">
        <v>484</v>
      </c>
      <c r="P19" s="71">
        <v>265</v>
      </c>
      <c r="Q19" s="71">
        <v>861</v>
      </c>
      <c r="R19" s="71">
        <v>582</v>
      </c>
      <c r="S19" s="71">
        <v>936</v>
      </c>
      <c r="T19" s="71">
        <v>980</v>
      </c>
      <c r="U19" s="131">
        <v>600</v>
      </c>
      <c r="V19" s="69">
        <v>948</v>
      </c>
      <c r="W19" s="251">
        <v>632</v>
      </c>
      <c r="X19" s="70">
        <v>876</v>
      </c>
      <c r="Y19" s="4">
        <v>910</v>
      </c>
      <c r="Z19" s="4">
        <v>648</v>
      </c>
      <c r="AA19" s="71"/>
      <c r="AB19" s="71"/>
      <c r="AC19" s="71"/>
      <c r="AD19" s="71"/>
      <c r="AE19" s="71"/>
      <c r="AF19" s="71"/>
      <c r="AG19" s="242"/>
      <c r="AH19" s="69"/>
      <c r="AI19" s="69"/>
      <c r="AJ19" s="70"/>
      <c r="AK19" s="71">
        <f t="shared" ref="AK19:AT19" si="6">C19-O19</f>
        <v>187</v>
      </c>
      <c r="AL19" s="71">
        <f t="shared" si="6"/>
        <v>74</v>
      </c>
      <c r="AM19" s="71">
        <f t="shared" si="6"/>
        <v>40</v>
      </c>
      <c r="AN19" s="71">
        <f t="shared" si="6"/>
        <v>-129</v>
      </c>
      <c r="AO19" s="71">
        <f t="shared" si="6"/>
        <v>-161</v>
      </c>
      <c r="AP19" s="71">
        <f t="shared" si="6"/>
        <v>-240</v>
      </c>
      <c r="AQ19" s="71">
        <f t="shared" si="6"/>
        <v>-202</v>
      </c>
      <c r="AR19" s="71">
        <f t="shared" si="6"/>
        <v>-304</v>
      </c>
      <c r="AS19" s="71">
        <f t="shared" si="6"/>
        <v>-320</v>
      </c>
      <c r="AT19" s="71">
        <f t="shared" si="6"/>
        <v>-283</v>
      </c>
    </row>
    <row r="20" spans="1:46" x14ac:dyDescent="0.25">
      <c r="A20" s="4"/>
      <c r="B20" s="35" t="s">
        <v>61</v>
      </c>
      <c r="C20" s="131"/>
      <c r="D20" s="69"/>
      <c r="E20" s="69"/>
      <c r="F20" s="69"/>
      <c r="G20" s="69"/>
      <c r="H20" s="69"/>
      <c r="I20" s="69"/>
      <c r="J20" s="69"/>
      <c r="K20" s="69"/>
      <c r="L20" s="70"/>
      <c r="M20" s="251"/>
      <c r="N20" s="69"/>
      <c r="O20" s="71"/>
      <c r="P20" s="71"/>
      <c r="Q20" s="71"/>
      <c r="R20" s="71"/>
      <c r="S20" s="71"/>
      <c r="T20" s="71"/>
      <c r="U20" s="131"/>
      <c r="V20" s="69"/>
      <c r="W20" s="251"/>
      <c r="X20" s="70"/>
      <c r="Y20" s="4"/>
      <c r="Z20" s="4"/>
      <c r="AA20" s="71"/>
      <c r="AB20" s="71"/>
      <c r="AC20" s="71"/>
      <c r="AD20" s="71"/>
      <c r="AE20" s="71"/>
      <c r="AF20" s="71"/>
      <c r="AG20" s="242"/>
      <c r="AH20" s="69"/>
      <c r="AI20" s="69"/>
      <c r="AJ20" s="70"/>
      <c r="AK20" s="71">
        <f t="shared" ref="AK20:AK25" si="7">C20-O20</f>
        <v>0</v>
      </c>
      <c r="AL20" s="71">
        <f t="shared" ref="AL20:AT25" si="8">D20-P20</f>
        <v>0</v>
      </c>
      <c r="AM20" s="71">
        <f t="shared" si="8"/>
        <v>0</v>
      </c>
      <c r="AN20" s="71">
        <f t="shared" si="8"/>
        <v>0</v>
      </c>
      <c r="AO20" s="71">
        <f t="shared" si="8"/>
        <v>0</v>
      </c>
      <c r="AP20" s="71">
        <f t="shared" si="8"/>
        <v>0</v>
      </c>
      <c r="AQ20" s="71">
        <f t="shared" si="8"/>
        <v>0</v>
      </c>
      <c r="AR20" s="71">
        <f t="shared" si="8"/>
        <v>0</v>
      </c>
      <c r="AS20" s="71">
        <f t="shared" si="8"/>
        <v>0</v>
      </c>
      <c r="AT20" s="71">
        <f t="shared" si="8"/>
        <v>0</v>
      </c>
    </row>
    <row r="21" spans="1:46" x14ac:dyDescent="0.25">
      <c r="A21" s="4"/>
      <c r="B21" s="35" t="s">
        <v>62</v>
      </c>
      <c r="C21" s="131">
        <v>91</v>
      </c>
      <c r="D21" s="69">
        <v>42</v>
      </c>
      <c r="E21" s="69">
        <v>110</v>
      </c>
      <c r="F21" s="69">
        <v>62</v>
      </c>
      <c r="G21" s="69">
        <v>149</v>
      </c>
      <c r="H21" s="69">
        <v>150</v>
      </c>
      <c r="I21" s="69">
        <v>90</v>
      </c>
      <c r="J21" s="69">
        <v>145</v>
      </c>
      <c r="K21" s="69">
        <v>62</v>
      </c>
      <c r="L21" s="70">
        <v>130</v>
      </c>
      <c r="M21" s="251">
        <v>119</v>
      </c>
      <c r="N21" s="69">
        <v>32</v>
      </c>
      <c r="O21" s="71">
        <v>58</v>
      </c>
      <c r="P21" s="71">
        <v>44</v>
      </c>
      <c r="Q21" s="71">
        <v>150</v>
      </c>
      <c r="R21" s="71">
        <v>111</v>
      </c>
      <c r="S21" s="71">
        <v>216</v>
      </c>
      <c r="T21" s="71">
        <v>225</v>
      </c>
      <c r="U21" s="131">
        <v>162</v>
      </c>
      <c r="V21" s="69">
        <v>217</v>
      </c>
      <c r="W21" s="251">
        <v>130</v>
      </c>
      <c r="X21" s="70">
        <v>188</v>
      </c>
      <c r="Y21" s="4">
        <v>226</v>
      </c>
      <c r="Z21" s="4">
        <v>212</v>
      </c>
      <c r="AA21" s="71"/>
      <c r="AB21" s="71"/>
      <c r="AC21" s="71"/>
      <c r="AD21" s="71"/>
      <c r="AE21" s="71"/>
      <c r="AF21" s="71"/>
      <c r="AG21" s="242"/>
      <c r="AH21" s="69"/>
      <c r="AI21" s="69"/>
      <c r="AJ21" s="70"/>
      <c r="AK21" s="71">
        <f t="shared" si="7"/>
        <v>33</v>
      </c>
      <c r="AL21" s="71">
        <f t="shared" si="8"/>
        <v>-2</v>
      </c>
      <c r="AM21" s="71">
        <f t="shared" si="8"/>
        <v>-40</v>
      </c>
      <c r="AN21" s="71">
        <f t="shared" si="8"/>
        <v>-49</v>
      </c>
      <c r="AO21" s="71">
        <f t="shared" si="8"/>
        <v>-67</v>
      </c>
      <c r="AP21" s="71">
        <f t="shared" si="8"/>
        <v>-75</v>
      </c>
      <c r="AQ21" s="71">
        <f t="shared" si="8"/>
        <v>-72</v>
      </c>
      <c r="AR21" s="71">
        <f t="shared" si="8"/>
        <v>-72</v>
      </c>
      <c r="AS21" s="71">
        <f t="shared" si="8"/>
        <v>-68</v>
      </c>
      <c r="AT21" s="71">
        <f t="shared" si="8"/>
        <v>-58</v>
      </c>
    </row>
    <row r="22" spans="1:46" x14ac:dyDescent="0.25">
      <c r="A22" s="4"/>
      <c r="B22" s="35" t="s">
        <v>63</v>
      </c>
      <c r="C22" s="131"/>
      <c r="D22" s="69"/>
      <c r="E22" s="69"/>
      <c r="F22" s="69"/>
      <c r="G22" s="69"/>
      <c r="H22" s="69"/>
      <c r="I22" s="69"/>
      <c r="J22" s="69"/>
      <c r="K22" s="69"/>
      <c r="L22" s="70"/>
      <c r="M22" s="251"/>
      <c r="N22" s="69"/>
      <c r="O22" s="71"/>
      <c r="P22" s="71"/>
      <c r="Q22" s="71"/>
      <c r="R22" s="71"/>
      <c r="S22" s="71"/>
      <c r="T22" s="71"/>
      <c r="U22" s="131"/>
      <c r="V22" s="69"/>
      <c r="W22" s="251"/>
      <c r="X22" s="70"/>
      <c r="Y22" s="4"/>
      <c r="Z22" s="4"/>
      <c r="AA22" s="71"/>
      <c r="AB22" s="71"/>
      <c r="AC22" s="71"/>
      <c r="AD22" s="71"/>
      <c r="AE22" s="71"/>
      <c r="AF22" s="71"/>
      <c r="AG22" s="242"/>
      <c r="AH22" s="69"/>
      <c r="AI22" s="69"/>
      <c r="AJ22" s="70"/>
      <c r="AK22" s="71">
        <f t="shared" si="7"/>
        <v>0</v>
      </c>
      <c r="AL22" s="71">
        <f t="shared" si="8"/>
        <v>0</v>
      </c>
      <c r="AM22" s="71">
        <f t="shared" si="8"/>
        <v>0</v>
      </c>
      <c r="AN22" s="71">
        <f t="shared" si="8"/>
        <v>0</v>
      </c>
      <c r="AO22" s="71">
        <f t="shared" si="8"/>
        <v>0</v>
      </c>
      <c r="AP22" s="71">
        <f t="shared" si="8"/>
        <v>0</v>
      </c>
      <c r="AQ22" s="71">
        <f t="shared" si="8"/>
        <v>0</v>
      </c>
      <c r="AR22" s="71">
        <f t="shared" si="8"/>
        <v>0</v>
      </c>
      <c r="AS22" s="71">
        <f t="shared" si="8"/>
        <v>0</v>
      </c>
      <c r="AT22" s="71">
        <f t="shared" si="8"/>
        <v>0</v>
      </c>
    </row>
    <row r="23" spans="1:46" x14ac:dyDescent="0.25">
      <c r="A23" s="4"/>
      <c r="B23" s="35" t="s">
        <v>38</v>
      </c>
      <c r="C23" s="131">
        <v>41</v>
      </c>
      <c r="D23" s="69">
        <v>27</v>
      </c>
      <c r="E23" s="69">
        <v>45</v>
      </c>
      <c r="F23" s="69">
        <v>32</v>
      </c>
      <c r="G23" s="69">
        <v>45</v>
      </c>
      <c r="H23" s="69">
        <v>48</v>
      </c>
      <c r="I23" s="69">
        <v>28</v>
      </c>
      <c r="J23" s="69">
        <v>48</v>
      </c>
      <c r="K23" s="69">
        <v>33</v>
      </c>
      <c r="L23" s="70">
        <v>57</v>
      </c>
      <c r="M23" s="251">
        <v>48</v>
      </c>
      <c r="N23" s="69">
        <v>31</v>
      </c>
      <c r="O23" s="71">
        <v>57</v>
      </c>
      <c r="P23" s="71">
        <v>44</v>
      </c>
      <c r="Q23" s="71">
        <v>87</v>
      </c>
      <c r="R23" s="71">
        <v>69</v>
      </c>
      <c r="S23" s="71">
        <v>77</v>
      </c>
      <c r="T23" s="71">
        <v>96</v>
      </c>
      <c r="U23" s="131">
        <v>44</v>
      </c>
      <c r="V23" s="69">
        <v>65</v>
      </c>
      <c r="W23" s="251">
        <v>40</v>
      </c>
      <c r="X23" s="70">
        <v>61</v>
      </c>
      <c r="Y23" s="4">
        <v>88</v>
      </c>
      <c r="Z23" s="4">
        <v>43</v>
      </c>
      <c r="AA23" s="71"/>
      <c r="AB23" s="71"/>
      <c r="AC23" s="71"/>
      <c r="AD23" s="71"/>
      <c r="AE23" s="71"/>
      <c r="AF23" s="71"/>
      <c r="AG23" s="242"/>
      <c r="AH23" s="69"/>
      <c r="AI23" s="69"/>
      <c r="AJ23" s="70"/>
      <c r="AK23" s="71">
        <f t="shared" si="7"/>
        <v>-16</v>
      </c>
      <c r="AL23" s="71">
        <f t="shared" si="8"/>
        <v>-17</v>
      </c>
      <c r="AM23" s="71">
        <f t="shared" si="8"/>
        <v>-42</v>
      </c>
      <c r="AN23" s="71">
        <f t="shared" si="8"/>
        <v>-37</v>
      </c>
      <c r="AO23" s="71">
        <f t="shared" si="8"/>
        <v>-32</v>
      </c>
      <c r="AP23" s="71">
        <f t="shared" si="8"/>
        <v>-48</v>
      </c>
      <c r="AQ23" s="71">
        <f t="shared" si="8"/>
        <v>-16</v>
      </c>
      <c r="AR23" s="71">
        <f t="shared" si="8"/>
        <v>-17</v>
      </c>
      <c r="AS23" s="71">
        <f t="shared" si="8"/>
        <v>-7</v>
      </c>
      <c r="AT23" s="71">
        <f t="shared" si="8"/>
        <v>-4</v>
      </c>
    </row>
    <row r="24" spans="1:46" x14ac:dyDescent="0.25">
      <c r="A24" s="4"/>
      <c r="B24" s="35" t="s">
        <v>39</v>
      </c>
      <c r="C24" s="131"/>
      <c r="D24" s="69"/>
      <c r="E24" s="69"/>
      <c r="F24" s="69"/>
      <c r="G24" s="69"/>
      <c r="H24" s="69"/>
      <c r="I24" s="69"/>
      <c r="J24" s="69"/>
      <c r="K24" s="69"/>
      <c r="L24" s="70"/>
      <c r="M24" s="251"/>
      <c r="N24" s="69"/>
      <c r="O24" s="71"/>
      <c r="P24" s="71"/>
      <c r="Q24" s="71"/>
      <c r="R24" s="71"/>
      <c r="S24" s="71"/>
      <c r="T24" s="71"/>
      <c r="U24" s="131"/>
      <c r="V24" s="69"/>
      <c r="W24" s="251"/>
      <c r="X24" s="70"/>
      <c r="Y24" s="4"/>
      <c r="Z24" s="4"/>
      <c r="AA24" s="71"/>
      <c r="AB24" s="71"/>
      <c r="AC24" s="71"/>
      <c r="AD24" s="71"/>
      <c r="AE24" s="71"/>
      <c r="AF24" s="71"/>
      <c r="AG24" s="242"/>
      <c r="AH24" s="69"/>
      <c r="AI24" s="69"/>
      <c r="AJ24" s="70"/>
      <c r="AK24" s="71">
        <f t="shared" si="7"/>
        <v>0</v>
      </c>
      <c r="AL24" s="71">
        <f t="shared" si="8"/>
        <v>0</v>
      </c>
      <c r="AM24" s="71">
        <f t="shared" si="8"/>
        <v>0</v>
      </c>
      <c r="AN24" s="71">
        <f t="shared" si="8"/>
        <v>0</v>
      </c>
      <c r="AO24" s="71">
        <f t="shared" si="8"/>
        <v>0</v>
      </c>
      <c r="AP24" s="71">
        <f t="shared" si="8"/>
        <v>0</v>
      </c>
      <c r="AQ24" s="71">
        <f t="shared" si="8"/>
        <v>0</v>
      </c>
      <c r="AR24" s="71">
        <f t="shared" si="8"/>
        <v>0</v>
      </c>
      <c r="AS24" s="71">
        <f t="shared" si="8"/>
        <v>0</v>
      </c>
      <c r="AT24" s="71">
        <f t="shared" si="8"/>
        <v>0</v>
      </c>
    </row>
    <row r="25" spans="1:46" x14ac:dyDescent="0.25">
      <c r="A25" s="4"/>
      <c r="B25" s="35" t="s">
        <v>65</v>
      </c>
      <c r="C25" s="131"/>
      <c r="D25" s="69"/>
      <c r="E25" s="69"/>
      <c r="F25" s="69"/>
      <c r="G25" s="69"/>
      <c r="H25" s="69"/>
      <c r="I25" s="69"/>
      <c r="J25" s="69"/>
      <c r="K25" s="69"/>
      <c r="L25" s="70"/>
      <c r="M25" s="251"/>
      <c r="N25" s="69"/>
      <c r="O25" s="71"/>
      <c r="P25" s="71"/>
      <c r="Q25" s="71"/>
      <c r="R25" s="71"/>
      <c r="S25" s="71"/>
      <c r="T25" s="71"/>
      <c r="U25" s="131"/>
      <c r="V25" s="69"/>
      <c r="W25" s="251"/>
      <c r="X25" s="70"/>
      <c r="Y25" s="4"/>
      <c r="Z25" s="4"/>
      <c r="AA25" s="71"/>
      <c r="AB25" s="71"/>
      <c r="AC25" s="71"/>
      <c r="AD25" s="71"/>
      <c r="AE25" s="71"/>
      <c r="AF25" s="71"/>
      <c r="AG25" s="242"/>
      <c r="AH25" s="69"/>
      <c r="AI25" s="69"/>
      <c r="AJ25" s="70"/>
      <c r="AK25" s="71">
        <f t="shared" si="7"/>
        <v>0</v>
      </c>
      <c r="AL25" s="71">
        <f t="shared" si="8"/>
        <v>0</v>
      </c>
      <c r="AM25" s="71">
        <f t="shared" si="8"/>
        <v>0</v>
      </c>
      <c r="AN25" s="71">
        <f t="shared" si="8"/>
        <v>0</v>
      </c>
      <c r="AO25" s="71">
        <f t="shared" si="8"/>
        <v>0</v>
      </c>
      <c r="AP25" s="71">
        <f t="shared" si="8"/>
        <v>0</v>
      </c>
      <c r="AQ25" s="71">
        <f t="shared" si="8"/>
        <v>0</v>
      </c>
      <c r="AR25" s="71">
        <f t="shared" si="8"/>
        <v>0</v>
      </c>
      <c r="AS25" s="71">
        <f t="shared" si="8"/>
        <v>0</v>
      </c>
      <c r="AT25" s="71">
        <f t="shared" si="8"/>
        <v>0</v>
      </c>
    </row>
    <row r="26" spans="1:46" ht="15.75" thickBot="1" x14ac:dyDescent="0.3">
      <c r="B26" s="35" t="s">
        <v>41</v>
      </c>
      <c r="C26" s="131">
        <f>SUM(C19:C24)</f>
        <v>803</v>
      </c>
      <c r="D26" s="131">
        <f t="shared" ref="D26:Y26" si="9">SUM(D19:D24)</f>
        <v>408</v>
      </c>
      <c r="E26" s="131">
        <f t="shared" si="9"/>
        <v>1056</v>
      </c>
      <c r="F26" s="131">
        <f t="shared" si="9"/>
        <v>547</v>
      </c>
      <c r="G26" s="131">
        <f t="shared" si="9"/>
        <v>969</v>
      </c>
      <c r="H26" s="131">
        <f t="shared" si="9"/>
        <v>938</v>
      </c>
      <c r="I26" s="131">
        <f t="shared" si="9"/>
        <v>516</v>
      </c>
      <c r="J26" s="131">
        <f t="shared" si="9"/>
        <v>837</v>
      </c>
      <c r="K26" s="131">
        <f t="shared" si="9"/>
        <v>407</v>
      </c>
      <c r="L26" s="131">
        <f t="shared" si="9"/>
        <v>780</v>
      </c>
      <c r="M26" s="131">
        <f t="shared" si="9"/>
        <v>621</v>
      </c>
      <c r="N26" s="242">
        <f t="shared" si="9"/>
        <v>248</v>
      </c>
      <c r="O26" s="131">
        <f t="shared" si="9"/>
        <v>599</v>
      </c>
      <c r="P26" s="131">
        <f t="shared" si="9"/>
        <v>353</v>
      </c>
      <c r="Q26" s="131">
        <f t="shared" si="9"/>
        <v>1098</v>
      </c>
      <c r="R26" s="131">
        <f t="shared" si="9"/>
        <v>762</v>
      </c>
      <c r="S26" s="131">
        <f t="shared" si="9"/>
        <v>1229</v>
      </c>
      <c r="T26" s="131">
        <f t="shared" si="9"/>
        <v>1301</v>
      </c>
      <c r="U26" s="131">
        <f t="shared" si="9"/>
        <v>806</v>
      </c>
      <c r="V26" s="69">
        <f t="shared" si="9"/>
        <v>1230</v>
      </c>
      <c r="W26" s="251">
        <f t="shared" si="9"/>
        <v>802</v>
      </c>
      <c r="X26" s="70">
        <f t="shared" si="9"/>
        <v>1125</v>
      </c>
      <c r="Y26" s="251">
        <f t="shared" si="9"/>
        <v>1224</v>
      </c>
      <c r="Z26" s="131">
        <f t="shared" ref="Z26" si="10">SUM(Z19:Z24)</f>
        <v>903</v>
      </c>
      <c r="AA26" s="71"/>
      <c r="AB26" s="71"/>
      <c r="AC26" s="71"/>
      <c r="AD26" s="71"/>
      <c r="AE26" s="71"/>
      <c r="AF26" s="71"/>
      <c r="AG26" s="242"/>
      <c r="AH26" s="69"/>
      <c r="AI26" s="69"/>
      <c r="AJ26" s="70"/>
      <c r="AK26" s="60">
        <f>SUM(AK19:AK25)</f>
        <v>204</v>
      </c>
      <c r="AL26" s="71">
        <f t="shared" ref="AL26:AT26" si="11">SUM(AL19:AL25)</f>
        <v>55</v>
      </c>
      <c r="AM26" s="71">
        <f t="shared" si="11"/>
        <v>-42</v>
      </c>
      <c r="AN26" s="71">
        <f t="shared" si="11"/>
        <v>-215</v>
      </c>
      <c r="AO26" s="71">
        <f t="shared" si="11"/>
        <v>-260</v>
      </c>
      <c r="AP26" s="71">
        <f t="shared" si="11"/>
        <v>-363</v>
      </c>
      <c r="AQ26" s="70">
        <f t="shared" si="11"/>
        <v>-290</v>
      </c>
      <c r="AR26" s="70">
        <f t="shared" si="11"/>
        <v>-393</v>
      </c>
      <c r="AS26" s="70">
        <f t="shared" si="11"/>
        <v>-395</v>
      </c>
      <c r="AT26" s="242">
        <f t="shared" si="11"/>
        <v>-345</v>
      </c>
    </row>
    <row r="27" spans="1:46" x14ac:dyDescent="0.25">
      <c r="A27" s="4">
        <f>+A18+1</f>
        <v>3</v>
      </c>
      <c r="B27" s="42" t="s">
        <v>21</v>
      </c>
      <c r="C27" s="68"/>
      <c r="D27" s="69"/>
      <c r="E27" s="69"/>
      <c r="F27" s="69"/>
      <c r="G27" s="69"/>
      <c r="H27" s="69"/>
      <c r="I27" s="69"/>
      <c r="J27" s="69"/>
      <c r="K27" s="69"/>
      <c r="L27" s="70"/>
      <c r="M27" s="251"/>
      <c r="N27" s="69"/>
      <c r="O27" s="71"/>
      <c r="P27" s="69"/>
      <c r="Q27" s="69"/>
      <c r="R27" s="69"/>
      <c r="S27" s="69"/>
      <c r="T27" s="69"/>
      <c r="U27" s="242"/>
      <c r="V27" s="69"/>
      <c r="W27" s="251"/>
      <c r="X27" s="70"/>
      <c r="Y27" s="4"/>
      <c r="Z27" s="4"/>
      <c r="AA27" s="71"/>
      <c r="AB27" s="72"/>
      <c r="AC27" s="73"/>
      <c r="AD27" s="73"/>
      <c r="AE27" s="73"/>
      <c r="AF27" s="73"/>
      <c r="AG27" s="250"/>
      <c r="AH27" s="73"/>
      <c r="AI27" s="73"/>
      <c r="AJ27" s="250"/>
      <c r="AK27" s="71"/>
      <c r="AL27" s="72"/>
      <c r="AM27" s="73"/>
      <c r="AN27" s="73"/>
      <c r="AO27" s="73"/>
      <c r="AP27" s="73"/>
      <c r="AQ27" s="74"/>
      <c r="AR27" s="230"/>
      <c r="AS27" s="230"/>
      <c r="AT27" s="230"/>
    </row>
    <row r="28" spans="1:46" x14ac:dyDescent="0.25">
      <c r="B28" s="35" t="s">
        <v>60</v>
      </c>
      <c r="C28" s="68">
        <v>564</v>
      </c>
      <c r="D28" s="69">
        <v>14</v>
      </c>
      <c r="E28" s="69">
        <v>490</v>
      </c>
      <c r="F28" s="69">
        <v>26</v>
      </c>
      <c r="G28" s="69">
        <v>408</v>
      </c>
      <c r="H28" s="69">
        <v>399</v>
      </c>
      <c r="I28" s="69">
        <v>52</v>
      </c>
      <c r="J28" s="69">
        <v>359</v>
      </c>
      <c r="K28" s="69">
        <v>56</v>
      </c>
      <c r="L28" s="70">
        <v>391</v>
      </c>
      <c r="M28" s="251">
        <v>318</v>
      </c>
      <c r="N28" s="69">
        <v>126</v>
      </c>
      <c r="O28" s="71">
        <v>411</v>
      </c>
      <c r="P28" s="69">
        <v>12</v>
      </c>
      <c r="Q28" s="69">
        <v>397</v>
      </c>
      <c r="R28" s="69">
        <v>44</v>
      </c>
      <c r="S28" s="69">
        <v>386</v>
      </c>
      <c r="T28" s="69">
        <v>399</v>
      </c>
      <c r="U28" s="251">
        <v>52</v>
      </c>
      <c r="V28" s="69">
        <v>389</v>
      </c>
      <c r="W28" s="251">
        <v>63</v>
      </c>
      <c r="X28" s="70">
        <v>361</v>
      </c>
      <c r="Y28" s="4">
        <v>411</v>
      </c>
      <c r="Z28" s="4">
        <v>238</v>
      </c>
      <c r="AA28" s="71"/>
      <c r="AB28" s="71"/>
      <c r="AC28" s="71"/>
      <c r="AD28" s="71"/>
      <c r="AE28" s="71"/>
      <c r="AF28" s="71"/>
      <c r="AG28" s="242"/>
      <c r="AH28" s="69"/>
      <c r="AI28" s="69"/>
      <c r="AJ28" s="70"/>
      <c r="AK28" s="71">
        <f t="shared" ref="AK28:AT28" si="12">C28-O28</f>
        <v>153</v>
      </c>
      <c r="AL28" s="71">
        <f t="shared" si="12"/>
        <v>2</v>
      </c>
      <c r="AM28" s="71">
        <f t="shared" si="12"/>
        <v>93</v>
      </c>
      <c r="AN28" s="71">
        <f t="shared" si="12"/>
        <v>-18</v>
      </c>
      <c r="AO28" s="71">
        <f t="shared" si="12"/>
        <v>22</v>
      </c>
      <c r="AP28" s="71">
        <f t="shared" si="12"/>
        <v>0</v>
      </c>
      <c r="AQ28" s="71">
        <f t="shared" si="12"/>
        <v>0</v>
      </c>
      <c r="AR28" s="71">
        <f t="shared" si="12"/>
        <v>-30</v>
      </c>
      <c r="AS28" s="71">
        <f t="shared" si="12"/>
        <v>-7</v>
      </c>
      <c r="AT28" s="71">
        <f t="shared" si="12"/>
        <v>30</v>
      </c>
    </row>
    <row r="29" spans="1:46" x14ac:dyDescent="0.25">
      <c r="B29" s="35" t="s">
        <v>61</v>
      </c>
      <c r="C29" s="68"/>
      <c r="D29" s="69"/>
      <c r="E29" s="69"/>
      <c r="F29" s="69"/>
      <c r="G29" s="69"/>
      <c r="H29" s="69"/>
      <c r="I29" s="69"/>
      <c r="J29" s="69"/>
      <c r="K29" s="69"/>
      <c r="L29" s="70"/>
      <c r="M29" s="251"/>
      <c r="N29" s="69"/>
      <c r="O29" s="71"/>
      <c r="P29" s="69"/>
      <c r="Q29" s="69"/>
      <c r="R29" s="69"/>
      <c r="S29" s="69"/>
      <c r="T29" s="69"/>
      <c r="U29" s="251"/>
      <c r="V29" s="69"/>
      <c r="W29" s="251"/>
      <c r="X29" s="70"/>
      <c r="Y29" s="4"/>
      <c r="Z29" s="4"/>
      <c r="AA29" s="71"/>
      <c r="AB29" s="71"/>
      <c r="AC29" s="71"/>
      <c r="AD29" s="71"/>
      <c r="AE29" s="71"/>
      <c r="AF29" s="71"/>
      <c r="AG29" s="242"/>
      <c r="AH29" s="69"/>
      <c r="AI29" s="69"/>
      <c r="AJ29" s="70"/>
      <c r="AK29" s="71">
        <f t="shared" ref="AK29:AK34" si="13">C29-O29</f>
        <v>0</v>
      </c>
      <c r="AL29" s="71">
        <f t="shared" ref="AL29:AT34" si="14">D29-P29</f>
        <v>0</v>
      </c>
      <c r="AM29" s="71">
        <f t="shared" si="14"/>
        <v>0</v>
      </c>
      <c r="AN29" s="71">
        <f t="shared" si="14"/>
        <v>0</v>
      </c>
      <c r="AO29" s="71">
        <f t="shared" si="14"/>
        <v>0</v>
      </c>
      <c r="AP29" s="71">
        <f t="shared" si="14"/>
        <v>0</v>
      </c>
      <c r="AQ29" s="71">
        <f t="shared" si="14"/>
        <v>0</v>
      </c>
      <c r="AR29" s="71">
        <f t="shared" si="14"/>
        <v>0</v>
      </c>
      <c r="AS29" s="71">
        <f t="shared" si="14"/>
        <v>0</v>
      </c>
      <c r="AT29" s="71">
        <f t="shared" si="14"/>
        <v>0</v>
      </c>
    </row>
    <row r="30" spans="1:46" x14ac:dyDescent="0.25">
      <c r="B30" s="35" t="s">
        <v>62</v>
      </c>
      <c r="C30" s="68">
        <v>72</v>
      </c>
      <c r="D30" s="69">
        <v>6</v>
      </c>
      <c r="E30" s="69">
        <v>65</v>
      </c>
      <c r="F30" s="69">
        <v>7</v>
      </c>
      <c r="G30" s="69">
        <v>73</v>
      </c>
      <c r="H30" s="69">
        <v>69</v>
      </c>
      <c r="I30" s="69">
        <v>1</v>
      </c>
      <c r="J30" s="69">
        <v>55</v>
      </c>
      <c r="K30" s="69">
        <v>1</v>
      </c>
      <c r="L30" s="70">
        <v>83</v>
      </c>
      <c r="M30" s="251">
        <v>81</v>
      </c>
      <c r="N30" s="69">
        <v>17</v>
      </c>
      <c r="O30" s="71">
        <v>40</v>
      </c>
      <c r="P30" s="69">
        <v>13</v>
      </c>
      <c r="Q30" s="69">
        <v>87</v>
      </c>
      <c r="R30" s="69">
        <v>7</v>
      </c>
      <c r="S30" s="69">
        <v>78</v>
      </c>
      <c r="T30" s="69">
        <v>72</v>
      </c>
      <c r="U30" s="251">
        <v>6</v>
      </c>
      <c r="V30" s="69">
        <v>66</v>
      </c>
      <c r="W30" s="251">
        <v>3</v>
      </c>
      <c r="X30" s="70">
        <v>73</v>
      </c>
      <c r="Y30" s="4">
        <v>87</v>
      </c>
      <c r="Z30" s="4">
        <v>79</v>
      </c>
      <c r="AA30" s="71"/>
      <c r="AB30" s="71"/>
      <c r="AC30" s="71"/>
      <c r="AD30" s="71"/>
      <c r="AE30" s="71"/>
      <c r="AF30" s="71"/>
      <c r="AG30" s="242"/>
      <c r="AH30" s="69"/>
      <c r="AI30" s="69"/>
      <c r="AJ30" s="70"/>
      <c r="AK30" s="71">
        <f t="shared" si="13"/>
        <v>32</v>
      </c>
      <c r="AL30" s="71">
        <f t="shared" si="14"/>
        <v>-7</v>
      </c>
      <c r="AM30" s="71">
        <f t="shared" si="14"/>
        <v>-22</v>
      </c>
      <c r="AN30" s="71">
        <f t="shared" si="14"/>
        <v>0</v>
      </c>
      <c r="AO30" s="71">
        <f t="shared" si="14"/>
        <v>-5</v>
      </c>
      <c r="AP30" s="71">
        <f t="shared" si="14"/>
        <v>-3</v>
      </c>
      <c r="AQ30" s="71">
        <f t="shared" si="14"/>
        <v>-5</v>
      </c>
      <c r="AR30" s="71">
        <f t="shared" si="14"/>
        <v>-11</v>
      </c>
      <c r="AS30" s="71">
        <f t="shared" si="14"/>
        <v>-2</v>
      </c>
      <c r="AT30" s="71">
        <f t="shared" si="14"/>
        <v>10</v>
      </c>
    </row>
    <row r="31" spans="1:46" x14ac:dyDescent="0.25">
      <c r="B31" s="35" t="s">
        <v>63</v>
      </c>
      <c r="C31" s="131"/>
      <c r="D31" s="69"/>
      <c r="E31" s="69"/>
      <c r="F31" s="69"/>
      <c r="G31" s="69"/>
      <c r="H31" s="69"/>
      <c r="I31" s="69"/>
      <c r="J31" s="69"/>
      <c r="K31" s="69"/>
      <c r="L31" s="70"/>
      <c r="M31" s="251"/>
      <c r="N31" s="69"/>
      <c r="O31" s="71"/>
      <c r="P31" s="69"/>
      <c r="Q31" s="69"/>
      <c r="R31" s="69"/>
      <c r="S31" s="69"/>
      <c r="T31" s="69"/>
      <c r="U31" s="251"/>
      <c r="V31" s="69"/>
      <c r="W31" s="251"/>
      <c r="X31" s="70"/>
      <c r="Y31" s="4"/>
      <c r="Z31" s="4"/>
      <c r="AA31" s="71"/>
      <c r="AB31" s="71"/>
      <c r="AC31" s="71"/>
      <c r="AD31" s="71"/>
      <c r="AE31" s="71"/>
      <c r="AF31" s="71"/>
      <c r="AG31" s="242"/>
      <c r="AH31" s="69"/>
      <c r="AI31" s="69"/>
      <c r="AJ31" s="70"/>
      <c r="AK31" s="71">
        <f t="shared" si="13"/>
        <v>0</v>
      </c>
      <c r="AL31" s="71">
        <f t="shared" si="14"/>
        <v>0</v>
      </c>
      <c r="AM31" s="71">
        <f t="shared" si="14"/>
        <v>0</v>
      </c>
      <c r="AN31" s="71">
        <f t="shared" si="14"/>
        <v>0</v>
      </c>
      <c r="AO31" s="71">
        <f t="shared" si="14"/>
        <v>0</v>
      </c>
      <c r="AP31" s="71">
        <f t="shared" si="14"/>
        <v>0</v>
      </c>
      <c r="AQ31" s="71">
        <f t="shared" si="14"/>
        <v>0</v>
      </c>
      <c r="AR31" s="71">
        <f t="shared" si="14"/>
        <v>0</v>
      </c>
      <c r="AS31" s="71">
        <f t="shared" si="14"/>
        <v>0</v>
      </c>
      <c r="AT31" s="71">
        <f t="shared" si="14"/>
        <v>0</v>
      </c>
    </row>
    <row r="32" spans="1:46" x14ac:dyDescent="0.25">
      <c r="B32" s="35" t="s">
        <v>38</v>
      </c>
      <c r="C32" s="131">
        <v>34</v>
      </c>
      <c r="D32" s="69">
        <v>10</v>
      </c>
      <c r="E32" s="69">
        <v>30</v>
      </c>
      <c r="F32" s="69">
        <v>9</v>
      </c>
      <c r="G32" s="69">
        <v>27</v>
      </c>
      <c r="H32" s="69">
        <v>28</v>
      </c>
      <c r="I32" s="69">
        <v>11</v>
      </c>
      <c r="J32" s="69">
        <v>27</v>
      </c>
      <c r="K32" s="69">
        <v>6</v>
      </c>
      <c r="L32" s="70">
        <v>29</v>
      </c>
      <c r="M32" s="251">
        <v>33</v>
      </c>
      <c r="N32" s="69">
        <v>21</v>
      </c>
      <c r="O32" s="71">
        <v>39</v>
      </c>
      <c r="P32" s="69">
        <v>13</v>
      </c>
      <c r="Q32" s="69">
        <v>36</v>
      </c>
      <c r="R32" s="69">
        <v>15</v>
      </c>
      <c r="S32" s="69">
        <v>32</v>
      </c>
      <c r="T32" s="69">
        <v>48</v>
      </c>
      <c r="U32" s="251">
        <v>6</v>
      </c>
      <c r="V32" s="69">
        <v>28</v>
      </c>
      <c r="W32" s="251">
        <v>4</v>
      </c>
      <c r="X32" s="70">
        <v>31</v>
      </c>
      <c r="Y32" s="4">
        <v>54</v>
      </c>
      <c r="Z32" s="4">
        <v>18</v>
      </c>
      <c r="AA32" s="71"/>
      <c r="AB32" s="71"/>
      <c r="AC32" s="71"/>
      <c r="AD32" s="71"/>
      <c r="AE32" s="71"/>
      <c r="AF32" s="71"/>
      <c r="AG32" s="242"/>
      <c r="AH32" s="69"/>
      <c r="AI32" s="69"/>
      <c r="AJ32" s="70"/>
      <c r="AK32" s="71">
        <f t="shared" si="13"/>
        <v>-5</v>
      </c>
      <c r="AL32" s="71">
        <f t="shared" si="14"/>
        <v>-3</v>
      </c>
      <c r="AM32" s="71">
        <f t="shared" si="14"/>
        <v>-6</v>
      </c>
      <c r="AN32" s="71">
        <f t="shared" si="14"/>
        <v>-6</v>
      </c>
      <c r="AO32" s="71">
        <f t="shared" si="14"/>
        <v>-5</v>
      </c>
      <c r="AP32" s="71">
        <f t="shared" si="14"/>
        <v>-20</v>
      </c>
      <c r="AQ32" s="71">
        <f t="shared" si="14"/>
        <v>5</v>
      </c>
      <c r="AR32" s="71">
        <f t="shared" si="14"/>
        <v>-1</v>
      </c>
      <c r="AS32" s="71">
        <f t="shared" si="14"/>
        <v>2</v>
      </c>
      <c r="AT32" s="71">
        <f t="shared" si="14"/>
        <v>-2</v>
      </c>
    </row>
    <row r="33" spans="1:46" x14ac:dyDescent="0.25">
      <c r="B33" s="35" t="s">
        <v>39</v>
      </c>
      <c r="C33" s="131"/>
      <c r="D33" s="69"/>
      <c r="E33" s="69"/>
      <c r="F33" s="69"/>
      <c r="G33" s="69"/>
      <c r="H33" s="69"/>
      <c r="I33" s="69"/>
      <c r="J33" s="69"/>
      <c r="K33" s="69"/>
      <c r="L33" s="70"/>
      <c r="M33" s="251"/>
      <c r="N33" s="69"/>
      <c r="O33" s="71"/>
      <c r="P33" s="69"/>
      <c r="Q33" s="69"/>
      <c r="R33" s="69"/>
      <c r="S33" s="69"/>
      <c r="T33" s="69"/>
      <c r="U33" s="251"/>
      <c r="V33" s="69"/>
      <c r="W33" s="251"/>
      <c r="X33" s="70"/>
      <c r="Y33" s="4"/>
      <c r="Z33" s="4"/>
      <c r="AA33" s="71"/>
      <c r="AB33" s="71"/>
      <c r="AC33" s="71"/>
      <c r="AD33" s="71"/>
      <c r="AE33" s="71"/>
      <c r="AF33" s="71"/>
      <c r="AG33" s="242"/>
      <c r="AH33" s="69"/>
      <c r="AI33" s="69"/>
      <c r="AJ33" s="70"/>
      <c r="AK33" s="71">
        <f t="shared" si="13"/>
        <v>0</v>
      </c>
      <c r="AL33" s="71">
        <f t="shared" si="14"/>
        <v>0</v>
      </c>
      <c r="AM33" s="71">
        <f t="shared" si="14"/>
        <v>0</v>
      </c>
      <c r="AN33" s="71">
        <f t="shared" si="14"/>
        <v>0</v>
      </c>
      <c r="AO33" s="71">
        <f t="shared" si="14"/>
        <v>0</v>
      </c>
      <c r="AP33" s="71">
        <f t="shared" si="14"/>
        <v>0</v>
      </c>
      <c r="AQ33" s="71">
        <f t="shared" si="14"/>
        <v>0</v>
      </c>
      <c r="AR33" s="71">
        <f t="shared" si="14"/>
        <v>0</v>
      </c>
      <c r="AS33" s="71">
        <f t="shared" si="14"/>
        <v>0</v>
      </c>
      <c r="AT33" s="71">
        <f t="shared" si="14"/>
        <v>0</v>
      </c>
    </row>
    <row r="34" spans="1:46" x14ac:dyDescent="0.25">
      <c r="B34" s="35" t="s">
        <v>65</v>
      </c>
      <c r="C34" s="68"/>
      <c r="D34" s="69"/>
      <c r="E34" s="69"/>
      <c r="F34" s="69"/>
      <c r="G34" s="69"/>
      <c r="H34" s="69"/>
      <c r="I34" s="69"/>
      <c r="J34" s="69"/>
      <c r="K34" s="69"/>
      <c r="L34" s="70"/>
      <c r="M34" s="251"/>
      <c r="N34" s="69"/>
      <c r="O34" s="71"/>
      <c r="P34" s="69"/>
      <c r="Q34" s="69"/>
      <c r="R34" s="69"/>
      <c r="S34" s="69"/>
      <c r="T34" s="69"/>
      <c r="U34" s="251"/>
      <c r="V34" s="69"/>
      <c r="W34" s="251"/>
      <c r="X34" s="70"/>
      <c r="Y34" s="4"/>
      <c r="Z34" s="4"/>
      <c r="AA34" s="71"/>
      <c r="AB34" s="71"/>
      <c r="AC34" s="71"/>
      <c r="AD34" s="71"/>
      <c r="AE34" s="71"/>
      <c r="AF34" s="71"/>
      <c r="AG34" s="242"/>
      <c r="AH34" s="69"/>
      <c r="AI34" s="69"/>
      <c r="AJ34" s="70"/>
      <c r="AK34" s="71">
        <f t="shared" si="13"/>
        <v>0</v>
      </c>
      <c r="AL34" s="71">
        <f t="shared" si="14"/>
        <v>0</v>
      </c>
      <c r="AM34" s="71">
        <f t="shared" si="14"/>
        <v>0</v>
      </c>
      <c r="AN34" s="71">
        <f t="shared" si="14"/>
        <v>0</v>
      </c>
      <c r="AO34" s="71">
        <f t="shared" si="14"/>
        <v>0</v>
      </c>
      <c r="AP34" s="71">
        <f t="shared" si="14"/>
        <v>0</v>
      </c>
      <c r="AQ34" s="71">
        <f t="shared" si="14"/>
        <v>0</v>
      </c>
      <c r="AR34" s="71">
        <f t="shared" si="14"/>
        <v>0</v>
      </c>
      <c r="AS34" s="71">
        <f t="shared" si="14"/>
        <v>0</v>
      </c>
      <c r="AT34" s="71">
        <f t="shared" si="14"/>
        <v>0</v>
      </c>
    </row>
    <row r="35" spans="1:46" ht="15.75" thickBot="1" x14ac:dyDescent="0.3">
      <c r="B35" s="35" t="s">
        <v>41</v>
      </c>
      <c r="C35" s="131">
        <f>SUM(C28:C34)</f>
        <v>670</v>
      </c>
      <c r="D35" s="131">
        <f t="shared" ref="D35:Y35" si="15">SUM(D28:D34)</f>
        <v>30</v>
      </c>
      <c r="E35" s="131">
        <f t="shared" si="15"/>
        <v>585</v>
      </c>
      <c r="F35" s="131">
        <f t="shared" si="15"/>
        <v>42</v>
      </c>
      <c r="G35" s="131">
        <f t="shared" si="15"/>
        <v>508</v>
      </c>
      <c r="H35" s="131">
        <f t="shared" si="15"/>
        <v>496</v>
      </c>
      <c r="I35" s="131">
        <f t="shared" si="15"/>
        <v>64</v>
      </c>
      <c r="J35" s="131">
        <f t="shared" si="15"/>
        <v>441</v>
      </c>
      <c r="K35" s="131">
        <f t="shared" si="15"/>
        <v>63</v>
      </c>
      <c r="L35" s="131">
        <f t="shared" si="15"/>
        <v>503</v>
      </c>
      <c r="M35" s="131">
        <f t="shared" si="15"/>
        <v>432</v>
      </c>
      <c r="N35" s="242">
        <f t="shared" si="15"/>
        <v>164</v>
      </c>
      <c r="O35" s="131">
        <f t="shared" si="15"/>
        <v>490</v>
      </c>
      <c r="P35" s="131">
        <f t="shared" si="15"/>
        <v>38</v>
      </c>
      <c r="Q35" s="131">
        <f t="shared" si="15"/>
        <v>520</v>
      </c>
      <c r="R35" s="131">
        <f t="shared" si="15"/>
        <v>66</v>
      </c>
      <c r="S35" s="131">
        <f t="shared" si="15"/>
        <v>496</v>
      </c>
      <c r="T35" s="131">
        <f t="shared" si="15"/>
        <v>519</v>
      </c>
      <c r="U35" s="131">
        <f t="shared" si="15"/>
        <v>64</v>
      </c>
      <c r="V35" s="69">
        <f t="shared" si="15"/>
        <v>483</v>
      </c>
      <c r="W35" s="251">
        <f t="shared" si="15"/>
        <v>70</v>
      </c>
      <c r="X35" s="70">
        <f t="shared" si="15"/>
        <v>465</v>
      </c>
      <c r="Y35" s="251">
        <f t="shared" si="15"/>
        <v>552</v>
      </c>
      <c r="Z35" s="131">
        <f t="shared" ref="Z35" si="16">SUM(Z28:Z34)</f>
        <v>335</v>
      </c>
      <c r="AA35" s="71"/>
      <c r="AB35" s="71"/>
      <c r="AC35" s="71"/>
      <c r="AD35" s="71"/>
      <c r="AE35" s="71"/>
      <c r="AF35" s="71"/>
      <c r="AG35" s="242"/>
      <c r="AH35" s="69"/>
      <c r="AI35" s="69"/>
      <c r="AJ35" s="70"/>
      <c r="AK35" s="60">
        <f>SUM(AK28:AK34)</f>
        <v>180</v>
      </c>
      <c r="AL35" s="71">
        <f t="shared" ref="AL35:AT35" si="17">SUM(AL28:AL34)</f>
        <v>-8</v>
      </c>
      <c r="AM35" s="71">
        <f t="shared" si="17"/>
        <v>65</v>
      </c>
      <c r="AN35" s="71">
        <f t="shared" si="17"/>
        <v>-24</v>
      </c>
      <c r="AO35" s="71">
        <f t="shared" si="17"/>
        <v>12</v>
      </c>
      <c r="AP35" s="71">
        <f t="shared" si="17"/>
        <v>-23</v>
      </c>
      <c r="AQ35" s="70">
        <f t="shared" si="17"/>
        <v>0</v>
      </c>
      <c r="AR35" s="70">
        <f t="shared" si="17"/>
        <v>-42</v>
      </c>
      <c r="AS35" s="70">
        <f t="shared" si="17"/>
        <v>-7</v>
      </c>
      <c r="AT35" s="242">
        <f t="shared" si="17"/>
        <v>38</v>
      </c>
    </row>
    <row r="36" spans="1:46" x14ac:dyDescent="0.25">
      <c r="A36" s="4">
        <f>+A27+1</f>
        <v>4</v>
      </c>
      <c r="B36" s="42" t="s">
        <v>22</v>
      </c>
      <c r="C36" s="131"/>
      <c r="D36" s="71"/>
      <c r="E36" s="71"/>
      <c r="F36" s="71"/>
      <c r="G36" s="71"/>
      <c r="H36" s="71"/>
      <c r="I36" s="71"/>
      <c r="J36" s="71"/>
      <c r="K36" s="71"/>
      <c r="L36" s="162"/>
      <c r="M36" s="251"/>
      <c r="N36" s="69"/>
      <c r="O36" s="71"/>
      <c r="P36" s="71"/>
      <c r="Q36" s="71"/>
      <c r="R36" s="71"/>
      <c r="S36" s="71"/>
      <c r="T36" s="71"/>
      <c r="U36" s="251"/>
      <c r="V36" s="69"/>
      <c r="W36" s="251"/>
      <c r="X36" s="70"/>
      <c r="Y36" s="4"/>
      <c r="Z36" s="4"/>
      <c r="AA36" s="71"/>
      <c r="AB36" s="71"/>
      <c r="AC36" s="71"/>
      <c r="AD36" s="71"/>
      <c r="AE36" s="71"/>
      <c r="AF36" s="71"/>
      <c r="AG36" s="242"/>
      <c r="AH36" s="69"/>
      <c r="AI36" s="69"/>
      <c r="AJ36" s="242"/>
      <c r="AK36" s="71"/>
      <c r="AL36" s="71"/>
      <c r="AM36" s="71"/>
      <c r="AN36" s="71"/>
      <c r="AO36" s="71"/>
      <c r="AP36" s="71"/>
      <c r="AQ36" s="70"/>
      <c r="AR36" s="313"/>
      <c r="AS36" s="313"/>
      <c r="AT36" s="313"/>
    </row>
    <row r="37" spans="1:46" x14ac:dyDescent="0.25">
      <c r="A37" s="4"/>
      <c r="B37" s="35" t="s">
        <v>60</v>
      </c>
      <c r="C37" s="131">
        <v>70</v>
      </c>
      <c r="D37" s="71">
        <v>257</v>
      </c>
      <c r="E37" s="71">
        <v>266</v>
      </c>
      <c r="F37" s="71">
        <v>250</v>
      </c>
      <c r="G37" s="71">
        <v>198</v>
      </c>
      <c r="H37" s="71">
        <v>180</v>
      </c>
      <c r="I37" s="71">
        <v>184</v>
      </c>
      <c r="J37" s="71">
        <v>136</v>
      </c>
      <c r="K37" s="71">
        <v>133</v>
      </c>
      <c r="L37" s="162">
        <v>142</v>
      </c>
      <c r="M37" s="251">
        <v>93</v>
      </c>
      <c r="N37" s="69">
        <v>8</v>
      </c>
      <c r="O37" s="71">
        <v>6</v>
      </c>
      <c r="P37" s="71">
        <v>215</v>
      </c>
      <c r="Q37" s="71">
        <v>230</v>
      </c>
      <c r="R37" s="71">
        <v>247</v>
      </c>
      <c r="S37" s="71">
        <v>235</v>
      </c>
      <c r="T37" s="71">
        <v>246</v>
      </c>
      <c r="U37" s="251">
        <v>243</v>
      </c>
      <c r="V37" s="69">
        <v>236</v>
      </c>
      <c r="W37" s="251">
        <v>238</v>
      </c>
      <c r="X37" s="70">
        <v>216</v>
      </c>
      <c r="Y37" s="4">
        <v>212</v>
      </c>
      <c r="Z37" s="4">
        <v>168</v>
      </c>
      <c r="AA37" s="71"/>
      <c r="AB37" s="71"/>
      <c r="AC37" s="71"/>
      <c r="AD37" s="71"/>
      <c r="AE37" s="71"/>
      <c r="AF37" s="71"/>
      <c r="AG37" s="242"/>
      <c r="AH37" s="69"/>
      <c r="AI37" s="69"/>
      <c r="AJ37" s="70"/>
      <c r="AK37" s="71">
        <f t="shared" ref="AK37:AT37" si="18">C37-O37</f>
        <v>64</v>
      </c>
      <c r="AL37" s="71">
        <f t="shared" si="18"/>
        <v>42</v>
      </c>
      <c r="AM37" s="71">
        <f t="shared" si="18"/>
        <v>36</v>
      </c>
      <c r="AN37" s="71">
        <f t="shared" si="18"/>
        <v>3</v>
      </c>
      <c r="AO37" s="71">
        <f t="shared" si="18"/>
        <v>-37</v>
      </c>
      <c r="AP37" s="71">
        <f t="shared" si="18"/>
        <v>-66</v>
      </c>
      <c r="AQ37" s="71">
        <f t="shared" si="18"/>
        <v>-59</v>
      </c>
      <c r="AR37" s="71">
        <f t="shared" si="18"/>
        <v>-100</v>
      </c>
      <c r="AS37" s="71">
        <f t="shared" si="18"/>
        <v>-105</v>
      </c>
      <c r="AT37" s="71">
        <f t="shared" si="18"/>
        <v>-74</v>
      </c>
    </row>
    <row r="38" spans="1:46" x14ac:dyDescent="0.25">
      <c r="A38" s="4"/>
      <c r="B38" s="35" t="s">
        <v>61</v>
      </c>
      <c r="C38" s="131"/>
      <c r="D38" s="71"/>
      <c r="E38" s="71"/>
      <c r="F38" s="71"/>
      <c r="G38" s="71"/>
      <c r="H38" s="71"/>
      <c r="I38" s="71"/>
      <c r="J38" s="71"/>
      <c r="K38" s="71"/>
      <c r="L38" s="162"/>
      <c r="M38" s="251"/>
      <c r="N38" s="69"/>
      <c r="O38" s="71"/>
      <c r="P38" s="71"/>
      <c r="Q38" s="71"/>
      <c r="R38" s="71"/>
      <c r="S38" s="71"/>
      <c r="T38" s="71"/>
      <c r="U38" s="251"/>
      <c r="V38" s="69"/>
      <c r="W38" s="251"/>
      <c r="X38" s="70"/>
      <c r="Y38" s="4"/>
      <c r="Z38" s="4"/>
      <c r="AA38" s="71"/>
      <c r="AB38" s="71"/>
      <c r="AC38" s="71"/>
      <c r="AD38" s="71"/>
      <c r="AE38" s="71"/>
      <c r="AF38" s="71"/>
      <c r="AG38" s="242"/>
      <c r="AH38" s="69"/>
      <c r="AI38" s="69"/>
      <c r="AJ38" s="70"/>
      <c r="AK38" s="71">
        <f t="shared" ref="AK38:AK43" si="19">C38-O38</f>
        <v>0</v>
      </c>
      <c r="AL38" s="71">
        <f t="shared" ref="AL38:AT43" si="20">D38-P38</f>
        <v>0</v>
      </c>
      <c r="AM38" s="71">
        <f t="shared" si="20"/>
        <v>0</v>
      </c>
      <c r="AN38" s="71">
        <f t="shared" si="20"/>
        <v>0</v>
      </c>
      <c r="AO38" s="71">
        <f t="shared" si="20"/>
        <v>0</v>
      </c>
      <c r="AP38" s="71">
        <f t="shared" si="20"/>
        <v>0</v>
      </c>
      <c r="AQ38" s="71">
        <f t="shared" si="20"/>
        <v>0</v>
      </c>
      <c r="AR38" s="71">
        <f t="shared" si="20"/>
        <v>0</v>
      </c>
      <c r="AS38" s="71">
        <f t="shared" si="20"/>
        <v>0</v>
      </c>
      <c r="AT38" s="71">
        <f t="shared" si="20"/>
        <v>0</v>
      </c>
    </row>
    <row r="39" spans="1:46" x14ac:dyDescent="0.25">
      <c r="A39" s="4"/>
      <c r="B39" s="35" t="s">
        <v>62</v>
      </c>
      <c r="C39" s="131">
        <v>12</v>
      </c>
      <c r="D39" s="71">
        <v>25</v>
      </c>
      <c r="E39" s="71">
        <v>26</v>
      </c>
      <c r="F39" s="71">
        <v>35</v>
      </c>
      <c r="G39" s="71">
        <v>42</v>
      </c>
      <c r="H39" s="71">
        <v>40</v>
      </c>
      <c r="I39" s="71">
        <v>44</v>
      </c>
      <c r="J39" s="71">
        <v>39</v>
      </c>
      <c r="K39" s="71">
        <v>27</v>
      </c>
      <c r="L39" s="162">
        <v>27</v>
      </c>
      <c r="M39" s="251">
        <v>25</v>
      </c>
      <c r="N39" s="69">
        <v>0</v>
      </c>
      <c r="O39" s="71">
        <v>2</v>
      </c>
      <c r="P39" s="71">
        <v>23</v>
      </c>
      <c r="Q39" s="71">
        <v>31</v>
      </c>
      <c r="R39" s="71">
        <v>60</v>
      </c>
      <c r="S39" s="71">
        <v>61</v>
      </c>
      <c r="T39" s="71">
        <v>57</v>
      </c>
      <c r="U39" s="251">
        <v>57</v>
      </c>
      <c r="V39" s="69">
        <v>56</v>
      </c>
      <c r="W39" s="251">
        <v>49</v>
      </c>
      <c r="X39" s="70">
        <v>50</v>
      </c>
      <c r="Y39" s="4">
        <v>64</v>
      </c>
      <c r="Z39" s="4">
        <v>62</v>
      </c>
      <c r="AA39" s="71"/>
      <c r="AB39" s="71"/>
      <c r="AC39" s="71"/>
      <c r="AD39" s="71"/>
      <c r="AE39" s="71"/>
      <c r="AF39" s="71"/>
      <c r="AG39" s="242"/>
      <c r="AH39" s="69"/>
      <c r="AI39" s="69"/>
      <c r="AJ39" s="70"/>
      <c r="AK39" s="71">
        <f t="shared" si="19"/>
        <v>10</v>
      </c>
      <c r="AL39" s="71">
        <f t="shared" si="20"/>
        <v>2</v>
      </c>
      <c r="AM39" s="71">
        <f t="shared" si="20"/>
        <v>-5</v>
      </c>
      <c r="AN39" s="71">
        <f t="shared" si="20"/>
        <v>-25</v>
      </c>
      <c r="AO39" s="71">
        <f t="shared" si="20"/>
        <v>-19</v>
      </c>
      <c r="AP39" s="71">
        <f t="shared" si="20"/>
        <v>-17</v>
      </c>
      <c r="AQ39" s="71">
        <f t="shared" si="20"/>
        <v>-13</v>
      </c>
      <c r="AR39" s="71">
        <f t="shared" si="20"/>
        <v>-17</v>
      </c>
      <c r="AS39" s="71">
        <f t="shared" si="20"/>
        <v>-22</v>
      </c>
      <c r="AT39" s="71">
        <f t="shared" si="20"/>
        <v>-23</v>
      </c>
    </row>
    <row r="40" spans="1:46" x14ac:dyDescent="0.25">
      <c r="A40" s="4"/>
      <c r="B40" s="35" t="s">
        <v>63</v>
      </c>
      <c r="C40" s="131"/>
      <c r="D40" s="71"/>
      <c r="E40" s="71"/>
      <c r="F40" s="71"/>
      <c r="G40" s="71"/>
      <c r="H40" s="71"/>
      <c r="I40" s="71"/>
      <c r="J40" s="71"/>
      <c r="K40" s="71"/>
      <c r="L40" s="162"/>
      <c r="M40" s="251"/>
      <c r="N40" s="69"/>
      <c r="O40" s="71"/>
      <c r="P40" s="71"/>
      <c r="Q40" s="71"/>
      <c r="R40" s="71"/>
      <c r="S40" s="71"/>
      <c r="T40" s="71"/>
      <c r="U40" s="251"/>
      <c r="V40" s="69"/>
      <c r="W40" s="251"/>
      <c r="X40" s="70"/>
      <c r="Y40" s="4"/>
      <c r="Z40" s="4"/>
      <c r="AA40" s="71"/>
      <c r="AB40" s="71"/>
      <c r="AC40" s="71"/>
      <c r="AD40" s="71"/>
      <c r="AE40" s="71"/>
      <c r="AF40" s="71"/>
      <c r="AG40" s="242"/>
      <c r="AH40" s="69"/>
      <c r="AI40" s="69"/>
      <c r="AJ40" s="70"/>
      <c r="AK40" s="71">
        <f t="shared" si="19"/>
        <v>0</v>
      </c>
      <c r="AL40" s="71">
        <f t="shared" si="20"/>
        <v>0</v>
      </c>
      <c r="AM40" s="71">
        <f t="shared" si="20"/>
        <v>0</v>
      </c>
      <c r="AN40" s="71">
        <f t="shared" si="20"/>
        <v>0</v>
      </c>
      <c r="AO40" s="71">
        <f t="shared" si="20"/>
        <v>0</v>
      </c>
      <c r="AP40" s="71">
        <f t="shared" si="20"/>
        <v>0</v>
      </c>
      <c r="AQ40" s="71">
        <f t="shared" si="20"/>
        <v>0</v>
      </c>
      <c r="AR40" s="71">
        <f t="shared" si="20"/>
        <v>0</v>
      </c>
      <c r="AS40" s="71">
        <f t="shared" si="20"/>
        <v>0</v>
      </c>
      <c r="AT40" s="71">
        <f t="shared" si="20"/>
        <v>0</v>
      </c>
    </row>
    <row r="41" spans="1:46" x14ac:dyDescent="0.25">
      <c r="A41" s="4"/>
      <c r="B41" s="35" t="s">
        <v>38</v>
      </c>
      <c r="C41" s="131">
        <v>4</v>
      </c>
      <c r="D41" s="71">
        <v>13</v>
      </c>
      <c r="E41" s="71">
        <v>9</v>
      </c>
      <c r="F41" s="71">
        <v>13</v>
      </c>
      <c r="G41" s="71">
        <v>8</v>
      </c>
      <c r="H41" s="71">
        <v>13</v>
      </c>
      <c r="I41" s="71">
        <v>11</v>
      </c>
      <c r="J41" s="71">
        <v>14</v>
      </c>
      <c r="K41" s="71">
        <v>14</v>
      </c>
      <c r="L41" s="162">
        <v>12</v>
      </c>
      <c r="M41" s="251">
        <v>6</v>
      </c>
      <c r="N41" s="69">
        <v>2</v>
      </c>
      <c r="O41" s="71">
        <v>7</v>
      </c>
      <c r="P41" s="71">
        <v>20</v>
      </c>
      <c r="Q41" s="71">
        <v>26</v>
      </c>
      <c r="R41" s="71">
        <v>23</v>
      </c>
      <c r="S41" s="71">
        <v>18</v>
      </c>
      <c r="T41" s="71">
        <v>21</v>
      </c>
      <c r="U41" s="251">
        <v>17</v>
      </c>
      <c r="V41" s="69">
        <v>15</v>
      </c>
      <c r="W41" s="251">
        <v>16</v>
      </c>
      <c r="X41" s="70">
        <v>12</v>
      </c>
      <c r="Y41" s="4">
        <v>15</v>
      </c>
      <c r="Z41" s="4">
        <v>15</v>
      </c>
      <c r="AA41" s="71"/>
      <c r="AB41" s="71"/>
      <c r="AC41" s="71"/>
      <c r="AD41" s="71"/>
      <c r="AE41" s="71"/>
      <c r="AF41" s="71"/>
      <c r="AG41" s="242"/>
      <c r="AH41" s="69"/>
      <c r="AI41" s="69"/>
      <c r="AJ41" s="70"/>
      <c r="AK41" s="71">
        <f t="shared" si="19"/>
        <v>-3</v>
      </c>
      <c r="AL41" s="71">
        <f t="shared" si="20"/>
        <v>-7</v>
      </c>
      <c r="AM41" s="71">
        <f t="shared" si="20"/>
        <v>-17</v>
      </c>
      <c r="AN41" s="71">
        <f t="shared" si="20"/>
        <v>-10</v>
      </c>
      <c r="AO41" s="71">
        <f t="shared" si="20"/>
        <v>-10</v>
      </c>
      <c r="AP41" s="71">
        <f t="shared" si="20"/>
        <v>-8</v>
      </c>
      <c r="AQ41" s="71">
        <f t="shared" si="20"/>
        <v>-6</v>
      </c>
      <c r="AR41" s="71">
        <f t="shared" si="20"/>
        <v>-1</v>
      </c>
      <c r="AS41" s="71">
        <f t="shared" si="20"/>
        <v>-2</v>
      </c>
      <c r="AT41" s="71">
        <f t="shared" si="20"/>
        <v>0</v>
      </c>
    </row>
    <row r="42" spans="1:46" x14ac:dyDescent="0.25">
      <c r="A42" s="4"/>
      <c r="B42" s="35" t="s">
        <v>39</v>
      </c>
      <c r="C42" s="131"/>
      <c r="D42" s="71"/>
      <c r="E42" s="71"/>
      <c r="F42" s="71"/>
      <c r="G42" s="71"/>
      <c r="H42" s="71"/>
      <c r="I42" s="71"/>
      <c r="J42" s="71"/>
      <c r="K42" s="71"/>
      <c r="L42" s="162"/>
      <c r="M42" s="251"/>
      <c r="N42" s="69"/>
      <c r="O42" s="71"/>
      <c r="P42" s="71"/>
      <c r="Q42" s="71"/>
      <c r="R42" s="71"/>
      <c r="S42" s="71"/>
      <c r="T42" s="71"/>
      <c r="U42" s="251"/>
      <c r="V42" s="69"/>
      <c r="W42" s="251"/>
      <c r="X42" s="70"/>
      <c r="Y42" s="4"/>
      <c r="Z42" s="4"/>
      <c r="AA42" s="71"/>
      <c r="AB42" s="71"/>
      <c r="AC42" s="71"/>
      <c r="AD42" s="71"/>
      <c r="AE42" s="71"/>
      <c r="AF42" s="71"/>
      <c r="AG42" s="242"/>
      <c r="AH42" s="69"/>
      <c r="AI42" s="69"/>
      <c r="AJ42" s="70"/>
      <c r="AK42" s="71">
        <f t="shared" si="19"/>
        <v>0</v>
      </c>
      <c r="AL42" s="71">
        <f t="shared" si="20"/>
        <v>0</v>
      </c>
      <c r="AM42" s="71">
        <f t="shared" si="20"/>
        <v>0</v>
      </c>
      <c r="AN42" s="71">
        <f t="shared" si="20"/>
        <v>0</v>
      </c>
      <c r="AO42" s="71">
        <f t="shared" si="20"/>
        <v>0</v>
      </c>
      <c r="AP42" s="71">
        <f t="shared" si="20"/>
        <v>0</v>
      </c>
      <c r="AQ42" s="71">
        <f t="shared" si="20"/>
        <v>0</v>
      </c>
      <c r="AR42" s="71">
        <f t="shared" si="20"/>
        <v>0</v>
      </c>
      <c r="AS42" s="71">
        <f t="shared" si="20"/>
        <v>0</v>
      </c>
      <c r="AT42" s="71">
        <f t="shared" si="20"/>
        <v>0</v>
      </c>
    </row>
    <row r="43" spans="1:46" x14ac:dyDescent="0.25">
      <c r="A43" s="4"/>
      <c r="B43" s="35" t="s">
        <v>65</v>
      </c>
      <c r="C43" s="131"/>
      <c r="D43" s="71"/>
      <c r="E43" s="71"/>
      <c r="F43" s="71"/>
      <c r="G43" s="71"/>
      <c r="H43" s="71"/>
      <c r="I43" s="71"/>
      <c r="J43" s="71"/>
      <c r="K43" s="71"/>
      <c r="L43" s="162"/>
      <c r="M43" s="251"/>
      <c r="N43" s="69"/>
      <c r="O43" s="71"/>
      <c r="P43" s="71"/>
      <c r="Q43" s="71"/>
      <c r="R43" s="71"/>
      <c r="S43" s="71"/>
      <c r="T43" s="71"/>
      <c r="U43" s="251"/>
      <c r="V43" s="69"/>
      <c r="W43" s="251"/>
      <c r="X43" s="70"/>
      <c r="Y43" s="4"/>
      <c r="Z43" s="4"/>
      <c r="AA43" s="71"/>
      <c r="AB43" s="71"/>
      <c r="AC43" s="71"/>
      <c r="AD43" s="71"/>
      <c r="AE43" s="71"/>
      <c r="AF43" s="71"/>
      <c r="AG43" s="242"/>
      <c r="AH43" s="69"/>
      <c r="AI43" s="69"/>
      <c r="AJ43" s="70"/>
      <c r="AK43" s="71">
        <f t="shared" si="19"/>
        <v>0</v>
      </c>
      <c r="AL43" s="71">
        <f t="shared" si="20"/>
        <v>0</v>
      </c>
      <c r="AM43" s="71">
        <f t="shared" si="20"/>
        <v>0</v>
      </c>
      <c r="AN43" s="71">
        <f t="shared" si="20"/>
        <v>0</v>
      </c>
      <c r="AO43" s="71">
        <f t="shared" si="20"/>
        <v>0</v>
      </c>
      <c r="AP43" s="71">
        <f t="shared" si="20"/>
        <v>0</v>
      </c>
      <c r="AQ43" s="71">
        <f t="shared" si="20"/>
        <v>0</v>
      </c>
      <c r="AR43" s="71">
        <f t="shared" si="20"/>
        <v>0</v>
      </c>
      <c r="AS43" s="71">
        <f t="shared" si="20"/>
        <v>0</v>
      </c>
      <c r="AT43" s="71">
        <f t="shared" si="20"/>
        <v>0</v>
      </c>
    </row>
    <row r="44" spans="1:46" x14ac:dyDescent="0.25">
      <c r="A44" s="4"/>
      <c r="B44" s="35" t="s">
        <v>41</v>
      </c>
      <c r="C44" s="131">
        <f>SUM(C37:C43)</f>
        <v>86</v>
      </c>
      <c r="D44" s="131">
        <f t="shared" ref="D44:Y44" si="21">SUM(D37:D43)</f>
        <v>295</v>
      </c>
      <c r="E44" s="131">
        <f t="shared" si="21"/>
        <v>301</v>
      </c>
      <c r="F44" s="131">
        <f t="shared" si="21"/>
        <v>298</v>
      </c>
      <c r="G44" s="131">
        <f t="shared" si="21"/>
        <v>248</v>
      </c>
      <c r="H44" s="131">
        <f t="shared" si="21"/>
        <v>233</v>
      </c>
      <c r="I44" s="131">
        <f t="shared" si="21"/>
        <v>239</v>
      </c>
      <c r="J44" s="131">
        <f t="shared" si="21"/>
        <v>189</v>
      </c>
      <c r="K44" s="131">
        <f t="shared" si="21"/>
        <v>174</v>
      </c>
      <c r="L44" s="131">
        <f t="shared" si="21"/>
        <v>181</v>
      </c>
      <c r="M44" s="131">
        <f t="shared" si="21"/>
        <v>124</v>
      </c>
      <c r="N44" s="242">
        <f t="shared" si="21"/>
        <v>10</v>
      </c>
      <c r="O44" s="131">
        <f t="shared" si="21"/>
        <v>15</v>
      </c>
      <c r="P44" s="131">
        <f t="shared" si="21"/>
        <v>258</v>
      </c>
      <c r="Q44" s="131">
        <f t="shared" si="21"/>
        <v>287</v>
      </c>
      <c r="R44" s="131">
        <f t="shared" si="21"/>
        <v>330</v>
      </c>
      <c r="S44" s="131">
        <f t="shared" si="21"/>
        <v>314</v>
      </c>
      <c r="T44" s="131">
        <f t="shared" si="21"/>
        <v>324</v>
      </c>
      <c r="U44" s="131">
        <f t="shared" si="21"/>
        <v>317</v>
      </c>
      <c r="V44" s="69">
        <f t="shared" si="21"/>
        <v>307</v>
      </c>
      <c r="W44" s="251">
        <f t="shared" si="21"/>
        <v>303</v>
      </c>
      <c r="X44" s="70">
        <f t="shared" si="21"/>
        <v>278</v>
      </c>
      <c r="Y44" s="251">
        <f t="shared" si="21"/>
        <v>291</v>
      </c>
      <c r="Z44" s="131">
        <f t="shared" ref="Z44" si="22">SUM(Z37:Z43)</f>
        <v>245</v>
      </c>
      <c r="AA44" s="71"/>
      <c r="AB44" s="71"/>
      <c r="AC44" s="71"/>
      <c r="AD44" s="71"/>
      <c r="AE44" s="71"/>
      <c r="AF44" s="71"/>
      <c r="AG44" s="242"/>
      <c r="AH44" s="69"/>
      <c r="AI44" s="69"/>
      <c r="AJ44" s="70"/>
      <c r="AK44" s="71">
        <f t="shared" ref="AK44:AT44" si="23">SUM(AK37:AK43)</f>
        <v>71</v>
      </c>
      <c r="AL44" s="71">
        <f t="shared" si="23"/>
        <v>37</v>
      </c>
      <c r="AM44" s="71">
        <f t="shared" si="23"/>
        <v>14</v>
      </c>
      <c r="AN44" s="71">
        <f t="shared" si="23"/>
        <v>-32</v>
      </c>
      <c r="AO44" s="71">
        <f t="shared" si="23"/>
        <v>-66</v>
      </c>
      <c r="AP44" s="71">
        <f t="shared" si="23"/>
        <v>-91</v>
      </c>
      <c r="AQ44" s="70">
        <f t="shared" si="23"/>
        <v>-78</v>
      </c>
      <c r="AR44" s="70">
        <f t="shared" si="23"/>
        <v>-118</v>
      </c>
      <c r="AS44" s="70">
        <f t="shared" si="23"/>
        <v>-129</v>
      </c>
      <c r="AT44" s="242">
        <f t="shared" si="23"/>
        <v>-97</v>
      </c>
    </row>
    <row r="45" spans="1:46" x14ac:dyDescent="0.25">
      <c r="A45" s="4">
        <f>+A36+1</f>
        <v>5</v>
      </c>
      <c r="B45" s="42" t="s">
        <v>23</v>
      </c>
      <c r="C45" s="131"/>
      <c r="D45" s="71"/>
      <c r="E45" s="71"/>
      <c r="F45" s="71"/>
      <c r="G45" s="71"/>
      <c r="H45" s="71"/>
      <c r="I45" s="71"/>
      <c r="J45" s="71"/>
      <c r="K45" s="71"/>
      <c r="L45" s="162"/>
      <c r="M45" s="251"/>
      <c r="N45" s="69"/>
      <c r="O45" s="71"/>
      <c r="P45" s="71"/>
      <c r="Q45" s="71"/>
      <c r="R45" s="71"/>
      <c r="S45" s="71"/>
      <c r="T45" s="71"/>
      <c r="U45" s="251"/>
      <c r="V45" s="69"/>
      <c r="W45" s="251"/>
      <c r="X45" s="70"/>
      <c r="Y45" s="4"/>
      <c r="Z45" s="4"/>
      <c r="AA45" s="71"/>
      <c r="AB45" s="71"/>
      <c r="AC45" s="71"/>
      <c r="AD45" s="71"/>
      <c r="AE45" s="71"/>
      <c r="AF45" s="71"/>
      <c r="AG45" s="242"/>
      <c r="AH45" s="69"/>
      <c r="AI45" s="69"/>
      <c r="AJ45" s="242"/>
      <c r="AK45" s="71"/>
      <c r="AL45" s="71"/>
      <c r="AM45" s="71"/>
      <c r="AN45" s="71"/>
      <c r="AO45" s="71"/>
      <c r="AP45" s="71"/>
      <c r="AQ45" s="70"/>
      <c r="AR45" s="313"/>
      <c r="AS45" s="313"/>
      <c r="AT45" s="313"/>
    </row>
    <row r="46" spans="1:46" x14ac:dyDescent="0.25">
      <c r="A46" s="4"/>
      <c r="B46" s="35" t="s">
        <v>60</v>
      </c>
      <c r="C46" s="131">
        <v>37</v>
      </c>
      <c r="D46" s="71">
        <v>68</v>
      </c>
      <c r="E46" s="71">
        <v>145</v>
      </c>
      <c r="F46" s="71">
        <v>177</v>
      </c>
      <c r="G46" s="71">
        <v>169</v>
      </c>
      <c r="H46" s="71">
        <v>161</v>
      </c>
      <c r="I46" s="71">
        <v>162</v>
      </c>
      <c r="J46" s="71">
        <v>149</v>
      </c>
      <c r="K46" s="71">
        <v>123</v>
      </c>
      <c r="L46" s="162">
        <v>60</v>
      </c>
      <c r="M46" s="251">
        <v>43</v>
      </c>
      <c r="N46" s="69">
        <v>51</v>
      </c>
      <c r="O46" s="71">
        <v>67</v>
      </c>
      <c r="P46" s="71">
        <v>38</v>
      </c>
      <c r="Q46" s="71">
        <v>234</v>
      </c>
      <c r="R46" s="71">
        <v>291</v>
      </c>
      <c r="S46" s="71">
        <v>315</v>
      </c>
      <c r="T46" s="71">
        <v>335</v>
      </c>
      <c r="U46" s="251">
        <v>305</v>
      </c>
      <c r="V46" s="69">
        <v>323</v>
      </c>
      <c r="W46" s="251">
        <v>331</v>
      </c>
      <c r="X46" s="70">
        <v>299</v>
      </c>
      <c r="Y46" s="4">
        <v>287</v>
      </c>
      <c r="Z46" s="4">
        <v>242</v>
      </c>
      <c r="AA46" s="71"/>
      <c r="AB46" s="71"/>
      <c r="AC46" s="71"/>
      <c r="AD46" s="71"/>
      <c r="AE46" s="71"/>
      <c r="AF46" s="71"/>
      <c r="AG46" s="242"/>
      <c r="AH46" s="69"/>
      <c r="AI46" s="69"/>
      <c r="AJ46" s="70"/>
      <c r="AK46" s="71">
        <f t="shared" ref="AK46:AT46" si="24">C46-O46</f>
        <v>-30</v>
      </c>
      <c r="AL46" s="71">
        <f t="shared" si="24"/>
        <v>30</v>
      </c>
      <c r="AM46" s="71">
        <f t="shared" si="24"/>
        <v>-89</v>
      </c>
      <c r="AN46" s="71">
        <f t="shared" si="24"/>
        <v>-114</v>
      </c>
      <c r="AO46" s="71">
        <f t="shared" si="24"/>
        <v>-146</v>
      </c>
      <c r="AP46" s="71">
        <f t="shared" si="24"/>
        <v>-174</v>
      </c>
      <c r="AQ46" s="71">
        <f t="shared" si="24"/>
        <v>-143</v>
      </c>
      <c r="AR46" s="71">
        <f t="shared" si="24"/>
        <v>-174</v>
      </c>
      <c r="AS46" s="71">
        <f t="shared" si="24"/>
        <v>-208</v>
      </c>
      <c r="AT46" s="71">
        <f t="shared" si="24"/>
        <v>-239</v>
      </c>
    </row>
    <row r="47" spans="1:46" x14ac:dyDescent="0.25">
      <c r="A47" s="4"/>
      <c r="B47" s="35" t="s">
        <v>61</v>
      </c>
      <c r="C47" s="131"/>
      <c r="D47" s="71"/>
      <c r="E47" s="71"/>
      <c r="F47" s="71"/>
      <c r="G47" s="71"/>
      <c r="H47" s="71"/>
      <c r="I47" s="71"/>
      <c r="J47" s="71"/>
      <c r="K47" s="71"/>
      <c r="L47" s="162"/>
      <c r="M47" s="251"/>
      <c r="N47" s="69"/>
      <c r="O47" s="71"/>
      <c r="P47" s="71"/>
      <c r="Q47" s="71"/>
      <c r="R47" s="71"/>
      <c r="S47" s="71"/>
      <c r="T47" s="71"/>
      <c r="U47" s="251"/>
      <c r="V47" s="69"/>
      <c r="W47" s="251"/>
      <c r="X47" s="70"/>
      <c r="Y47" s="4"/>
      <c r="Z47" s="4"/>
      <c r="AA47" s="71"/>
      <c r="AB47" s="71"/>
      <c r="AC47" s="71"/>
      <c r="AD47" s="71"/>
      <c r="AE47" s="71"/>
      <c r="AF47" s="71"/>
      <c r="AG47" s="242"/>
      <c r="AH47" s="69"/>
      <c r="AI47" s="69"/>
      <c r="AJ47" s="70"/>
      <c r="AK47" s="71">
        <f t="shared" ref="AK47:AK52" si="25">C47-O47</f>
        <v>0</v>
      </c>
      <c r="AL47" s="71">
        <f t="shared" ref="AL47:AT52" si="26">D47-P47</f>
        <v>0</v>
      </c>
      <c r="AM47" s="71">
        <f t="shared" si="26"/>
        <v>0</v>
      </c>
      <c r="AN47" s="71">
        <f t="shared" si="26"/>
        <v>0</v>
      </c>
      <c r="AO47" s="71">
        <f t="shared" si="26"/>
        <v>0</v>
      </c>
      <c r="AP47" s="71">
        <f t="shared" si="26"/>
        <v>0</v>
      </c>
      <c r="AQ47" s="71">
        <f t="shared" si="26"/>
        <v>0</v>
      </c>
      <c r="AR47" s="71">
        <f t="shared" si="26"/>
        <v>0</v>
      </c>
      <c r="AS47" s="71">
        <f t="shared" si="26"/>
        <v>0</v>
      </c>
      <c r="AT47" s="71">
        <f t="shared" si="26"/>
        <v>0</v>
      </c>
    </row>
    <row r="48" spans="1:46" x14ac:dyDescent="0.25">
      <c r="A48" s="4"/>
      <c r="B48" s="35" t="s">
        <v>62</v>
      </c>
      <c r="C48" s="131">
        <v>7</v>
      </c>
      <c r="D48" s="71">
        <v>11</v>
      </c>
      <c r="E48" s="71">
        <v>19</v>
      </c>
      <c r="F48" s="71">
        <v>20</v>
      </c>
      <c r="G48" s="71">
        <v>34</v>
      </c>
      <c r="H48" s="71">
        <v>41</v>
      </c>
      <c r="I48" s="71">
        <v>45</v>
      </c>
      <c r="J48" s="71">
        <v>51</v>
      </c>
      <c r="K48" s="71">
        <v>34</v>
      </c>
      <c r="L48" s="162">
        <v>20</v>
      </c>
      <c r="M48" s="251">
        <v>13</v>
      </c>
      <c r="N48" s="69">
        <v>15</v>
      </c>
      <c r="O48" s="71">
        <v>16</v>
      </c>
      <c r="P48" s="71">
        <v>8</v>
      </c>
      <c r="Q48" s="71">
        <v>32</v>
      </c>
      <c r="R48" s="71">
        <v>44</v>
      </c>
      <c r="S48" s="71">
        <v>77</v>
      </c>
      <c r="T48" s="71">
        <v>96</v>
      </c>
      <c r="U48" s="251">
        <v>99</v>
      </c>
      <c r="V48" s="69">
        <v>95</v>
      </c>
      <c r="W48" s="251">
        <v>78</v>
      </c>
      <c r="X48" s="70">
        <v>65</v>
      </c>
      <c r="Y48" s="4">
        <v>75</v>
      </c>
      <c r="Z48" s="4">
        <v>71</v>
      </c>
      <c r="AA48" s="71"/>
      <c r="AB48" s="71"/>
      <c r="AC48" s="71"/>
      <c r="AD48" s="71"/>
      <c r="AE48" s="71"/>
      <c r="AF48" s="71"/>
      <c r="AG48" s="242"/>
      <c r="AH48" s="69"/>
      <c r="AI48" s="69"/>
      <c r="AJ48" s="70"/>
      <c r="AK48" s="71">
        <f t="shared" si="25"/>
        <v>-9</v>
      </c>
      <c r="AL48" s="71">
        <f t="shared" si="26"/>
        <v>3</v>
      </c>
      <c r="AM48" s="71">
        <f t="shared" si="26"/>
        <v>-13</v>
      </c>
      <c r="AN48" s="71">
        <f t="shared" si="26"/>
        <v>-24</v>
      </c>
      <c r="AO48" s="71">
        <f t="shared" si="26"/>
        <v>-43</v>
      </c>
      <c r="AP48" s="71">
        <f t="shared" si="26"/>
        <v>-55</v>
      </c>
      <c r="AQ48" s="71">
        <f t="shared" si="26"/>
        <v>-54</v>
      </c>
      <c r="AR48" s="71">
        <f t="shared" si="26"/>
        <v>-44</v>
      </c>
      <c r="AS48" s="71">
        <f t="shared" si="26"/>
        <v>-44</v>
      </c>
      <c r="AT48" s="71">
        <f t="shared" si="26"/>
        <v>-45</v>
      </c>
    </row>
    <row r="49" spans="1:46" x14ac:dyDescent="0.25">
      <c r="A49" s="4"/>
      <c r="B49" s="35" t="s">
        <v>63</v>
      </c>
      <c r="C49" s="337"/>
      <c r="D49" s="71"/>
      <c r="E49" s="71"/>
      <c r="F49" s="71"/>
      <c r="G49" s="71"/>
      <c r="H49" s="71"/>
      <c r="I49" s="71"/>
      <c r="J49" s="71"/>
      <c r="K49" s="71"/>
      <c r="L49" s="162"/>
      <c r="M49" s="251"/>
      <c r="N49" s="69"/>
      <c r="O49" s="71"/>
      <c r="P49" s="71"/>
      <c r="Q49" s="71"/>
      <c r="R49" s="71"/>
      <c r="S49" s="71"/>
      <c r="T49" s="71"/>
      <c r="U49" s="251"/>
      <c r="V49" s="69"/>
      <c r="W49" s="251"/>
      <c r="X49" s="70"/>
      <c r="Y49" s="4"/>
      <c r="Z49" s="4"/>
      <c r="AA49" s="71"/>
      <c r="AB49" s="71"/>
      <c r="AC49" s="71"/>
      <c r="AD49" s="71"/>
      <c r="AE49" s="71"/>
      <c r="AF49" s="71"/>
      <c r="AG49" s="242"/>
      <c r="AH49" s="69"/>
      <c r="AI49" s="69"/>
      <c r="AJ49" s="70"/>
      <c r="AK49" s="71">
        <f t="shared" si="25"/>
        <v>0</v>
      </c>
      <c r="AL49" s="71">
        <f t="shared" si="26"/>
        <v>0</v>
      </c>
      <c r="AM49" s="71">
        <f t="shared" si="26"/>
        <v>0</v>
      </c>
      <c r="AN49" s="71">
        <f t="shared" si="26"/>
        <v>0</v>
      </c>
      <c r="AO49" s="71">
        <f t="shared" si="26"/>
        <v>0</v>
      </c>
      <c r="AP49" s="71">
        <f t="shared" si="26"/>
        <v>0</v>
      </c>
      <c r="AQ49" s="71">
        <f t="shared" si="26"/>
        <v>0</v>
      </c>
      <c r="AR49" s="71">
        <f t="shared" si="26"/>
        <v>0</v>
      </c>
      <c r="AS49" s="71">
        <f t="shared" si="26"/>
        <v>0</v>
      </c>
      <c r="AT49" s="71">
        <f t="shared" si="26"/>
        <v>0</v>
      </c>
    </row>
    <row r="50" spans="1:46" x14ac:dyDescent="0.25">
      <c r="A50" s="4"/>
      <c r="B50" s="35" t="s">
        <v>38</v>
      </c>
      <c r="C50" s="203">
        <v>3</v>
      </c>
      <c r="D50" s="71">
        <v>4</v>
      </c>
      <c r="E50" s="71">
        <v>6</v>
      </c>
      <c r="F50" s="71">
        <v>10</v>
      </c>
      <c r="G50" s="71">
        <v>10</v>
      </c>
      <c r="H50" s="71">
        <v>7</v>
      </c>
      <c r="I50" s="71">
        <v>6</v>
      </c>
      <c r="J50" s="71">
        <v>7</v>
      </c>
      <c r="K50" s="71">
        <v>13</v>
      </c>
      <c r="L50" s="162">
        <v>16</v>
      </c>
      <c r="M50" s="251">
        <v>9</v>
      </c>
      <c r="N50" s="69">
        <v>8</v>
      </c>
      <c r="O50" s="71">
        <v>11</v>
      </c>
      <c r="P50" s="71">
        <v>11</v>
      </c>
      <c r="Q50" s="71">
        <v>25</v>
      </c>
      <c r="R50" s="71">
        <v>31</v>
      </c>
      <c r="S50" s="71">
        <v>27</v>
      </c>
      <c r="T50" s="71">
        <v>27</v>
      </c>
      <c r="U50" s="251">
        <v>21</v>
      </c>
      <c r="V50" s="69">
        <v>22</v>
      </c>
      <c r="W50" s="251">
        <v>20</v>
      </c>
      <c r="X50" s="70">
        <v>18</v>
      </c>
      <c r="Y50" s="4">
        <v>19</v>
      </c>
      <c r="Z50" s="4">
        <v>15</v>
      </c>
      <c r="AA50" s="71"/>
      <c r="AB50" s="71"/>
      <c r="AC50" s="71"/>
      <c r="AD50" s="71"/>
      <c r="AE50" s="71"/>
      <c r="AF50" s="71"/>
      <c r="AG50" s="242"/>
      <c r="AH50" s="69"/>
      <c r="AI50" s="69"/>
      <c r="AJ50" s="70"/>
      <c r="AK50" s="71">
        <f t="shared" si="25"/>
        <v>-8</v>
      </c>
      <c r="AL50" s="71">
        <f t="shared" si="26"/>
        <v>-7</v>
      </c>
      <c r="AM50" s="71">
        <f t="shared" si="26"/>
        <v>-19</v>
      </c>
      <c r="AN50" s="71">
        <f t="shared" si="26"/>
        <v>-21</v>
      </c>
      <c r="AO50" s="71">
        <f t="shared" si="26"/>
        <v>-17</v>
      </c>
      <c r="AP50" s="71">
        <f t="shared" si="26"/>
        <v>-20</v>
      </c>
      <c r="AQ50" s="71">
        <f t="shared" si="26"/>
        <v>-15</v>
      </c>
      <c r="AR50" s="71">
        <f t="shared" si="26"/>
        <v>-15</v>
      </c>
      <c r="AS50" s="71">
        <f t="shared" si="26"/>
        <v>-7</v>
      </c>
      <c r="AT50" s="71">
        <f t="shared" si="26"/>
        <v>-2</v>
      </c>
    </row>
    <row r="51" spans="1:46" x14ac:dyDescent="0.25">
      <c r="A51" s="4"/>
      <c r="B51" s="35" t="s">
        <v>39</v>
      </c>
      <c r="C51" s="203"/>
      <c r="D51" s="71"/>
      <c r="E51" s="71"/>
      <c r="F51" s="71"/>
      <c r="G51" s="71"/>
      <c r="H51" s="71"/>
      <c r="I51" s="71"/>
      <c r="J51" s="71"/>
      <c r="K51" s="71"/>
      <c r="L51" s="162"/>
      <c r="M51" s="251"/>
      <c r="N51" s="69"/>
      <c r="O51" s="71"/>
      <c r="P51" s="71"/>
      <c r="Q51" s="71"/>
      <c r="R51" s="71"/>
      <c r="S51" s="71"/>
      <c r="T51" s="71"/>
      <c r="U51" s="251"/>
      <c r="V51" s="69"/>
      <c r="W51" s="251"/>
      <c r="X51" s="70"/>
      <c r="Y51" s="4"/>
      <c r="Z51" s="4"/>
      <c r="AA51" s="71"/>
      <c r="AB51" s="71"/>
      <c r="AC51" s="71"/>
      <c r="AD51" s="71"/>
      <c r="AE51" s="71"/>
      <c r="AF51" s="71"/>
      <c r="AG51" s="242"/>
      <c r="AH51" s="69"/>
      <c r="AI51" s="69"/>
      <c r="AJ51" s="70"/>
      <c r="AK51" s="71">
        <f t="shared" si="25"/>
        <v>0</v>
      </c>
      <c r="AL51" s="71">
        <f t="shared" si="26"/>
        <v>0</v>
      </c>
      <c r="AM51" s="71">
        <f t="shared" si="26"/>
        <v>0</v>
      </c>
      <c r="AN51" s="71">
        <f t="shared" si="26"/>
        <v>0</v>
      </c>
      <c r="AO51" s="71">
        <f t="shared" si="26"/>
        <v>0</v>
      </c>
      <c r="AP51" s="71">
        <f t="shared" si="26"/>
        <v>0</v>
      </c>
      <c r="AQ51" s="71">
        <f t="shared" si="26"/>
        <v>0</v>
      </c>
      <c r="AR51" s="71">
        <f t="shared" si="26"/>
        <v>0</v>
      </c>
      <c r="AS51" s="71">
        <f t="shared" si="26"/>
        <v>0</v>
      </c>
      <c r="AT51" s="71">
        <f t="shared" si="26"/>
        <v>0</v>
      </c>
    </row>
    <row r="52" spans="1:46" x14ac:dyDescent="0.25">
      <c r="A52" s="4"/>
      <c r="B52" s="35" t="s">
        <v>65</v>
      </c>
      <c r="C52" s="131"/>
      <c r="D52" s="71"/>
      <c r="E52" s="71"/>
      <c r="F52" s="71"/>
      <c r="G52" s="71"/>
      <c r="H52" s="71"/>
      <c r="I52" s="71"/>
      <c r="J52" s="71"/>
      <c r="K52" s="71"/>
      <c r="L52" s="162"/>
      <c r="M52" s="251"/>
      <c r="N52" s="69"/>
      <c r="O52" s="71"/>
      <c r="P52" s="71"/>
      <c r="Q52" s="71"/>
      <c r="R52" s="71"/>
      <c r="S52" s="71"/>
      <c r="T52" s="71"/>
      <c r="U52" s="251"/>
      <c r="V52" s="69"/>
      <c r="W52" s="251"/>
      <c r="X52" s="70"/>
      <c r="Y52" s="4"/>
      <c r="Z52" s="4"/>
      <c r="AA52" s="71"/>
      <c r="AB52" s="71"/>
      <c r="AC52" s="71"/>
      <c r="AD52" s="71"/>
      <c r="AE52" s="71"/>
      <c r="AF52" s="71"/>
      <c r="AG52" s="242"/>
      <c r="AH52" s="69"/>
      <c r="AI52" s="69"/>
      <c r="AJ52" s="70"/>
      <c r="AK52" s="71">
        <f t="shared" si="25"/>
        <v>0</v>
      </c>
      <c r="AL52" s="71">
        <f t="shared" si="26"/>
        <v>0</v>
      </c>
      <c r="AM52" s="71">
        <f t="shared" si="26"/>
        <v>0</v>
      </c>
      <c r="AN52" s="71">
        <f t="shared" si="26"/>
        <v>0</v>
      </c>
      <c r="AO52" s="71">
        <f t="shared" si="26"/>
        <v>0</v>
      </c>
      <c r="AP52" s="71">
        <f t="shared" si="26"/>
        <v>0</v>
      </c>
      <c r="AQ52" s="71">
        <f t="shared" si="26"/>
        <v>0</v>
      </c>
      <c r="AR52" s="71">
        <f t="shared" si="26"/>
        <v>0</v>
      </c>
      <c r="AS52" s="71">
        <f t="shared" si="26"/>
        <v>0</v>
      </c>
      <c r="AT52" s="71">
        <f t="shared" si="26"/>
        <v>0</v>
      </c>
    </row>
    <row r="53" spans="1:46" ht="15.75" thickBot="1" x14ac:dyDescent="0.3">
      <c r="A53" s="4"/>
      <c r="B53" s="37" t="s">
        <v>41</v>
      </c>
      <c r="C53" s="122">
        <f>SUM(C46:C52)</f>
        <v>47</v>
      </c>
      <c r="D53" s="122">
        <f t="shared" ref="D53:N53" si="27">SUM(D46:D52)</f>
        <v>83</v>
      </c>
      <c r="E53" s="122">
        <f t="shared" si="27"/>
        <v>170</v>
      </c>
      <c r="F53" s="122">
        <f t="shared" si="27"/>
        <v>207</v>
      </c>
      <c r="G53" s="122">
        <f t="shared" si="27"/>
        <v>213</v>
      </c>
      <c r="H53" s="122">
        <f t="shared" si="27"/>
        <v>209</v>
      </c>
      <c r="I53" s="122">
        <f t="shared" si="27"/>
        <v>213</v>
      </c>
      <c r="J53" s="122">
        <f t="shared" si="27"/>
        <v>207</v>
      </c>
      <c r="K53" s="122">
        <f t="shared" si="27"/>
        <v>170</v>
      </c>
      <c r="L53" s="122">
        <f t="shared" si="27"/>
        <v>96</v>
      </c>
      <c r="M53" s="122">
        <f t="shared" si="27"/>
        <v>65</v>
      </c>
      <c r="N53" s="262">
        <f t="shared" si="27"/>
        <v>74</v>
      </c>
      <c r="O53" s="122">
        <f t="shared" ref="O53" si="28">SUM(O46:O52)</f>
        <v>94</v>
      </c>
      <c r="P53" s="122">
        <f t="shared" ref="P53:Y53" si="29">SUM(P46:P52)</f>
        <v>57</v>
      </c>
      <c r="Q53" s="122">
        <f t="shared" si="29"/>
        <v>291</v>
      </c>
      <c r="R53" s="122">
        <f t="shared" si="29"/>
        <v>366</v>
      </c>
      <c r="S53" s="122">
        <f t="shared" si="29"/>
        <v>419</v>
      </c>
      <c r="T53" s="122">
        <f t="shared" si="29"/>
        <v>458</v>
      </c>
      <c r="U53" s="122">
        <f t="shared" si="29"/>
        <v>425</v>
      </c>
      <c r="V53" s="199">
        <f t="shared" si="29"/>
        <v>440</v>
      </c>
      <c r="W53" s="252">
        <f t="shared" si="29"/>
        <v>429</v>
      </c>
      <c r="X53" s="59">
        <f t="shared" si="29"/>
        <v>382</v>
      </c>
      <c r="Y53" s="252">
        <f t="shared" si="29"/>
        <v>381</v>
      </c>
      <c r="Z53" s="122">
        <f t="shared" ref="Z53" si="30">SUM(Z46:Z52)</f>
        <v>328</v>
      </c>
      <c r="AA53" s="60"/>
      <c r="AB53" s="60"/>
      <c r="AC53" s="60"/>
      <c r="AD53" s="60"/>
      <c r="AE53" s="60"/>
      <c r="AF53" s="60"/>
      <c r="AG53" s="262"/>
      <c r="AH53" s="199"/>
      <c r="AI53" s="199"/>
      <c r="AJ53" s="59"/>
      <c r="AK53" s="60">
        <f t="shared" ref="AK53:AT53" si="31">SUM(AK46:AK52)</f>
        <v>-47</v>
      </c>
      <c r="AL53" s="60">
        <f t="shared" si="31"/>
        <v>26</v>
      </c>
      <c r="AM53" s="60">
        <f t="shared" si="31"/>
        <v>-121</v>
      </c>
      <c r="AN53" s="60">
        <f t="shared" si="31"/>
        <v>-159</v>
      </c>
      <c r="AO53" s="60">
        <f t="shared" si="31"/>
        <v>-206</v>
      </c>
      <c r="AP53" s="60">
        <f t="shared" si="31"/>
        <v>-249</v>
      </c>
      <c r="AQ53" s="59">
        <f t="shared" si="31"/>
        <v>-212</v>
      </c>
      <c r="AR53" s="59">
        <f t="shared" si="31"/>
        <v>-233</v>
      </c>
      <c r="AS53" s="59">
        <f t="shared" si="31"/>
        <v>-259</v>
      </c>
      <c r="AT53" s="262">
        <f t="shared" si="31"/>
        <v>-286</v>
      </c>
    </row>
    <row r="54" spans="1:46" x14ac:dyDescent="0.25">
      <c r="A54" s="4">
        <f>+A45+1</f>
        <v>6</v>
      </c>
      <c r="B54" s="41" t="s">
        <v>29</v>
      </c>
      <c r="C54" s="154"/>
      <c r="D54" s="76"/>
      <c r="E54" s="76"/>
      <c r="F54" s="76"/>
      <c r="G54" s="76"/>
      <c r="H54" s="76"/>
      <c r="I54" s="76"/>
      <c r="J54" s="76"/>
      <c r="K54" s="76"/>
      <c r="L54" s="164"/>
      <c r="M54" s="321"/>
      <c r="N54" s="480"/>
      <c r="O54" s="76"/>
      <c r="P54" s="76"/>
      <c r="Q54" s="76"/>
      <c r="R54" s="76"/>
      <c r="S54" s="76"/>
      <c r="T54" s="76"/>
      <c r="U54" s="321"/>
      <c r="V54" s="480"/>
      <c r="W54" s="321"/>
      <c r="X54" s="75"/>
      <c r="Y54" s="4"/>
      <c r="Z54" s="4"/>
      <c r="AA54" s="76"/>
      <c r="AB54" s="76"/>
      <c r="AC54" s="76"/>
      <c r="AD54" s="76"/>
      <c r="AE54" s="76"/>
      <c r="AF54" s="76"/>
      <c r="AG54" s="253"/>
      <c r="AH54" s="480"/>
      <c r="AI54" s="480"/>
      <c r="AJ54" s="253"/>
      <c r="AK54" s="76"/>
      <c r="AL54" s="76"/>
      <c r="AM54" s="76"/>
      <c r="AN54" s="76"/>
      <c r="AO54" s="76"/>
      <c r="AP54" s="76"/>
      <c r="AQ54" s="75"/>
      <c r="AR54" s="314"/>
      <c r="AS54" s="314"/>
      <c r="AT54" s="314"/>
    </row>
    <row r="55" spans="1:46" x14ac:dyDescent="0.25">
      <c r="A55" s="4"/>
      <c r="B55" s="35" t="s">
        <v>60</v>
      </c>
      <c r="C55" s="341">
        <v>141577.26</v>
      </c>
      <c r="D55" s="342">
        <v>84.49</v>
      </c>
      <c r="E55" s="342">
        <v>48209.3</v>
      </c>
      <c r="F55" s="343">
        <v>-4028.61</v>
      </c>
      <c r="G55" s="342">
        <v>7213.76</v>
      </c>
      <c r="H55" s="342">
        <v>3670.91</v>
      </c>
      <c r="I55" s="343">
        <v>-5412.36</v>
      </c>
      <c r="J55" s="342">
        <v>1885.4</v>
      </c>
      <c r="K55" s="343">
        <v>-4797.9799999999996</v>
      </c>
      <c r="L55" s="344">
        <v>28456.61</v>
      </c>
      <c r="M55" s="346">
        <v>35046.68</v>
      </c>
      <c r="N55" s="350">
        <v>9775.57</v>
      </c>
      <c r="O55" s="342">
        <v>78042.3</v>
      </c>
      <c r="P55" s="343">
        <v>-798.76</v>
      </c>
      <c r="Q55" s="342">
        <v>35270.99</v>
      </c>
      <c r="R55" s="343">
        <v>-311.85000000000002</v>
      </c>
      <c r="S55" s="342">
        <v>4479.5600000000004</v>
      </c>
      <c r="T55" s="342">
        <v>2241.65</v>
      </c>
      <c r="U55" s="466">
        <v>-3479.51</v>
      </c>
      <c r="V55" s="350">
        <v>5325.27</v>
      </c>
      <c r="W55" s="466">
        <v>-3478.77</v>
      </c>
      <c r="X55" s="351">
        <v>20562.13</v>
      </c>
      <c r="Y55" s="360">
        <v>50689.61</v>
      </c>
      <c r="Z55" s="360">
        <v>24245.16</v>
      </c>
      <c r="AA55" s="342"/>
      <c r="AB55" s="342"/>
      <c r="AC55" s="342"/>
      <c r="AD55" s="342"/>
      <c r="AE55" s="342"/>
      <c r="AF55" s="79"/>
      <c r="AG55" s="254"/>
      <c r="AH55" s="77"/>
      <c r="AI55" s="77"/>
      <c r="AJ55" s="78"/>
      <c r="AK55" s="79">
        <f t="shared" ref="AK55:AT55" si="32">C55-O55</f>
        <v>63534.960000000006</v>
      </c>
      <c r="AL55" s="79">
        <f t="shared" si="32"/>
        <v>883.25</v>
      </c>
      <c r="AM55" s="79">
        <f t="shared" si="32"/>
        <v>12938.310000000005</v>
      </c>
      <c r="AN55" s="79">
        <f t="shared" si="32"/>
        <v>-3716.76</v>
      </c>
      <c r="AO55" s="79">
        <f t="shared" si="32"/>
        <v>2734.2</v>
      </c>
      <c r="AP55" s="79">
        <f t="shared" si="32"/>
        <v>1429.2599999999998</v>
      </c>
      <c r="AQ55" s="79">
        <f t="shared" si="32"/>
        <v>-1932.8499999999995</v>
      </c>
      <c r="AR55" s="79">
        <f t="shared" si="32"/>
        <v>-3439.8700000000003</v>
      </c>
      <c r="AS55" s="79">
        <f t="shared" si="32"/>
        <v>-1319.2099999999996</v>
      </c>
      <c r="AT55" s="79">
        <f t="shared" si="32"/>
        <v>7894.48</v>
      </c>
    </row>
    <row r="56" spans="1:46" x14ac:dyDescent="0.25">
      <c r="A56" s="4"/>
      <c r="B56" s="35" t="s">
        <v>61</v>
      </c>
      <c r="C56" s="341"/>
      <c r="D56" s="342"/>
      <c r="E56" s="342"/>
      <c r="F56" s="342"/>
      <c r="G56" s="342"/>
      <c r="H56" s="342"/>
      <c r="I56" s="342"/>
      <c r="J56" s="342"/>
      <c r="K56" s="342"/>
      <c r="L56" s="344"/>
      <c r="M56" s="346"/>
      <c r="N56" s="350"/>
      <c r="O56" s="342"/>
      <c r="P56" s="342"/>
      <c r="Q56" s="342"/>
      <c r="R56" s="342"/>
      <c r="S56" s="342"/>
      <c r="T56" s="342"/>
      <c r="U56" s="346"/>
      <c r="V56" s="350"/>
      <c r="W56" s="346"/>
      <c r="X56" s="351"/>
      <c r="Y56" s="360"/>
      <c r="Z56" s="517"/>
      <c r="AA56" s="342"/>
      <c r="AB56" s="342"/>
      <c r="AC56" s="342"/>
      <c r="AD56" s="342"/>
      <c r="AE56" s="342"/>
      <c r="AF56" s="79"/>
      <c r="AG56" s="254"/>
      <c r="AH56" s="77"/>
      <c r="AI56" s="77"/>
      <c r="AJ56" s="78"/>
      <c r="AK56" s="79">
        <f t="shared" ref="AK56:AK61" si="33">C56-O56</f>
        <v>0</v>
      </c>
      <c r="AL56" s="79">
        <f t="shared" ref="AL56:AT61" si="34">D56-P56</f>
        <v>0</v>
      </c>
      <c r="AM56" s="79">
        <f t="shared" si="34"/>
        <v>0</v>
      </c>
      <c r="AN56" s="79">
        <f t="shared" si="34"/>
        <v>0</v>
      </c>
      <c r="AO56" s="79">
        <f t="shared" si="34"/>
        <v>0</v>
      </c>
      <c r="AP56" s="79">
        <f t="shared" si="34"/>
        <v>0</v>
      </c>
      <c r="AQ56" s="79">
        <f t="shared" si="34"/>
        <v>0</v>
      </c>
      <c r="AR56" s="79">
        <f t="shared" si="34"/>
        <v>0</v>
      </c>
      <c r="AS56" s="79">
        <f t="shared" si="34"/>
        <v>0</v>
      </c>
      <c r="AT56" s="79">
        <f t="shared" si="34"/>
        <v>0</v>
      </c>
    </row>
    <row r="57" spans="1:46" x14ac:dyDescent="0.25">
      <c r="A57" s="4"/>
      <c r="B57" s="35" t="s">
        <v>62</v>
      </c>
      <c r="C57" s="341">
        <v>14673.31</v>
      </c>
      <c r="D57" s="343">
        <v>-761.92</v>
      </c>
      <c r="E57" s="343">
        <v>-1414.08</v>
      </c>
      <c r="F57" s="343">
        <v>-1204.1199999999999</v>
      </c>
      <c r="G57" s="343">
        <v>-969.96</v>
      </c>
      <c r="H57" s="342">
        <v>144.02000000000001</v>
      </c>
      <c r="I57" s="343">
        <v>-257.49</v>
      </c>
      <c r="J57" s="342">
        <v>487.34</v>
      </c>
      <c r="K57" s="343">
        <v>-25</v>
      </c>
      <c r="L57" s="344">
        <v>5303.61</v>
      </c>
      <c r="M57" s="346">
        <v>7517.17</v>
      </c>
      <c r="N57" s="350">
        <v>1129.8800000000001</v>
      </c>
      <c r="O57" s="342">
        <v>3878.08</v>
      </c>
      <c r="P57" s="343">
        <v>-475</v>
      </c>
      <c r="Q57" s="342">
        <v>1634.49</v>
      </c>
      <c r="R57" s="343">
        <v>-441.15</v>
      </c>
      <c r="S57" s="342">
        <v>906.69</v>
      </c>
      <c r="T57" s="342">
        <v>877.58</v>
      </c>
      <c r="U57" s="466">
        <v>-1316.29</v>
      </c>
      <c r="V57" s="350">
        <v>569.14</v>
      </c>
      <c r="W57" s="466">
        <v>-105.45</v>
      </c>
      <c r="X57" s="351">
        <v>4100.3500000000004</v>
      </c>
      <c r="Y57" s="360">
        <v>9495.69</v>
      </c>
      <c r="Z57" s="518">
        <v>8519.23</v>
      </c>
      <c r="AA57" s="342"/>
      <c r="AB57" s="342"/>
      <c r="AC57" s="342"/>
      <c r="AD57" s="342"/>
      <c r="AE57" s="342"/>
      <c r="AF57" s="79"/>
      <c r="AG57" s="254"/>
      <c r="AH57" s="77"/>
      <c r="AI57" s="77"/>
      <c r="AJ57" s="78"/>
      <c r="AK57" s="79">
        <f t="shared" si="33"/>
        <v>10795.23</v>
      </c>
      <c r="AL57" s="79">
        <f t="shared" si="34"/>
        <v>-286.91999999999996</v>
      </c>
      <c r="AM57" s="79">
        <f t="shared" si="34"/>
        <v>-3048.5699999999997</v>
      </c>
      <c r="AN57" s="79">
        <f t="shared" si="34"/>
        <v>-762.96999999999991</v>
      </c>
      <c r="AO57" s="79">
        <f t="shared" si="34"/>
        <v>-1876.65</v>
      </c>
      <c r="AP57" s="79">
        <f t="shared" si="34"/>
        <v>-733.56000000000006</v>
      </c>
      <c r="AQ57" s="79">
        <f t="shared" si="34"/>
        <v>1058.8</v>
      </c>
      <c r="AR57" s="79">
        <f t="shared" si="34"/>
        <v>-81.800000000000011</v>
      </c>
      <c r="AS57" s="79">
        <f t="shared" si="34"/>
        <v>80.45</v>
      </c>
      <c r="AT57" s="79">
        <f t="shared" si="34"/>
        <v>1203.2599999999993</v>
      </c>
    </row>
    <row r="58" spans="1:46" x14ac:dyDescent="0.25">
      <c r="A58" s="4"/>
      <c r="B58" s="35" t="s">
        <v>63</v>
      </c>
      <c r="C58" s="341"/>
      <c r="D58" s="342"/>
      <c r="E58" s="342"/>
      <c r="F58" s="342"/>
      <c r="G58" s="342"/>
      <c r="H58" s="342"/>
      <c r="I58" s="342"/>
      <c r="J58" s="342"/>
      <c r="K58" s="342"/>
      <c r="L58" s="344"/>
      <c r="M58" s="346"/>
      <c r="N58" s="350"/>
      <c r="O58" s="342"/>
      <c r="P58" s="342"/>
      <c r="Q58" s="342"/>
      <c r="R58" s="342"/>
      <c r="S58" s="342"/>
      <c r="T58" s="342"/>
      <c r="U58" s="346"/>
      <c r="V58" s="350"/>
      <c r="W58" s="346"/>
      <c r="X58" s="351"/>
      <c r="Y58" s="360"/>
      <c r="Z58" s="519"/>
      <c r="AA58" s="342"/>
      <c r="AB58" s="342"/>
      <c r="AC58" s="342"/>
      <c r="AD58" s="342"/>
      <c r="AE58" s="342"/>
      <c r="AF58" s="79"/>
      <c r="AG58" s="254"/>
      <c r="AH58" s="77"/>
      <c r="AI58" s="77"/>
      <c r="AJ58" s="78"/>
      <c r="AK58" s="79">
        <f t="shared" si="33"/>
        <v>0</v>
      </c>
      <c r="AL58" s="79">
        <f t="shared" si="34"/>
        <v>0</v>
      </c>
      <c r="AM58" s="79">
        <f t="shared" si="34"/>
        <v>0</v>
      </c>
      <c r="AN58" s="79">
        <f t="shared" si="34"/>
        <v>0</v>
      </c>
      <c r="AO58" s="79">
        <f t="shared" si="34"/>
        <v>0</v>
      </c>
      <c r="AP58" s="79">
        <f t="shared" si="34"/>
        <v>0</v>
      </c>
      <c r="AQ58" s="79">
        <f t="shared" si="34"/>
        <v>0</v>
      </c>
      <c r="AR58" s="79">
        <f t="shared" si="34"/>
        <v>0</v>
      </c>
      <c r="AS58" s="79">
        <f t="shared" si="34"/>
        <v>0</v>
      </c>
      <c r="AT58" s="79">
        <f t="shared" si="34"/>
        <v>0</v>
      </c>
    </row>
    <row r="59" spans="1:46" x14ac:dyDescent="0.25">
      <c r="A59" s="4"/>
      <c r="B59" s="35" t="s">
        <v>38</v>
      </c>
      <c r="C59" s="341">
        <v>11721.1</v>
      </c>
      <c r="D59" s="342">
        <v>44.66</v>
      </c>
      <c r="E59" s="342">
        <v>4688.62</v>
      </c>
      <c r="F59" s="343">
        <v>-368.83</v>
      </c>
      <c r="G59" s="342">
        <v>1359.1</v>
      </c>
      <c r="H59" s="342">
        <v>2033.68</v>
      </c>
      <c r="I59" s="343">
        <v>-7367.34</v>
      </c>
      <c r="J59" s="342">
        <v>1410.45</v>
      </c>
      <c r="K59" s="343">
        <v>-646.51</v>
      </c>
      <c r="L59" s="344">
        <v>3841.44</v>
      </c>
      <c r="M59" s="346">
        <v>8955.39</v>
      </c>
      <c r="N59" s="352">
        <v>-3025.57</v>
      </c>
      <c r="O59" s="342">
        <v>9201.73</v>
      </c>
      <c r="P59" s="343">
        <v>-310.51</v>
      </c>
      <c r="Q59" s="342">
        <v>5616.01</v>
      </c>
      <c r="R59" s="343">
        <v>-544.37</v>
      </c>
      <c r="S59" s="342">
        <v>618.61</v>
      </c>
      <c r="T59" s="342">
        <v>1624.03</v>
      </c>
      <c r="U59" s="466">
        <v>-428.81</v>
      </c>
      <c r="V59" s="350">
        <v>783.28</v>
      </c>
      <c r="W59" s="466">
        <v>-391.89</v>
      </c>
      <c r="X59" s="351">
        <v>4765.71</v>
      </c>
      <c r="Y59" s="360">
        <v>17030.150000000001</v>
      </c>
      <c r="Z59" s="519">
        <v>2143.12</v>
      </c>
      <c r="AA59" s="342"/>
      <c r="AB59" s="342"/>
      <c r="AC59" s="342"/>
      <c r="AD59" s="342"/>
      <c r="AE59" s="342"/>
      <c r="AF59" s="79"/>
      <c r="AG59" s="254"/>
      <c r="AH59" s="77"/>
      <c r="AI59" s="77"/>
      <c r="AJ59" s="78"/>
      <c r="AK59" s="79">
        <f t="shared" si="33"/>
        <v>2519.3700000000008</v>
      </c>
      <c r="AL59" s="79">
        <f t="shared" si="34"/>
        <v>355.16999999999996</v>
      </c>
      <c r="AM59" s="79">
        <f t="shared" si="34"/>
        <v>-927.39000000000033</v>
      </c>
      <c r="AN59" s="79">
        <f t="shared" si="34"/>
        <v>175.54000000000002</v>
      </c>
      <c r="AO59" s="79">
        <f t="shared" si="34"/>
        <v>740.4899999999999</v>
      </c>
      <c r="AP59" s="79">
        <f t="shared" si="34"/>
        <v>409.65000000000009</v>
      </c>
      <c r="AQ59" s="79">
        <f t="shared" si="34"/>
        <v>-6938.53</v>
      </c>
      <c r="AR59" s="79">
        <f t="shared" si="34"/>
        <v>627.17000000000007</v>
      </c>
      <c r="AS59" s="79">
        <f t="shared" si="34"/>
        <v>-254.62</v>
      </c>
      <c r="AT59" s="79">
        <f t="shared" si="34"/>
        <v>-924.27</v>
      </c>
    </row>
    <row r="60" spans="1:46" x14ac:dyDescent="0.25">
      <c r="A60" s="4"/>
      <c r="B60" s="35" t="s">
        <v>39</v>
      </c>
      <c r="C60" s="341"/>
      <c r="D60" s="342"/>
      <c r="E60" s="342"/>
      <c r="F60" s="342"/>
      <c r="G60" s="342"/>
      <c r="H60" s="342"/>
      <c r="I60" s="342"/>
      <c r="J60" s="342"/>
      <c r="K60" s="342"/>
      <c r="L60" s="344"/>
      <c r="M60" s="346"/>
      <c r="N60" s="350"/>
      <c r="O60" s="342"/>
      <c r="P60" s="342"/>
      <c r="Q60" s="342"/>
      <c r="R60" s="342"/>
      <c r="S60" s="342"/>
      <c r="T60" s="342"/>
      <c r="U60" s="346"/>
      <c r="V60" s="350"/>
      <c r="W60" s="346"/>
      <c r="X60" s="351"/>
      <c r="Y60" s="360"/>
      <c r="Z60" s="4"/>
      <c r="AA60" s="342"/>
      <c r="AB60" s="342"/>
      <c r="AC60" s="342"/>
      <c r="AD60" s="342"/>
      <c r="AE60" s="342"/>
      <c r="AF60" s="79"/>
      <c r="AG60" s="254"/>
      <c r="AH60" s="77"/>
      <c r="AI60" s="77"/>
      <c r="AJ60" s="78"/>
      <c r="AK60" s="79">
        <f t="shared" si="33"/>
        <v>0</v>
      </c>
      <c r="AL60" s="79">
        <f t="shared" si="34"/>
        <v>0</v>
      </c>
      <c r="AM60" s="79">
        <f t="shared" si="34"/>
        <v>0</v>
      </c>
      <c r="AN60" s="79">
        <f t="shared" si="34"/>
        <v>0</v>
      </c>
      <c r="AO60" s="79">
        <f t="shared" si="34"/>
        <v>0</v>
      </c>
      <c r="AP60" s="79">
        <f t="shared" si="34"/>
        <v>0</v>
      </c>
      <c r="AQ60" s="79">
        <f t="shared" si="34"/>
        <v>0</v>
      </c>
      <c r="AR60" s="79">
        <f t="shared" si="34"/>
        <v>0</v>
      </c>
      <c r="AS60" s="79">
        <f t="shared" si="34"/>
        <v>0</v>
      </c>
      <c r="AT60" s="79">
        <f t="shared" si="34"/>
        <v>0</v>
      </c>
    </row>
    <row r="61" spans="1:46" x14ac:dyDescent="0.25">
      <c r="A61" s="4"/>
      <c r="B61" s="35" t="s">
        <v>65</v>
      </c>
      <c r="C61" s="341"/>
      <c r="D61" s="342"/>
      <c r="E61" s="342"/>
      <c r="F61" s="342"/>
      <c r="G61" s="342"/>
      <c r="H61" s="342"/>
      <c r="I61" s="342"/>
      <c r="J61" s="342"/>
      <c r="K61" s="342"/>
      <c r="L61" s="344"/>
      <c r="M61" s="346"/>
      <c r="N61" s="350"/>
      <c r="O61" s="342"/>
      <c r="P61" s="342"/>
      <c r="Q61" s="342"/>
      <c r="R61" s="342"/>
      <c r="S61" s="342"/>
      <c r="T61" s="342"/>
      <c r="U61" s="346"/>
      <c r="V61" s="350"/>
      <c r="W61" s="346"/>
      <c r="X61" s="351"/>
      <c r="Y61" s="360"/>
      <c r="Z61" s="517"/>
      <c r="AA61" s="342"/>
      <c r="AB61" s="342"/>
      <c r="AC61" s="342"/>
      <c r="AD61" s="342"/>
      <c r="AE61" s="342"/>
      <c r="AF61" s="79"/>
      <c r="AG61" s="254"/>
      <c r="AH61" s="77"/>
      <c r="AI61" s="77"/>
      <c r="AJ61" s="78"/>
      <c r="AK61" s="79">
        <f t="shared" si="33"/>
        <v>0</v>
      </c>
      <c r="AL61" s="79">
        <f t="shared" si="34"/>
        <v>0</v>
      </c>
      <c r="AM61" s="79">
        <f t="shared" si="34"/>
        <v>0</v>
      </c>
      <c r="AN61" s="79">
        <f t="shared" si="34"/>
        <v>0</v>
      </c>
      <c r="AO61" s="79">
        <f t="shared" si="34"/>
        <v>0</v>
      </c>
      <c r="AP61" s="79">
        <f t="shared" si="34"/>
        <v>0</v>
      </c>
      <c r="AQ61" s="79">
        <f t="shared" si="34"/>
        <v>0</v>
      </c>
      <c r="AR61" s="79">
        <f t="shared" si="34"/>
        <v>0</v>
      </c>
      <c r="AS61" s="79">
        <f t="shared" si="34"/>
        <v>0</v>
      </c>
      <c r="AT61" s="79">
        <f t="shared" si="34"/>
        <v>0</v>
      </c>
    </row>
    <row r="62" spans="1:46" x14ac:dyDescent="0.25">
      <c r="A62" s="4"/>
      <c r="B62" s="35" t="s">
        <v>41</v>
      </c>
      <c r="C62" s="341">
        <f>SUM(C55:C61)</f>
        <v>167971.67</v>
      </c>
      <c r="D62" s="345">
        <f t="shared" ref="D62:Y62" si="35">SUM(D55:D61)</f>
        <v>-632.77</v>
      </c>
      <c r="E62" s="341">
        <f t="shared" si="35"/>
        <v>51483.840000000004</v>
      </c>
      <c r="F62" s="345">
        <f t="shared" si="35"/>
        <v>-5601.5599999999995</v>
      </c>
      <c r="G62" s="341">
        <f t="shared" si="35"/>
        <v>7602.9</v>
      </c>
      <c r="H62" s="341">
        <f t="shared" si="35"/>
        <v>5848.61</v>
      </c>
      <c r="I62" s="345">
        <f t="shared" si="35"/>
        <v>-13037.189999999999</v>
      </c>
      <c r="J62" s="341">
        <f t="shared" si="35"/>
        <v>3783.1900000000005</v>
      </c>
      <c r="K62" s="345">
        <f t="shared" si="35"/>
        <v>-5469.49</v>
      </c>
      <c r="L62" s="341">
        <f t="shared" si="35"/>
        <v>37601.660000000003</v>
      </c>
      <c r="M62" s="341">
        <f t="shared" si="35"/>
        <v>51519.24</v>
      </c>
      <c r="N62" s="335">
        <f t="shared" si="35"/>
        <v>7879.880000000001</v>
      </c>
      <c r="O62" s="341">
        <f t="shared" si="35"/>
        <v>91122.11</v>
      </c>
      <c r="P62" s="345">
        <f t="shared" si="35"/>
        <v>-1584.27</v>
      </c>
      <c r="Q62" s="341">
        <f t="shared" si="35"/>
        <v>42521.49</v>
      </c>
      <c r="R62" s="345">
        <f t="shared" si="35"/>
        <v>-1297.3699999999999</v>
      </c>
      <c r="S62" s="341">
        <f t="shared" si="35"/>
        <v>6004.86</v>
      </c>
      <c r="T62" s="341">
        <f t="shared" si="35"/>
        <v>4743.26</v>
      </c>
      <c r="U62" s="345">
        <f t="shared" si="35"/>
        <v>-5224.6100000000006</v>
      </c>
      <c r="V62" s="350">
        <f t="shared" si="35"/>
        <v>6677.6900000000005</v>
      </c>
      <c r="W62" s="466">
        <f t="shared" si="35"/>
        <v>-3976.1099999999997</v>
      </c>
      <c r="X62" s="351">
        <f t="shared" si="35"/>
        <v>29428.190000000002</v>
      </c>
      <c r="Y62" s="346">
        <f t="shared" si="35"/>
        <v>77215.450000000012</v>
      </c>
      <c r="Z62" s="341">
        <f t="shared" ref="Z62" si="36">SUM(Z55:Z61)</f>
        <v>34907.51</v>
      </c>
      <c r="AA62" s="342"/>
      <c r="AB62" s="342"/>
      <c r="AC62" s="342"/>
      <c r="AD62" s="342"/>
      <c r="AE62" s="342"/>
      <c r="AF62" s="79"/>
      <c r="AG62" s="254"/>
      <c r="AH62" s="77"/>
      <c r="AI62" s="77"/>
      <c r="AJ62" s="78"/>
      <c r="AK62" s="79">
        <f t="shared" ref="AK62:AT62" si="37">SUM(AK55:AK61)</f>
        <v>76849.56</v>
      </c>
      <c r="AL62" s="79">
        <f t="shared" si="37"/>
        <v>951.5</v>
      </c>
      <c r="AM62" s="79">
        <f t="shared" si="37"/>
        <v>8962.3500000000058</v>
      </c>
      <c r="AN62" s="79">
        <f t="shared" si="37"/>
        <v>-4304.1900000000005</v>
      </c>
      <c r="AO62" s="79">
        <f t="shared" si="37"/>
        <v>1598.0399999999995</v>
      </c>
      <c r="AP62" s="79">
        <f t="shared" si="37"/>
        <v>1105.3499999999999</v>
      </c>
      <c r="AQ62" s="79">
        <f t="shared" si="37"/>
        <v>-7812.579999999999</v>
      </c>
      <c r="AR62" s="79">
        <f t="shared" si="37"/>
        <v>-2894.5000000000005</v>
      </c>
      <c r="AS62" s="79">
        <f t="shared" si="37"/>
        <v>-1493.3799999999997</v>
      </c>
      <c r="AT62" s="79">
        <f t="shared" si="37"/>
        <v>8173.4699999999975</v>
      </c>
    </row>
    <row r="63" spans="1:46" x14ac:dyDescent="0.25">
      <c r="A63" s="4">
        <f>+A54+1</f>
        <v>7</v>
      </c>
      <c r="B63" s="42" t="s">
        <v>30</v>
      </c>
      <c r="C63" s="341"/>
      <c r="D63" s="342"/>
      <c r="E63" s="342"/>
      <c r="F63" s="342"/>
      <c r="G63" s="342"/>
      <c r="H63" s="342"/>
      <c r="I63" s="342"/>
      <c r="J63" s="342"/>
      <c r="K63" s="342"/>
      <c r="L63" s="344"/>
      <c r="M63" s="346"/>
      <c r="N63" s="350"/>
      <c r="O63" s="342"/>
      <c r="P63" s="342"/>
      <c r="Q63" s="342"/>
      <c r="R63" s="342"/>
      <c r="S63" s="342"/>
      <c r="T63" s="342"/>
      <c r="U63" s="346"/>
      <c r="V63" s="350"/>
      <c r="W63" s="346"/>
      <c r="X63" s="351"/>
      <c r="Y63" s="360"/>
      <c r="Z63" s="519"/>
      <c r="AA63" s="342"/>
      <c r="AB63" s="342"/>
      <c r="AC63" s="342"/>
      <c r="AD63" s="342"/>
      <c r="AE63" s="342"/>
      <c r="AF63" s="79"/>
      <c r="AG63" s="254"/>
      <c r="AH63" s="77"/>
      <c r="AI63" s="77"/>
      <c r="AJ63" s="254"/>
      <c r="AK63" s="79"/>
      <c r="AL63" s="79"/>
      <c r="AM63" s="79"/>
      <c r="AN63" s="79"/>
      <c r="AO63" s="79"/>
      <c r="AP63" s="79"/>
      <c r="AQ63" s="78"/>
      <c r="AR63" s="314"/>
      <c r="AS63" s="314"/>
      <c r="AT63" s="314"/>
    </row>
    <row r="64" spans="1:46" x14ac:dyDescent="0.25">
      <c r="A64" s="4"/>
      <c r="B64" s="35" t="s">
        <v>60</v>
      </c>
      <c r="C64" s="341">
        <v>4223.99</v>
      </c>
      <c r="D64" s="342">
        <v>46184.57</v>
      </c>
      <c r="E64" s="342">
        <v>34202.15</v>
      </c>
      <c r="F64" s="342">
        <v>20643.28</v>
      </c>
      <c r="G64" s="342">
        <v>3826.83</v>
      </c>
      <c r="H64" s="347">
        <v>1872.47</v>
      </c>
      <c r="I64" s="343">
        <v>-1627.98</v>
      </c>
      <c r="J64" s="343">
        <v>-1713.46</v>
      </c>
      <c r="K64" s="343">
        <v>-120.45</v>
      </c>
      <c r="L64" s="344">
        <v>3058.6</v>
      </c>
      <c r="M64" s="346">
        <v>4332.93</v>
      </c>
      <c r="N64" s="352">
        <v>-517.52</v>
      </c>
      <c r="O64" s="343">
        <v>-577.05999999999995</v>
      </c>
      <c r="P64" s="342">
        <v>36365.32</v>
      </c>
      <c r="Q64" s="342">
        <v>23148.32</v>
      </c>
      <c r="R64" s="342">
        <v>20393.43</v>
      </c>
      <c r="S64" s="342">
        <v>7581.99</v>
      </c>
      <c r="T64" s="342">
        <v>1596.8</v>
      </c>
      <c r="U64" s="466">
        <v>-454.89</v>
      </c>
      <c r="V64" s="352">
        <v>-1663.41</v>
      </c>
      <c r="W64" s="346">
        <v>1425.56</v>
      </c>
      <c r="X64" s="351">
        <v>4412.6499999999996</v>
      </c>
      <c r="Y64" s="360">
        <v>9346.89</v>
      </c>
      <c r="Z64" s="4">
        <v>7330.08</v>
      </c>
      <c r="AA64" s="342"/>
      <c r="AB64" s="342"/>
      <c r="AC64" s="342"/>
      <c r="AD64" s="342"/>
      <c r="AE64" s="342"/>
      <c r="AF64" s="79"/>
      <c r="AG64" s="254"/>
      <c r="AH64" s="77"/>
      <c r="AI64" s="77"/>
      <c r="AJ64" s="78"/>
      <c r="AK64" s="79">
        <f t="shared" ref="AK64:AT64" si="38">C64-O64</f>
        <v>4801.0499999999993</v>
      </c>
      <c r="AL64" s="79">
        <f t="shared" si="38"/>
        <v>9819.25</v>
      </c>
      <c r="AM64" s="79">
        <f t="shared" si="38"/>
        <v>11053.830000000002</v>
      </c>
      <c r="AN64" s="79">
        <f t="shared" si="38"/>
        <v>249.84999999999854</v>
      </c>
      <c r="AO64" s="79">
        <f t="shared" si="38"/>
        <v>-3755.16</v>
      </c>
      <c r="AP64" s="79">
        <f t="shared" si="38"/>
        <v>275.67000000000007</v>
      </c>
      <c r="AQ64" s="79">
        <f t="shared" si="38"/>
        <v>-1173.0900000000001</v>
      </c>
      <c r="AR64" s="79">
        <f t="shared" si="38"/>
        <v>-50.049999999999955</v>
      </c>
      <c r="AS64" s="79">
        <f t="shared" si="38"/>
        <v>-1546.01</v>
      </c>
      <c r="AT64" s="79">
        <f t="shared" si="38"/>
        <v>-1354.0499999999997</v>
      </c>
    </row>
    <row r="65" spans="1:46" x14ac:dyDescent="0.25">
      <c r="A65" s="4"/>
      <c r="B65" s="35" t="s">
        <v>61</v>
      </c>
      <c r="C65" s="341"/>
      <c r="D65" s="342"/>
      <c r="E65" s="342"/>
      <c r="F65" s="342"/>
      <c r="G65" s="342"/>
      <c r="H65" s="347"/>
      <c r="I65" s="342"/>
      <c r="J65" s="342"/>
      <c r="K65" s="342"/>
      <c r="L65" s="344"/>
      <c r="M65" s="346"/>
      <c r="N65" s="350"/>
      <c r="O65" s="342"/>
      <c r="P65" s="342"/>
      <c r="Q65" s="342"/>
      <c r="R65" s="342"/>
      <c r="S65" s="342"/>
      <c r="T65" s="342"/>
      <c r="U65" s="346"/>
      <c r="V65" s="350"/>
      <c r="W65" s="346"/>
      <c r="X65" s="351"/>
      <c r="Y65" s="360"/>
      <c r="Z65" s="4"/>
      <c r="AA65" s="342"/>
      <c r="AB65" s="342"/>
      <c r="AC65" s="342"/>
      <c r="AD65" s="342"/>
      <c r="AE65" s="342"/>
      <c r="AF65" s="79"/>
      <c r="AG65" s="254"/>
      <c r="AH65" s="77"/>
      <c r="AI65" s="77"/>
      <c r="AJ65" s="78"/>
      <c r="AK65" s="79">
        <f t="shared" ref="AK65:AK70" si="39">C65-O65</f>
        <v>0</v>
      </c>
      <c r="AL65" s="79">
        <f t="shared" ref="AL65:AT70" si="40">D65-P65</f>
        <v>0</v>
      </c>
      <c r="AM65" s="79">
        <f t="shared" si="40"/>
        <v>0</v>
      </c>
      <c r="AN65" s="79">
        <f t="shared" si="40"/>
        <v>0</v>
      </c>
      <c r="AO65" s="79">
        <f t="shared" si="40"/>
        <v>0</v>
      </c>
      <c r="AP65" s="79">
        <f t="shared" si="40"/>
        <v>0</v>
      </c>
      <c r="AQ65" s="79">
        <f t="shared" si="40"/>
        <v>0</v>
      </c>
      <c r="AR65" s="79">
        <f t="shared" si="40"/>
        <v>0</v>
      </c>
      <c r="AS65" s="79">
        <f t="shared" si="40"/>
        <v>0</v>
      </c>
      <c r="AT65" s="79">
        <f t="shared" si="40"/>
        <v>0</v>
      </c>
    </row>
    <row r="66" spans="1:46" x14ac:dyDescent="0.25">
      <c r="A66" s="4"/>
      <c r="B66" s="35" t="s">
        <v>62</v>
      </c>
      <c r="C66" s="341">
        <v>585.04999999999995</v>
      </c>
      <c r="D66" s="342">
        <v>2896.24</v>
      </c>
      <c r="E66" s="342">
        <v>1430.9</v>
      </c>
      <c r="F66" s="343">
        <v>-1541.95</v>
      </c>
      <c r="G66" s="343">
        <v>-766.57</v>
      </c>
      <c r="H66" s="348">
        <v>-1087.8900000000001</v>
      </c>
      <c r="I66" s="343">
        <v>-16.649999999999999</v>
      </c>
      <c r="J66" s="342">
        <v>131.97999999999999</v>
      </c>
      <c r="K66" s="342">
        <v>114.46</v>
      </c>
      <c r="L66" s="344">
        <v>258.98</v>
      </c>
      <c r="M66" s="346">
        <v>1225.23</v>
      </c>
      <c r="N66" s="350">
        <v>0</v>
      </c>
      <c r="O66" s="343">
        <v>-57.92</v>
      </c>
      <c r="P66" s="342">
        <v>1867.39</v>
      </c>
      <c r="Q66" s="342">
        <v>1671.17</v>
      </c>
      <c r="R66" s="342">
        <v>1284.5</v>
      </c>
      <c r="S66" s="342">
        <v>360.4</v>
      </c>
      <c r="T66" s="342">
        <v>612.37</v>
      </c>
      <c r="U66" s="346">
        <v>655.35</v>
      </c>
      <c r="V66" s="352">
        <v>-380.36</v>
      </c>
      <c r="W66" s="346">
        <v>367.18</v>
      </c>
      <c r="X66" s="351">
        <v>1094.32</v>
      </c>
      <c r="Y66" s="360">
        <v>3271.16</v>
      </c>
      <c r="Z66" s="360">
        <v>2847.48</v>
      </c>
      <c r="AA66" s="342"/>
      <c r="AB66" s="342"/>
      <c r="AC66" s="342"/>
      <c r="AD66" s="342"/>
      <c r="AE66" s="342"/>
      <c r="AF66" s="79"/>
      <c r="AG66" s="254"/>
      <c r="AH66" s="77"/>
      <c r="AI66" s="77"/>
      <c r="AJ66" s="78"/>
      <c r="AK66" s="79">
        <f t="shared" si="39"/>
        <v>642.96999999999991</v>
      </c>
      <c r="AL66" s="79">
        <f t="shared" si="40"/>
        <v>1028.8499999999997</v>
      </c>
      <c r="AM66" s="79">
        <f t="shared" si="40"/>
        <v>-240.26999999999998</v>
      </c>
      <c r="AN66" s="79">
        <f t="shared" si="40"/>
        <v>-2826.45</v>
      </c>
      <c r="AO66" s="79">
        <f t="shared" si="40"/>
        <v>-1126.97</v>
      </c>
      <c r="AP66" s="79">
        <f t="shared" si="40"/>
        <v>-1700.2600000000002</v>
      </c>
      <c r="AQ66" s="79">
        <f t="shared" si="40"/>
        <v>-672</v>
      </c>
      <c r="AR66" s="79">
        <f t="shared" si="40"/>
        <v>512.34</v>
      </c>
      <c r="AS66" s="79">
        <f t="shared" si="40"/>
        <v>-252.72000000000003</v>
      </c>
      <c r="AT66" s="79">
        <f t="shared" si="40"/>
        <v>-835.33999999999992</v>
      </c>
    </row>
    <row r="67" spans="1:46" x14ac:dyDescent="0.25">
      <c r="A67" s="4"/>
      <c r="B67" s="35" t="s">
        <v>63</v>
      </c>
      <c r="C67" s="341"/>
      <c r="D67" s="342"/>
      <c r="E67" s="342"/>
      <c r="F67" s="342"/>
      <c r="G67" s="342"/>
      <c r="H67" s="347"/>
      <c r="I67" s="342"/>
      <c r="J67" s="342"/>
      <c r="K67" s="342"/>
      <c r="L67" s="344"/>
      <c r="M67" s="346"/>
      <c r="N67" s="350"/>
      <c r="O67" s="342"/>
      <c r="P67" s="342"/>
      <c r="Q67" s="342"/>
      <c r="R67" s="342"/>
      <c r="S67" s="342"/>
      <c r="T67" s="342"/>
      <c r="U67" s="346"/>
      <c r="V67" s="350"/>
      <c r="W67" s="346"/>
      <c r="X67" s="351"/>
      <c r="Y67" s="360"/>
      <c r="Z67" s="517"/>
      <c r="AA67" s="342"/>
      <c r="AB67" s="342"/>
      <c r="AC67" s="342"/>
      <c r="AD67" s="342"/>
      <c r="AE67" s="342"/>
      <c r="AF67" s="79"/>
      <c r="AG67" s="254"/>
      <c r="AH67" s="77"/>
      <c r="AI67" s="77"/>
      <c r="AJ67" s="78"/>
      <c r="AK67" s="79">
        <f t="shared" si="39"/>
        <v>0</v>
      </c>
      <c r="AL67" s="79">
        <f t="shared" si="40"/>
        <v>0</v>
      </c>
      <c r="AM67" s="79">
        <f t="shared" si="40"/>
        <v>0</v>
      </c>
      <c r="AN67" s="79">
        <f t="shared" si="40"/>
        <v>0</v>
      </c>
      <c r="AO67" s="79">
        <f t="shared" si="40"/>
        <v>0</v>
      </c>
      <c r="AP67" s="79">
        <f t="shared" si="40"/>
        <v>0</v>
      </c>
      <c r="AQ67" s="79">
        <f t="shared" si="40"/>
        <v>0</v>
      </c>
      <c r="AR67" s="79">
        <f t="shared" si="40"/>
        <v>0</v>
      </c>
      <c r="AS67" s="79">
        <f t="shared" si="40"/>
        <v>0</v>
      </c>
      <c r="AT67" s="79">
        <f t="shared" si="40"/>
        <v>0</v>
      </c>
    </row>
    <row r="68" spans="1:46" x14ac:dyDescent="0.25">
      <c r="A68" s="4"/>
      <c r="B68" s="35" t="s">
        <v>38</v>
      </c>
      <c r="C68" s="341">
        <v>245.85</v>
      </c>
      <c r="D68" s="342">
        <v>2859.34</v>
      </c>
      <c r="E68" s="342">
        <v>1262.22</v>
      </c>
      <c r="F68" s="342">
        <v>777.6</v>
      </c>
      <c r="G68" s="342">
        <v>304.45</v>
      </c>
      <c r="H68" s="342">
        <v>543.25</v>
      </c>
      <c r="I68" s="342">
        <v>505.74</v>
      </c>
      <c r="J68" s="343">
        <v>-3616.7</v>
      </c>
      <c r="K68" s="343">
        <v>-0.2</v>
      </c>
      <c r="L68" s="349">
        <v>-180.59</v>
      </c>
      <c r="M68" s="346">
        <v>260.77999999999997</v>
      </c>
      <c r="N68" s="352">
        <v>-412.72</v>
      </c>
      <c r="O68" s="343">
        <v>-2784.58</v>
      </c>
      <c r="P68" s="342">
        <v>2667.9</v>
      </c>
      <c r="Q68" s="342">
        <v>4832.46</v>
      </c>
      <c r="R68" s="342">
        <v>3236.32</v>
      </c>
      <c r="S68" s="342">
        <v>750.05</v>
      </c>
      <c r="T68" s="342">
        <v>40.08</v>
      </c>
      <c r="U68" s="346">
        <v>650.51</v>
      </c>
      <c r="V68" s="352">
        <v>-141.97</v>
      </c>
      <c r="W68" s="466">
        <v>-31.18</v>
      </c>
      <c r="X68" s="469">
        <v>-47.86</v>
      </c>
      <c r="Y68" s="360">
        <v>711.38</v>
      </c>
      <c r="Z68" s="518">
        <v>232.78</v>
      </c>
      <c r="AA68" s="342"/>
      <c r="AB68" s="342"/>
      <c r="AC68" s="342"/>
      <c r="AD68" s="342"/>
      <c r="AE68" s="342"/>
      <c r="AF68" s="79"/>
      <c r="AG68" s="254"/>
      <c r="AH68" s="77"/>
      <c r="AI68" s="77"/>
      <c r="AJ68" s="78"/>
      <c r="AK68" s="79">
        <f t="shared" si="39"/>
        <v>3030.43</v>
      </c>
      <c r="AL68" s="79">
        <f t="shared" si="40"/>
        <v>191.44000000000005</v>
      </c>
      <c r="AM68" s="79">
        <f t="shared" si="40"/>
        <v>-3570.24</v>
      </c>
      <c r="AN68" s="79">
        <f t="shared" si="40"/>
        <v>-2458.7200000000003</v>
      </c>
      <c r="AO68" s="79">
        <f t="shared" si="40"/>
        <v>-445.59999999999997</v>
      </c>
      <c r="AP68" s="79">
        <f t="shared" si="40"/>
        <v>503.17</v>
      </c>
      <c r="AQ68" s="79">
        <f t="shared" si="40"/>
        <v>-144.76999999999998</v>
      </c>
      <c r="AR68" s="79">
        <f t="shared" si="40"/>
        <v>-3474.73</v>
      </c>
      <c r="AS68" s="79">
        <f t="shared" si="40"/>
        <v>30.98</v>
      </c>
      <c r="AT68" s="79">
        <f t="shared" si="40"/>
        <v>-132.73000000000002</v>
      </c>
    </row>
    <row r="69" spans="1:46" x14ac:dyDescent="0.25">
      <c r="A69" s="4"/>
      <c r="B69" s="35" t="s">
        <v>39</v>
      </c>
      <c r="C69" s="341"/>
      <c r="D69" s="342"/>
      <c r="E69" s="342"/>
      <c r="F69" s="342"/>
      <c r="G69" s="342"/>
      <c r="H69" s="342"/>
      <c r="I69" s="342"/>
      <c r="J69" s="342"/>
      <c r="K69" s="342"/>
      <c r="L69" s="344"/>
      <c r="M69" s="346"/>
      <c r="N69" s="350"/>
      <c r="O69" s="342"/>
      <c r="P69" s="342"/>
      <c r="Q69" s="342"/>
      <c r="R69" s="342"/>
      <c r="S69" s="342"/>
      <c r="T69" s="342"/>
      <c r="U69" s="346"/>
      <c r="V69" s="350"/>
      <c r="W69" s="346"/>
      <c r="X69" s="351"/>
      <c r="Y69" s="360"/>
      <c r="Z69" s="519"/>
      <c r="AA69" s="342"/>
      <c r="AB69" s="342"/>
      <c r="AC69" s="342"/>
      <c r="AD69" s="342"/>
      <c r="AE69" s="342"/>
      <c r="AF69" s="79"/>
      <c r="AG69" s="254"/>
      <c r="AH69" s="77"/>
      <c r="AI69" s="77"/>
      <c r="AJ69" s="78"/>
      <c r="AK69" s="79">
        <f t="shared" si="39"/>
        <v>0</v>
      </c>
      <c r="AL69" s="79">
        <f t="shared" si="40"/>
        <v>0</v>
      </c>
      <c r="AM69" s="79">
        <f t="shared" si="40"/>
        <v>0</v>
      </c>
      <c r="AN69" s="79">
        <f t="shared" si="40"/>
        <v>0</v>
      </c>
      <c r="AO69" s="79">
        <f t="shared" si="40"/>
        <v>0</v>
      </c>
      <c r="AP69" s="79">
        <f t="shared" si="40"/>
        <v>0</v>
      </c>
      <c r="AQ69" s="79">
        <f t="shared" si="40"/>
        <v>0</v>
      </c>
      <c r="AR69" s="79">
        <f t="shared" si="40"/>
        <v>0</v>
      </c>
      <c r="AS69" s="79">
        <f t="shared" si="40"/>
        <v>0</v>
      </c>
      <c r="AT69" s="79">
        <f t="shared" si="40"/>
        <v>0</v>
      </c>
    </row>
    <row r="70" spans="1:46" x14ac:dyDescent="0.25">
      <c r="A70" s="4"/>
      <c r="B70" s="35" t="s">
        <v>65</v>
      </c>
      <c r="C70" s="341"/>
      <c r="D70" s="342"/>
      <c r="E70" s="342"/>
      <c r="F70" s="342"/>
      <c r="G70" s="342"/>
      <c r="H70" s="342"/>
      <c r="I70" s="342"/>
      <c r="J70" s="342"/>
      <c r="K70" s="342"/>
      <c r="L70" s="344"/>
      <c r="M70" s="346"/>
      <c r="N70" s="350"/>
      <c r="O70" s="342"/>
      <c r="P70" s="342"/>
      <c r="Q70" s="342"/>
      <c r="R70" s="342"/>
      <c r="S70" s="342"/>
      <c r="T70" s="342"/>
      <c r="U70" s="346"/>
      <c r="V70" s="350"/>
      <c r="W70" s="346"/>
      <c r="X70" s="351"/>
      <c r="Y70" s="360"/>
      <c r="Z70" s="4"/>
      <c r="AA70" s="342"/>
      <c r="AB70" s="342"/>
      <c r="AC70" s="342"/>
      <c r="AD70" s="342"/>
      <c r="AE70" s="342"/>
      <c r="AF70" s="79"/>
      <c r="AG70" s="254"/>
      <c r="AH70" s="77"/>
      <c r="AI70" s="77"/>
      <c r="AJ70" s="78"/>
      <c r="AK70" s="79">
        <f t="shared" si="39"/>
        <v>0</v>
      </c>
      <c r="AL70" s="79">
        <f t="shared" si="40"/>
        <v>0</v>
      </c>
      <c r="AM70" s="79">
        <f t="shared" si="40"/>
        <v>0</v>
      </c>
      <c r="AN70" s="79">
        <f t="shared" si="40"/>
        <v>0</v>
      </c>
      <c r="AO70" s="79">
        <f t="shared" si="40"/>
        <v>0</v>
      </c>
      <c r="AP70" s="79">
        <f t="shared" si="40"/>
        <v>0</v>
      </c>
      <c r="AQ70" s="79">
        <f t="shared" si="40"/>
        <v>0</v>
      </c>
      <c r="AR70" s="79">
        <f t="shared" si="40"/>
        <v>0</v>
      </c>
      <c r="AS70" s="79">
        <f t="shared" si="40"/>
        <v>0</v>
      </c>
      <c r="AT70" s="79">
        <f t="shared" si="40"/>
        <v>0</v>
      </c>
    </row>
    <row r="71" spans="1:46" x14ac:dyDescent="0.25">
      <c r="A71" s="4"/>
      <c r="B71" s="35" t="s">
        <v>41</v>
      </c>
      <c r="C71" s="341">
        <f>SUM(C64:C70)</f>
        <v>5054.8900000000003</v>
      </c>
      <c r="D71" s="341">
        <f t="shared" ref="D71:Y71" si="41">SUM(D64:D70)</f>
        <v>51940.149999999994</v>
      </c>
      <c r="E71" s="341">
        <f t="shared" si="41"/>
        <v>36895.270000000004</v>
      </c>
      <c r="F71" s="341">
        <f t="shared" si="41"/>
        <v>19878.929999999997</v>
      </c>
      <c r="G71" s="341">
        <f t="shared" si="41"/>
        <v>3364.7099999999996</v>
      </c>
      <c r="H71" s="341">
        <f t="shared" si="41"/>
        <v>1327.83</v>
      </c>
      <c r="I71" s="345">
        <f t="shared" si="41"/>
        <v>-1138.8900000000001</v>
      </c>
      <c r="J71" s="345">
        <f t="shared" si="41"/>
        <v>-5198.18</v>
      </c>
      <c r="K71" s="341">
        <f t="shared" si="41"/>
        <v>-6.1900000000000093</v>
      </c>
      <c r="L71" s="341">
        <f t="shared" si="41"/>
        <v>3136.99</v>
      </c>
      <c r="M71" s="341">
        <f t="shared" si="41"/>
        <v>5818.94</v>
      </c>
      <c r="N71" s="467">
        <f t="shared" si="41"/>
        <v>-930.24</v>
      </c>
      <c r="O71" s="345">
        <f t="shared" si="41"/>
        <v>-3419.56</v>
      </c>
      <c r="P71" s="341">
        <f t="shared" si="41"/>
        <v>40900.61</v>
      </c>
      <c r="Q71" s="341">
        <f t="shared" si="41"/>
        <v>29651.949999999997</v>
      </c>
      <c r="R71" s="341">
        <f t="shared" si="41"/>
        <v>24914.25</v>
      </c>
      <c r="S71" s="341">
        <f t="shared" si="41"/>
        <v>8692.4399999999987</v>
      </c>
      <c r="T71" s="341">
        <f t="shared" si="41"/>
        <v>2249.25</v>
      </c>
      <c r="U71" s="341">
        <f t="shared" si="41"/>
        <v>850.97</v>
      </c>
      <c r="V71" s="352">
        <f t="shared" si="41"/>
        <v>-2185.7399999999998</v>
      </c>
      <c r="W71" s="346">
        <f t="shared" si="41"/>
        <v>1761.56</v>
      </c>
      <c r="X71" s="351">
        <f t="shared" si="41"/>
        <v>5459.11</v>
      </c>
      <c r="Y71" s="346">
        <f t="shared" si="41"/>
        <v>13329.429999999998</v>
      </c>
      <c r="Z71" s="341">
        <f t="shared" ref="Z71" si="42">SUM(Z64:Z70)</f>
        <v>10410.34</v>
      </c>
      <c r="AA71" s="342"/>
      <c r="AB71" s="342"/>
      <c r="AC71" s="342"/>
      <c r="AD71" s="342"/>
      <c r="AE71" s="342"/>
      <c r="AF71" s="79"/>
      <c r="AG71" s="254"/>
      <c r="AH71" s="77"/>
      <c r="AI71" s="77"/>
      <c r="AJ71" s="78"/>
      <c r="AK71" s="79">
        <f t="shared" ref="AK71:AT71" si="43">SUM(AK64:AK70)</f>
        <v>8474.4499999999989</v>
      </c>
      <c r="AL71" s="79">
        <f t="shared" si="43"/>
        <v>11039.54</v>
      </c>
      <c r="AM71" s="79">
        <f t="shared" si="43"/>
        <v>7243.3200000000015</v>
      </c>
      <c r="AN71" s="79">
        <f t="shared" si="43"/>
        <v>-5035.3200000000015</v>
      </c>
      <c r="AO71" s="79">
        <f t="shared" si="43"/>
        <v>-5327.7300000000005</v>
      </c>
      <c r="AP71" s="79">
        <f t="shared" si="43"/>
        <v>-921.42000000000007</v>
      </c>
      <c r="AQ71" s="78">
        <f t="shared" si="43"/>
        <v>-1989.8600000000001</v>
      </c>
      <c r="AR71" s="78">
        <f t="shared" si="43"/>
        <v>-3012.44</v>
      </c>
      <c r="AS71" s="78">
        <f t="shared" si="43"/>
        <v>-1767.75</v>
      </c>
      <c r="AT71" s="254">
        <f t="shared" si="43"/>
        <v>-2322.1199999999994</v>
      </c>
    </row>
    <row r="72" spans="1:46" x14ac:dyDescent="0.25">
      <c r="A72" s="4">
        <f>+A63+1</f>
        <v>8</v>
      </c>
      <c r="B72" s="42" t="s">
        <v>31</v>
      </c>
      <c r="C72" s="341"/>
      <c r="D72" s="342"/>
      <c r="E72" s="342"/>
      <c r="F72" s="342"/>
      <c r="G72" s="342"/>
      <c r="H72" s="342"/>
      <c r="I72" s="342"/>
      <c r="J72" s="342"/>
      <c r="K72" s="342"/>
      <c r="L72" s="344"/>
      <c r="M72" s="346"/>
      <c r="N72" s="350"/>
      <c r="O72" s="342"/>
      <c r="P72" s="342"/>
      <c r="Q72" s="342"/>
      <c r="R72" s="342"/>
      <c r="S72" s="342"/>
      <c r="T72" s="342"/>
      <c r="U72" s="346"/>
      <c r="V72" s="350"/>
      <c r="W72" s="346"/>
      <c r="X72" s="351"/>
      <c r="Y72" s="360"/>
      <c r="Z72" s="519"/>
      <c r="AA72" s="342"/>
      <c r="AB72" s="342"/>
      <c r="AC72" s="342"/>
      <c r="AD72" s="342"/>
      <c r="AE72" s="342"/>
      <c r="AF72" s="79"/>
      <c r="AG72" s="254"/>
      <c r="AH72" s="77"/>
      <c r="AI72" s="77"/>
      <c r="AJ72" s="254"/>
      <c r="AK72" s="79"/>
      <c r="AL72" s="79"/>
      <c r="AM72" s="79"/>
      <c r="AN72" s="79"/>
      <c r="AO72" s="79"/>
      <c r="AP72" s="79"/>
      <c r="AQ72" s="78"/>
      <c r="AR72" s="314"/>
      <c r="AS72" s="314"/>
      <c r="AT72" s="314"/>
    </row>
    <row r="73" spans="1:46" x14ac:dyDescent="0.25">
      <c r="A73" s="4"/>
      <c r="B73" s="35" t="s">
        <v>60</v>
      </c>
      <c r="C73" s="341">
        <v>1838.54</v>
      </c>
      <c r="D73" s="342">
        <v>4177.67</v>
      </c>
      <c r="E73" s="342">
        <v>17726.87</v>
      </c>
      <c r="F73" s="342">
        <v>21104.94</v>
      </c>
      <c r="G73" s="342">
        <v>17098.509999999998</v>
      </c>
      <c r="H73" s="342">
        <v>10611.67</v>
      </c>
      <c r="I73" s="342">
        <v>8709.65</v>
      </c>
      <c r="J73" s="342">
        <v>4615.5200000000004</v>
      </c>
      <c r="K73" s="342">
        <v>5330.94</v>
      </c>
      <c r="L73" s="349">
        <v>-3201.42</v>
      </c>
      <c r="M73" s="466">
        <v>-1645.21</v>
      </c>
      <c r="N73" s="350">
        <v>75.38</v>
      </c>
      <c r="O73" s="342">
        <v>2116.38</v>
      </c>
      <c r="P73" s="342">
        <v>1241.0999999999999</v>
      </c>
      <c r="Q73" s="342">
        <v>25391.07</v>
      </c>
      <c r="R73" s="342">
        <v>35799.24</v>
      </c>
      <c r="S73" s="342">
        <v>40488.660000000003</v>
      </c>
      <c r="T73" s="342">
        <v>38195.040000000001</v>
      </c>
      <c r="U73" s="346">
        <v>25887.97</v>
      </c>
      <c r="V73" s="350">
        <v>19602.099999999999</v>
      </c>
      <c r="W73" s="346">
        <v>20678.939999999999</v>
      </c>
      <c r="X73" s="351">
        <v>26065.84</v>
      </c>
      <c r="Y73" s="360">
        <v>28125.53</v>
      </c>
      <c r="Z73" s="518">
        <v>24611.21</v>
      </c>
      <c r="AA73" s="342"/>
      <c r="AB73" s="342"/>
      <c r="AC73" s="342"/>
      <c r="AD73" s="342"/>
      <c r="AE73" s="342"/>
      <c r="AF73" s="79"/>
      <c r="AG73" s="254"/>
      <c r="AH73" s="77"/>
      <c r="AI73" s="77"/>
      <c r="AJ73" s="78"/>
      <c r="AK73" s="79">
        <f t="shared" ref="AK73:AT73" si="44">C73-O73</f>
        <v>-277.84000000000015</v>
      </c>
      <c r="AL73" s="79">
        <f t="shared" si="44"/>
        <v>2936.57</v>
      </c>
      <c r="AM73" s="79">
        <f t="shared" si="44"/>
        <v>-7664.2000000000007</v>
      </c>
      <c r="AN73" s="79">
        <f t="shared" si="44"/>
        <v>-14694.3</v>
      </c>
      <c r="AO73" s="79">
        <f t="shared" si="44"/>
        <v>-23390.150000000005</v>
      </c>
      <c r="AP73" s="79">
        <f t="shared" si="44"/>
        <v>-27583.370000000003</v>
      </c>
      <c r="AQ73" s="79">
        <f t="shared" si="44"/>
        <v>-17178.32</v>
      </c>
      <c r="AR73" s="79">
        <f t="shared" si="44"/>
        <v>-14986.579999999998</v>
      </c>
      <c r="AS73" s="79">
        <f t="shared" si="44"/>
        <v>-15348</v>
      </c>
      <c r="AT73" s="79">
        <f t="shared" si="44"/>
        <v>-29267.260000000002</v>
      </c>
    </row>
    <row r="74" spans="1:46" x14ac:dyDescent="0.25">
      <c r="A74" s="4"/>
      <c r="B74" s="35" t="s">
        <v>61</v>
      </c>
      <c r="C74" s="341"/>
      <c r="D74" s="342"/>
      <c r="E74" s="342"/>
      <c r="F74" s="342"/>
      <c r="G74" s="342"/>
      <c r="H74" s="342"/>
      <c r="I74" s="342"/>
      <c r="J74" s="342"/>
      <c r="K74" s="342"/>
      <c r="L74" s="344"/>
      <c r="M74" s="346"/>
      <c r="N74" s="350"/>
      <c r="O74" s="342"/>
      <c r="P74" s="342"/>
      <c r="Q74" s="342"/>
      <c r="R74" s="342"/>
      <c r="S74" s="342"/>
      <c r="T74" s="342"/>
      <c r="U74" s="346"/>
      <c r="V74" s="350"/>
      <c r="W74" s="346"/>
      <c r="X74" s="351"/>
      <c r="Y74" s="360"/>
      <c r="Z74" s="519"/>
      <c r="AA74" s="342"/>
      <c r="AB74" s="342"/>
      <c r="AC74" s="342"/>
      <c r="AD74" s="342"/>
      <c r="AE74" s="342"/>
      <c r="AF74" s="79"/>
      <c r="AG74" s="254"/>
      <c r="AH74" s="77"/>
      <c r="AI74" s="77"/>
      <c r="AJ74" s="78"/>
      <c r="AK74" s="79">
        <f t="shared" ref="AK74:AK79" si="45">C74-O74</f>
        <v>0</v>
      </c>
      <c r="AL74" s="79">
        <f t="shared" ref="AL74:AT79" si="46">D74-P74</f>
        <v>0</v>
      </c>
      <c r="AM74" s="79">
        <f t="shared" si="46"/>
        <v>0</v>
      </c>
      <c r="AN74" s="79">
        <f t="shared" si="46"/>
        <v>0</v>
      </c>
      <c r="AO74" s="79">
        <f t="shared" si="46"/>
        <v>0</v>
      </c>
      <c r="AP74" s="79">
        <f t="shared" si="46"/>
        <v>0</v>
      </c>
      <c r="AQ74" s="79">
        <f t="shared" si="46"/>
        <v>0</v>
      </c>
      <c r="AR74" s="79">
        <f t="shared" si="46"/>
        <v>0</v>
      </c>
      <c r="AS74" s="79">
        <f t="shared" si="46"/>
        <v>0</v>
      </c>
      <c r="AT74" s="79">
        <f t="shared" si="46"/>
        <v>0</v>
      </c>
    </row>
    <row r="75" spans="1:46" x14ac:dyDescent="0.25">
      <c r="A75" s="4"/>
      <c r="B75" s="35" t="s">
        <v>62</v>
      </c>
      <c r="C75" s="345">
        <v>-23.71</v>
      </c>
      <c r="D75" s="342">
        <v>65.06</v>
      </c>
      <c r="E75" s="342">
        <v>1381.64</v>
      </c>
      <c r="F75" s="343">
        <v>-562.20000000000005</v>
      </c>
      <c r="G75" s="343">
        <v>-2893.34</v>
      </c>
      <c r="H75" s="343">
        <v>-4347.83</v>
      </c>
      <c r="I75" s="343">
        <v>-5014.76</v>
      </c>
      <c r="J75" s="343">
        <v>-4391.1099999999997</v>
      </c>
      <c r="K75" s="343">
        <v>-3080.58</v>
      </c>
      <c r="L75" s="349">
        <v>-1800.91</v>
      </c>
      <c r="M75" s="466">
        <v>-805.44</v>
      </c>
      <c r="N75" s="350">
        <v>117.33</v>
      </c>
      <c r="O75" s="342">
        <v>498.87</v>
      </c>
      <c r="P75" s="342">
        <v>455.88</v>
      </c>
      <c r="Q75" s="342">
        <v>2035.98</v>
      </c>
      <c r="R75" s="342">
        <v>3369.9</v>
      </c>
      <c r="S75" s="342">
        <v>4131.97</v>
      </c>
      <c r="T75" s="342">
        <v>500.17</v>
      </c>
      <c r="U75" s="346">
        <v>920.17</v>
      </c>
      <c r="V75" s="350">
        <v>1652.79</v>
      </c>
      <c r="W75" s="346">
        <v>2016.62</v>
      </c>
      <c r="X75" s="351">
        <v>2762.63</v>
      </c>
      <c r="Y75" s="360">
        <v>3250.97</v>
      </c>
      <c r="Z75" s="360">
        <v>3168.14</v>
      </c>
      <c r="AA75" s="342"/>
      <c r="AB75" s="342"/>
      <c r="AC75" s="342"/>
      <c r="AD75" s="342"/>
      <c r="AE75" s="342"/>
      <c r="AF75" s="79"/>
      <c r="AG75" s="254"/>
      <c r="AH75" s="77"/>
      <c r="AI75" s="77"/>
      <c r="AJ75" s="78"/>
      <c r="AK75" s="79">
        <f t="shared" si="45"/>
        <v>-522.58000000000004</v>
      </c>
      <c r="AL75" s="79">
        <f t="shared" si="46"/>
        <v>-390.82</v>
      </c>
      <c r="AM75" s="79">
        <f t="shared" si="46"/>
        <v>-654.33999999999992</v>
      </c>
      <c r="AN75" s="79">
        <f t="shared" si="46"/>
        <v>-3932.1000000000004</v>
      </c>
      <c r="AO75" s="79">
        <f t="shared" si="46"/>
        <v>-7025.31</v>
      </c>
      <c r="AP75" s="79">
        <f t="shared" si="46"/>
        <v>-4848</v>
      </c>
      <c r="AQ75" s="79">
        <f t="shared" si="46"/>
        <v>-5934.93</v>
      </c>
      <c r="AR75" s="79">
        <f t="shared" si="46"/>
        <v>-6043.9</v>
      </c>
      <c r="AS75" s="79">
        <f t="shared" si="46"/>
        <v>-5097.2</v>
      </c>
      <c r="AT75" s="79">
        <f t="shared" si="46"/>
        <v>-4563.54</v>
      </c>
    </row>
    <row r="76" spans="1:46" x14ac:dyDescent="0.25">
      <c r="A76" s="4"/>
      <c r="B76" s="35" t="s">
        <v>63</v>
      </c>
      <c r="C76" s="341"/>
      <c r="D76" s="342"/>
      <c r="E76" s="342"/>
      <c r="F76" s="342"/>
      <c r="G76" s="342"/>
      <c r="H76" s="342"/>
      <c r="I76" s="342"/>
      <c r="J76" s="342"/>
      <c r="K76" s="342"/>
      <c r="L76" s="344"/>
      <c r="M76" s="346"/>
      <c r="N76" s="350"/>
      <c r="O76" s="342"/>
      <c r="P76" s="342"/>
      <c r="Q76" s="342"/>
      <c r="R76" s="342"/>
      <c r="S76" s="342"/>
      <c r="T76" s="342"/>
      <c r="U76" s="346"/>
      <c r="V76" s="350"/>
      <c r="W76" s="346"/>
      <c r="X76" s="351"/>
      <c r="Y76" s="360"/>
      <c r="Z76" s="4"/>
      <c r="AA76" s="342"/>
      <c r="AB76" s="342"/>
      <c r="AC76" s="342"/>
      <c r="AD76" s="342"/>
      <c r="AE76" s="342"/>
      <c r="AF76" s="79"/>
      <c r="AG76" s="254"/>
      <c r="AH76" s="77"/>
      <c r="AI76" s="77"/>
      <c r="AJ76" s="78"/>
      <c r="AK76" s="79">
        <f t="shared" si="45"/>
        <v>0</v>
      </c>
      <c r="AL76" s="79">
        <f t="shared" si="46"/>
        <v>0</v>
      </c>
      <c r="AM76" s="79">
        <f t="shared" si="46"/>
        <v>0</v>
      </c>
      <c r="AN76" s="79">
        <f t="shared" si="46"/>
        <v>0</v>
      </c>
      <c r="AO76" s="79">
        <f t="shared" si="46"/>
        <v>0</v>
      </c>
      <c r="AP76" s="79">
        <f t="shared" si="46"/>
        <v>0</v>
      </c>
      <c r="AQ76" s="79">
        <f t="shared" si="46"/>
        <v>0</v>
      </c>
      <c r="AR76" s="79">
        <f t="shared" si="46"/>
        <v>0</v>
      </c>
      <c r="AS76" s="79">
        <f t="shared" si="46"/>
        <v>0</v>
      </c>
      <c r="AT76" s="79">
        <f t="shared" si="46"/>
        <v>0</v>
      </c>
    </row>
    <row r="77" spans="1:46" x14ac:dyDescent="0.25">
      <c r="A77" s="4"/>
      <c r="B77" s="35" t="s">
        <v>38</v>
      </c>
      <c r="C77" s="345">
        <v>-274.61</v>
      </c>
      <c r="D77" s="343">
        <v>-57.69</v>
      </c>
      <c r="E77" s="342">
        <v>784.84</v>
      </c>
      <c r="F77" s="342">
        <v>1103.9000000000001</v>
      </c>
      <c r="G77" s="342">
        <v>564.73</v>
      </c>
      <c r="H77" s="343">
        <v>-1.62</v>
      </c>
      <c r="I77" s="343">
        <v>-704.77</v>
      </c>
      <c r="J77" s="343">
        <v>-955.54</v>
      </c>
      <c r="K77" s="343">
        <v>-4093.03</v>
      </c>
      <c r="L77" s="349">
        <v>-2438.69</v>
      </c>
      <c r="M77" s="466">
        <v>-856.19</v>
      </c>
      <c r="N77" s="352">
        <v>-240.98</v>
      </c>
      <c r="O77" s="343">
        <v>-998.12</v>
      </c>
      <c r="P77" s="343">
        <v>-2746.04</v>
      </c>
      <c r="Q77" s="342">
        <v>1005.11</v>
      </c>
      <c r="R77" s="342">
        <v>2444.15</v>
      </c>
      <c r="S77" s="342">
        <v>352.86</v>
      </c>
      <c r="T77" s="342">
        <v>225.33</v>
      </c>
      <c r="U77" s="466">
        <v>-2759.15</v>
      </c>
      <c r="V77" s="352">
        <v>-3468.61</v>
      </c>
      <c r="W77" s="466">
        <v>-3524.46</v>
      </c>
      <c r="X77" s="469">
        <v>-3523.98</v>
      </c>
      <c r="Y77" s="465">
        <v>-3219.12</v>
      </c>
      <c r="Z77" s="465">
        <v>-3684.01</v>
      </c>
      <c r="AA77" s="342"/>
      <c r="AB77" s="342"/>
      <c r="AC77" s="342"/>
      <c r="AD77" s="342"/>
      <c r="AE77" s="342"/>
      <c r="AF77" s="79"/>
      <c r="AG77" s="254"/>
      <c r="AH77" s="77"/>
      <c r="AI77" s="77"/>
      <c r="AJ77" s="78"/>
      <c r="AK77" s="79">
        <f t="shared" si="45"/>
        <v>723.51</v>
      </c>
      <c r="AL77" s="79">
        <f t="shared" si="46"/>
        <v>2688.35</v>
      </c>
      <c r="AM77" s="79">
        <f t="shared" si="46"/>
        <v>-220.26999999999998</v>
      </c>
      <c r="AN77" s="79">
        <f t="shared" si="46"/>
        <v>-1340.25</v>
      </c>
      <c r="AO77" s="79">
        <f t="shared" si="46"/>
        <v>211.87</v>
      </c>
      <c r="AP77" s="79">
        <f t="shared" si="46"/>
        <v>-226.95000000000002</v>
      </c>
      <c r="AQ77" s="79">
        <f t="shared" si="46"/>
        <v>2054.38</v>
      </c>
      <c r="AR77" s="79">
        <f t="shared" si="46"/>
        <v>2513.0700000000002</v>
      </c>
      <c r="AS77" s="79">
        <f t="shared" si="46"/>
        <v>-568.57000000000016</v>
      </c>
      <c r="AT77" s="79">
        <f t="shared" si="46"/>
        <v>1085.29</v>
      </c>
    </row>
    <row r="78" spans="1:46" x14ac:dyDescent="0.25">
      <c r="A78" s="4"/>
      <c r="B78" s="35" t="s">
        <v>39</v>
      </c>
      <c r="C78" s="341"/>
      <c r="D78" s="342"/>
      <c r="E78" s="342"/>
      <c r="F78" s="342"/>
      <c r="G78" s="342"/>
      <c r="H78" s="342"/>
      <c r="I78" s="342"/>
      <c r="J78" s="342"/>
      <c r="K78" s="342"/>
      <c r="L78" s="344"/>
      <c r="M78" s="346"/>
      <c r="N78" s="350"/>
      <c r="O78" s="342"/>
      <c r="P78" s="342"/>
      <c r="Q78" s="342"/>
      <c r="R78" s="342"/>
      <c r="S78" s="342"/>
      <c r="T78" s="342"/>
      <c r="U78" s="346"/>
      <c r="V78" s="350"/>
      <c r="W78" s="346"/>
      <c r="X78" s="351"/>
      <c r="Y78" s="360"/>
      <c r="Z78" s="4"/>
      <c r="AA78" s="342"/>
      <c r="AB78" s="342"/>
      <c r="AC78" s="342"/>
      <c r="AD78" s="342"/>
      <c r="AE78" s="342"/>
      <c r="AF78" s="79"/>
      <c r="AG78" s="254"/>
      <c r="AH78" s="77"/>
      <c r="AI78" s="77"/>
      <c r="AJ78" s="78"/>
      <c r="AK78" s="79">
        <f t="shared" si="45"/>
        <v>0</v>
      </c>
      <c r="AL78" s="79">
        <f t="shared" si="46"/>
        <v>0</v>
      </c>
      <c r="AM78" s="79">
        <f t="shared" si="46"/>
        <v>0</v>
      </c>
      <c r="AN78" s="79">
        <f t="shared" si="46"/>
        <v>0</v>
      </c>
      <c r="AO78" s="79">
        <f t="shared" si="46"/>
        <v>0</v>
      </c>
      <c r="AP78" s="79">
        <f t="shared" si="46"/>
        <v>0</v>
      </c>
      <c r="AQ78" s="79">
        <f t="shared" si="46"/>
        <v>0</v>
      </c>
      <c r="AR78" s="79">
        <f t="shared" si="46"/>
        <v>0</v>
      </c>
      <c r="AS78" s="79">
        <f t="shared" si="46"/>
        <v>0</v>
      </c>
      <c r="AT78" s="79">
        <f t="shared" si="46"/>
        <v>0</v>
      </c>
    </row>
    <row r="79" spans="1:46" x14ac:dyDescent="0.25">
      <c r="A79" s="4"/>
      <c r="B79" s="35" t="s">
        <v>65</v>
      </c>
      <c r="C79" s="341"/>
      <c r="D79" s="342"/>
      <c r="E79" s="342"/>
      <c r="F79" s="342"/>
      <c r="G79" s="342"/>
      <c r="H79" s="342"/>
      <c r="I79" s="342"/>
      <c r="J79" s="342"/>
      <c r="K79" s="342"/>
      <c r="L79" s="344"/>
      <c r="M79" s="346"/>
      <c r="N79" s="350"/>
      <c r="O79" s="342"/>
      <c r="P79" s="342"/>
      <c r="Q79" s="342"/>
      <c r="R79" s="342"/>
      <c r="S79" s="342"/>
      <c r="T79" s="342"/>
      <c r="U79" s="346"/>
      <c r="V79" s="350"/>
      <c r="W79" s="346"/>
      <c r="X79" s="351"/>
      <c r="Y79" s="360"/>
      <c r="Z79" s="4"/>
      <c r="AA79" s="342"/>
      <c r="AB79" s="342"/>
      <c r="AC79" s="342"/>
      <c r="AD79" s="342"/>
      <c r="AE79" s="342"/>
      <c r="AF79" s="79"/>
      <c r="AG79" s="254"/>
      <c r="AH79" s="77"/>
      <c r="AI79" s="77"/>
      <c r="AJ79" s="78"/>
      <c r="AK79" s="79">
        <f t="shared" si="45"/>
        <v>0</v>
      </c>
      <c r="AL79" s="79">
        <f t="shared" si="46"/>
        <v>0</v>
      </c>
      <c r="AM79" s="79">
        <f t="shared" si="46"/>
        <v>0</v>
      </c>
      <c r="AN79" s="79">
        <f t="shared" si="46"/>
        <v>0</v>
      </c>
      <c r="AO79" s="79">
        <f t="shared" si="46"/>
        <v>0</v>
      </c>
      <c r="AP79" s="79">
        <f t="shared" si="46"/>
        <v>0</v>
      </c>
      <c r="AQ79" s="79">
        <f t="shared" si="46"/>
        <v>0</v>
      </c>
      <c r="AR79" s="79">
        <f t="shared" si="46"/>
        <v>0</v>
      </c>
      <c r="AS79" s="79">
        <f t="shared" si="46"/>
        <v>0</v>
      </c>
      <c r="AT79" s="79">
        <f t="shared" si="46"/>
        <v>0</v>
      </c>
    </row>
    <row r="80" spans="1:46" x14ac:dyDescent="0.25">
      <c r="A80" s="4"/>
      <c r="B80" s="35" t="s">
        <v>41</v>
      </c>
      <c r="C80" s="341">
        <f>SUM(C73:C79)</f>
        <v>1540.2199999999998</v>
      </c>
      <c r="D80" s="341">
        <f t="shared" ref="D80:Y80" si="47">SUM(D73:D79)</f>
        <v>4185.0400000000009</v>
      </c>
      <c r="E80" s="341">
        <f t="shared" si="47"/>
        <v>19893.349999999999</v>
      </c>
      <c r="F80" s="341">
        <f t="shared" si="47"/>
        <v>21646.639999999999</v>
      </c>
      <c r="G80" s="341">
        <f t="shared" si="47"/>
        <v>14769.899999999998</v>
      </c>
      <c r="H80" s="341">
        <f t="shared" si="47"/>
        <v>6262.22</v>
      </c>
      <c r="I80" s="341">
        <f t="shared" si="47"/>
        <v>2990.1199999999994</v>
      </c>
      <c r="J80" s="345">
        <f t="shared" si="47"/>
        <v>-731.1299999999992</v>
      </c>
      <c r="K80" s="345">
        <f t="shared" si="47"/>
        <v>-1842.6700000000005</v>
      </c>
      <c r="L80" s="345">
        <f t="shared" si="47"/>
        <v>-7441.02</v>
      </c>
      <c r="M80" s="345">
        <f t="shared" si="47"/>
        <v>-3306.84</v>
      </c>
      <c r="N80" s="467">
        <f t="shared" si="47"/>
        <v>-48.27000000000001</v>
      </c>
      <c r="O80" s="341">
        <f t="shared" si="47"/>
        <v>1617.13</v>
      </c>
      <c r="P80" s="345">
        <f t="shared" si="47"/>
        <v>-1049.06</v>
      </c>
      <c r="Q80" s="341">
        <f t="shared" si="47"/>
        <v>28432.16</v>
      </c>
      <c r="R80" s="341">
        <f t="shared" si="47"/>
        <v>41613.29</v>
      </c>
      <c r="S80" s="341">
        <f t="shared" si="47"/>
        <v>44973.490000000005</v>
      </c>
      <c r="T80" s="341">
        <f t="shared" si="47"/>
        <v>38920.54</v>
      </c>
      <c r="U80" s="341">
        <f t="shared" si="47"/>
        <v>24048.989999999998</v>
      </c>
      <c r="V80" s="350">
        <f t="shared" si="47"/>
        <v>17786.28</v>
      </c>
      <c r="W80" s="346">
        <f t="shared" si="47"/>
        <v>19171.099999999999</v>
      </c>
      <c r="X80" s="351">
        <f t="shared" si="47"/>
        <v>25304.49</v>
      </c>
      <c r="Y80" s="346">
        <f t="shared" si="47"/>
        <v>28157.38</v>
      </c>
      <c r="Z80" s="341">
        <f t="shared" ref="Z80" si="48">SUM(Z73:Z79)</f>
        <v>24095.339999999997</v>
      </c>
      <c r="AA80" s="342"/>
      <c r="AB80" s="342"/>
      <c r="AC80" s="342"/>
      <c r="AD80" s="342"/>
      <c r="AE80" s="342"/>
      <c r="AF80" s="79"/>
      <c r="AG80" s="254"/>
      <c r="AH80" s="77"/>
      <c r="AI80" s="77"/>
      <c r="AJ80" s="78"/>
      <c r="AK80" s="79">
        <f t="shared" ref="AK80:AT80" si="49">SUM(AK73:AK79)</f>
        <v>-76.910000000000196</v>
      </c>
      <c r="AL80" s="79">
        <f t="shared" si="49"/>
        <v>5234.1000000000004</v>
      </c>
      <c r="AM80" s="79">
        <f t="shared" si="49"/>
        <v>-8538.8100000000013</v>
      </c>
      <c r="AN80" s="79">
        <f t="shared" si="49"/>
        <v>-19966.650000000001</v>
      </c>
      <c r="AO80" s="79">
        <f t="shared" si="49"/>
        <v>-30203.590000000007</v>
      </c>
      <c r="AP80" s="79">
        <f t="shared" si="49"/>
        <v>-32658.320000000003</v>
      </c>
      <c r="AQ80" s="78">
        <f t="shared" si="49"/>
        <v>-21058.87</v>
      </c>
      <c r="AR80" s="78">
        <f t="shared" si="49"/>
        <v>-18517.409999999996</v>
      </c>
      <c r="AS80" s="78">
        <f t="shared" si="49"/>
        <v>-21013.77</v>
      </c>
      <c r="AT80" s="254">
        <f t="shared" si="49"/>
        <v>-32745.510000000002</v>
      </c>
    </row>
    <row r="81" spans="1:46" x14ac:dyDescent="0.25">
      <c r="A81" s="4">
        <f>+A72+1</f>
        <v>9</v>
      </c>
      <c r="B81" s="42" t="s">
        <v>42</v>
      </c>
      <c r="C81" s="341"/>
      <c r="D81" s="342"/>
      <c r="E81" s="342"/>
      <c r="F81" s="342"/>
      <c r="G81" s="342"/>
      <c r="H81" s="342"/>
      <c r="I81" s="342"/>
      <c r="J81" s="342"/>
      <c r="K81" s="342"/>
      <c r="L81" s="344"/>
      <c r="M81" s="346"/>
      <c r="N81" s="350"/>
      <c r="O81" s="342"/>
      <c r="P81" s="342"/>
      <c r="Q81" s="342"/>
      <c r="R81" s="342"/>
      <c r="S81" s="342"/>
      <c r="T81" s="342"/>
      <c r="U81" s="346"/>
      <c r="V81" s="350"/>
      <c r="W81" s="346"/>
      <c r="X81" s="351"/>
      <c r="Y81" s="360"/>
      <c r="Z81" s="4"/>
      <c r="AA81" s="342"/>
      <c r="AB81" s="342"/>
      <c r="AC81" s="342"/>
      <c r="AD81" s="342"/>
      <c r="AE81" s="342"/>
      <c r="AF81" s="79"/>
      <c r="AG81" s="254"/>
      <c r="AH81" s="77"/>
      <c r="AI81" s="77"/>
      <c r="AJ81" s="254"/>
      <c r="AK81" s="79"/>
      <c r="AL81" s="79"/>
      <c r="AM81" s="79"/>
      <c r="AN81" s="79"/>
      <c r="AO81" s="79"/>
      <c r="AP81" s="79"/>
      <c r="AQ81" s="78"/>
      <c r="AR81" s="314"/>
      <c r="AS81" s="314"/>
      <c r="AT81" s="314"/>
    </row>
    <row r="82" spans="1:46" x14ac:dyDescent="0.25">
      <c r="A82" s="4"/>
      <c r="B82" s="35" t="s">
        <v>60</v>
      </c>
      <c r="C82" s="341">
        <v>147639.79</v>
      </c>
      <c r="D82" s="350">
        <v>50446.73</v>
      </c>
      <c r="E82" s="350">
        <v>100138.32</v>
      </c>
      <c r="F82" s="350">
        <v>37719.61</v>
      </c>
      <c r="G82" s="350">
        <v>28139.1</v>
      </c>
      <c r="H82" s="350">
        <v>16155.05</v>
      </c>
      <c r="I82" s="350">
        <v>1669.31</v>
      </c>
      <c r="J82" s="350">
        <v>4787.46</v>
      </c>
      <c r="K82" s="350">
        <v>412.51</v>
      </c>
      <c r="L82" s="351">
        <v>28313.79</v>
      </c>
      <c r="M82" s="346">
        <v>37734.400000000001</v>
      </c>
      <c r="N82" s="350">
        <v>9333.43</v>
      </c>
      <c r="O82" s="342">
        <v>79581.62</v>
      </c>
      <c r="P82" s="342">
        <v>36807.660000000003</v>
      </c>
      <c r="Q82" s="342">
        <v>83810.38</v>
      </c>
      <c r="R82" s="342">
        <v>55880.82</v>
      </c>
      <c r="S82" s="342">
        <v>52550.21</v>
      </c>
      <c r="T82" s="342">
        <v>42033.49</v>
      </c>
      <c r="U82" s="335">
        <v>21953.57</v>
      </c>
      <c r="V82" s="350">
        <v>23263.96</v>
      </c>
      <c r="W82" s="346">
        <v>18625.73</v>
      </c>
      <c r="X82" s="351">
        <v>51040.62</v>
      </c>
      <c r="Y82" s="360">
        <v>88162.03</v>
      </c>
      <c r="Z82" s="360">
        <v>56189.45</v>
      </c>
      <c r="AA82" s="342"/>
      <c r="AB82" s="342"/>
      <c r="AC82" s="342"/>
      <c r="AD82" s="342"/>
      <c r="AE82" s="342"/>
      <c r="AF82" s="79"/>
      <c r="AG82" s="254"/>
      <c r="AH82" s="77"/>
      <c r="AI82" s="77"/>
      <c r="AJ82" s="78"/>
      <c r="AK82" s="79">
        <f t="shared" ref="AK82:AT82" si="50">C82-O82</f>
        <v>68058.170000000013</v>
      </c>
      <c r="AL82" s="79">
        <f t="shared" si="50"/>
        <v>13639.07</v>
      </c>
      <c r="AM82" s="79">
        <f t="shared" si="50"/>
        <v>16327.940000000002</v>
      </c>
      <c r="AN82" s="79">
        <f t="shared" si="50"/>
        <v>-18161.21</v>
      </c>
      <c r="AO82" s="79">
        <f t="shared" si="50"/>
        <v>-24411.11</v>
      </c>
      <c r="AP82" s="79">
        <f t="shared" si="50"/>
        <v>-25878.44</v>
      </c>
      <c r="AQ82" s="79">
        <f t="shared" si="50"/>
        <v>-20284.259999999998</v>
      </c>
      <c r="AR82" s="79">
        <f t="shared" si="50"/>
        <v>-18476.5</v>
      </c>
      <c r="AS82" s="79">
        <f t="shared" si="50"/>
        <v>-18213.22</v>
      </c>
      <c r="AT82" s="79">
        <f t="shared" si="50"/>
        <v>-22726.83</v>
      </c>
    </row>
    <row r="83" spans="1:46" x14ac:dyDescent="0.25">
      <c r="A83" s="4"/>
      <c r="B83" s="35" t="s">
        <v>61</v>
      </c>
      <c r="C83" s="341"/>
      <c r="D83" s="350"/>
      <c r="E83" s="350"/>
      <c r="F83" s="350"/>
      <c r="G83" s="350"/>
      <c r="H83" s="350"/>
      <c r="I83" s="350"/>
      <c r="J83" s="350"/>
      <c r="K83" s="350"/>
      <c r="L83" s="346"/>
      <c r="M83" s="346"/>
      <c r="N83" s="350"/>
      <c r="O83" s="342"/>
      <c r="P83" s="342"/>
      <c r="Q83" s="342"/>
      <c r="R83" s="342"/>
      <c r="S83" s="342"/>
      <c r="T83" s="342"/>
      <c r="U83" s="335"/>
      <c r="V83" s="350"/>
      <c r="W83" s="346"/>
      <c r="X83" s="351"/>
      <c r="Y83" s="360"/>
      <c r="Z83" s="4"/>
      <c r="AA83" s="342"/>
      <c r="AB83" s="342"/>
      <c r="AC83" s="342"/>
      <c r="AD83" s="342"/>
      <c r="AE83" s="342"/>
      <c r="AF83" s="79"/>
      <c r="AG83" s="254"/>
      <c r="AH83" s="77"/>
      <c r="AI83" s="77"/>
      <c r="AJ83" s="78"/>
      <c r="AK83" s="79">
        <f t="shared" ref="AK83:AK88" si="51">C83-O83</f>
        <v>0</v>
      </c>
      <c r="AL83" s="79">
        <f t="shared" ref="AL83:AT88" si="52">D83-P83</f>
        <v>0</v>
      </c>
      <c r="AM83" s="79">
        <f t="shared" si="52"/>
        <v>0</v>
      </c>
      <c r="AN83" s="79">
        <f t="shared" si="52"/>
        <v>0</v>
      </c>
      <c r="AO83" s="79">
        <f t="shared" si="52"/>
        <v>0</v>
      </c>
      <c r="AP83" s="79">
        <f t="shared" si="52"/>
        <v>0</v>
      </c>
      <c r="AQ83" s="79">
        <f t="shared" si="52"/>
        <v>0</v>
      </c>
      <c r="AR83" s="79">
        <f t="shared" si="52"/>
        <v>0</v>
      </c>
      <c r="AS83" s="79">
        <f t="shared" si="52"/>
        <v>0</v>
      </c>
      <c r="AT83" s="79">
        <f t="shared" si="52"/>
        <v>0</v>
      </c>
    </row>
    <row r="84" spans="1:46" x14ac:dyDescent="0.25">
      <c r="A84" s="4"/>
      <c r="B84" s="35" t="s">
        <v>62</v>
      </c>
      <c r="C84" s="341">
        <v>15234.65</v>
      </c>
      <c r="D84" s="350">
        <v>2199.38</v>
      </c>
      <c r="E84" s="350">
        <v>1398.46</v>
      </c>
      <c r="F84" s="352">
        <v>-3308.27</v>
      </c>
      <c r="G84" s="352">
        <v>-4629.87</v>
      </c>
      <c r="H84" s="352">
        <v>-5291.7</v>
      </c>
      <c r="I84" s="352">
        <v>-5288.9</v>
      </c>
      <c r="J84" s="352">
        <v>-3771.79</v>
      </c>
      <c r="K84" s="352">
        <v>-2991.12</v>
      </c>
      <c r="L84" s="346">
        <v>3761.68</v>
      </c>
      <c r="M84" s="341">
        <v>7936.96</v>
      </c>
      <c r="N84" s="350">
        <v>1247.21</v>
      </c>
      <c r="O84" s="350">
        <v>4319.03</v>
      </c>
      <c r="P84" s="350">
        <v>1848.27</v>
      </c>
      <c r="Q84" s="350">
        <v>5341.64</v>
      </c>
      <c r="R84" s="350">
        <v>4213.25</v>
      </c>
      <c r="S84" s="350">
        <v>5399.06</v>
      </c>
      <c r="T84" s="350">
        <v>1990.12</v>
      </c>
      <c r="U84" s="335">
        <v>259.23</v>
      </c>
      <c r="V84" s="350">
        <v>1841.57</v>
      </c>
      <c r="W84" s="346">
        <v>2278.35</v>
      </c>
      <c r="X84" s="351">
        <v>7957.3</v>
      </c>
      <c r="Y84" s="360">
        <v>16017.82</v>
      </c>
      <c r="Z84" s="360">
        <v>14534.85</v>
      </c>
      <c r="AA84" s="342"/>
      <c r="AB84" s="342"/>
      <c r="AC84" s="342"/>
      <c r="AD84" s="342"/>
      <c r="AE84" s="342"/>
      <c r="AF84" s="79"/>
      <c r="AG84" s="254"/>
      <c r="AH84" s="77"/>
      <c r="AI84" s="77"/>
      <c r="AJ84" s="78"/>
      <c r="AK84" s="79">
        <f t="shared" si="51"/>
        <v>10915.619999999999</v>
      </c>
      <c r="AL84" s="79">
        <f t="shared" si="52"/>
        <v>351.11000000000013</v>
      </c>
      <c r="AM84" s="79">
        <f t="shared" si="52"/>
        <v>-3943.1800000000003</v>
      </c>
      <c r="AN84" s="79">
        <f t="shared" si="52"/>
        <v>-7521.52</v>
      </c>
      <c r="AO84" s="79">
        <f t="shared" si="52"/>
        <v>-10028.93</v>
      </c>
      <c r="AP84" s="79">
        <f t="shared" si="52"/>
        <v>-7281.82</v>
      </c>
      <c r="AQ84" s="79">
        <f t="shared" si="52"/>
        <v>-5548.1299999999992</v>
      </c>
      <c r="AR84" s="79">
        <f t="shared" si="52"/>
        <v>-5613.36</v>
      </c>
      <c r="AS84" s="79">
        <f t="shared" si="52"/>
        <v>-5269.4699999999993</v>
      </c>
      <c r="AT84" s="79">
        <f t="shared" si="52"/>
        <v>-4195.6200000000008</v>
      </c>
    </row>
    <row r="85" spans="1:46" x14ac:dyDescent="0.25">
      <c r="A85" s="4"/>
      <c r="B85" s="35" t="s">
        <v>63</v>
      </c>
      <c r="C85" s="341"/>
      <c r="D85" s="350"/>
      <c r="E85" s="350"/>
      <c r="F85" s="350"/>
      <c r="G85" s="350"/>
      <c r="H85" s="350"/>
      <c r="I85" s="350"/>
      <c r="J85" s="350"/>
      <c r="K85" s="350"/>
      <c r="L85" s="346"/>
      <c r="M85" s="341"/>
      <c r="N85" s="350"/>
      <c r="O85" s="350"/>
      <c r="P85" s="350"/>
      <c r="Q85" s="350"/>
      <c r="R85" s="350"/>
      <c r="S85" s="350"/>
      <c r="T85" s="350"/>
      <c r="U85" s="335"/>
      <c r="V85" s="350"/>
      <c r="W85" s="346"/>
      <c r="X85" s="351"/>
      <c r="Y85" s="360"/>
      <c r="Z85" s="4"/>
      <c r="AA85" s="342"/>
      <c r="AB85" s="342"/>
      <c r="AC85" s="342"/>
      <c r="AD85" s="342"/>
      <c r="AE85" s="342"/>
      <c r="AF85" s="79"/>
      <c r="AG85" s="254"/>
      <c r="AH85" s="77"/>
      <c r="AI85" s="77"/>
      <c r="AJ85" s="78"/>
      <c r="AK85" s="79">
        <f t="shared" si="51"/>
        <v>0</v>
      </c>
      <c r="AL85" s="79">
        <f t="shared" si="52"/>
        <v>0</v>
      </c>
      <c r="AM85" s="79">
        <f t="shared" si="52"/>
        <v>0</v>
      </c>
      <c r="AN85" s="79">
        <f t="shared" si="52"/>
        <v>0</v>
      </c>
      <c r="AO85" s="79">
        <f t="shared" si="52"/>
        <v>0</v>
      </c>
      <c r="AP85" s="79">
        <f t="shared" si="52"/>
        <v>0</v>
      </c>
      <c r="AQ85" s="79">
        <f t="shared" si="52"/>
        <v>0</v>
      </c>
      <c r="AR85" s="79">
        <f t="shared" si="52"/>
        <v>0</v>
      </c>
      <c r="AS85" s="79">
        <f t="shared" si="52"/>
        <v>0</v>
      </c>
      <c r="AT85" s="79">
        <f t="shared" si="52"/>
        <v>0</v>
      </c>
    </row>
    <row r="86" spans="1:46" x14ac:dyDescent="0.25">
      <c r="A86" s="4"/>
      <c r="B86" s="35" t="s">
        <v>38</v>
      </c>
      <c r="C86" s="341">
        <v>11692.34</v>
      </c>
      <c r="D86" s="350">
        <v>2846.31</v>
      </c>
      <c r="E86" s="350">
        <v>6735.68</v>
      </c>
      <c r="F86" s="350">
        <v>1512.67</v>
      </c>
      <c r="G86" s="350">
        <v>2228.2800000000002</v>
      </c>
      <c r="H86" s="350">
        <v>2575.31</v>
      </c>
      <c r="I86" s="352">
        <v>-7566.37</v>
      </c>
      <c r="J86" s="352">
        <v>-3461.79</v>
      </c>
      <c r="K86" s="352">
        <v>-4739.74</v>
      </c>
      <c r="L86" s="346">
        <v>1222.1600000000001</v>
      </c>
      <c r="M86" s="341">
        <v>8359.98</v>
      </c>
      <c r="N86" s="352">
        <v>-3679.27</v>
      </c>
      <c r="O86" s="350">
        <v>5419.03</v>
      </c>
      <c r="P86" s="352">
        <v>-388.65</v>
      </c>
      <c r="Q86" s="350">
        <v>11453.58</v>
      </c>
      <c r="R86" s="350">
        <v>5136.1000000000004</v>
      </c>
      <c r="S86" s="350">
        <v>1721.52</v>
      </c>
      <c r="T86" s="350">
        <v>1889.44</v>
      </c>
      <c r="U86" s="467">
        <v>-2537.4499999999998</v>
      </c>
      <c r="V86" s="350">
        <v>2827.3</v>
      </c>
      <c r="W86" s="466">
        <v>-3947.53</v>
      </c>
      <c r="X86" s="351">
        <v>1193.8699999999999</v>
      </c>
      <c r="Y86" s="360">
        <v>14522.41</v>
      </c>
      <c r="Z86" s="465">
        <v>-1308.1099999999999</v>
      </c>
      <c r="AA86" s="342"/>
      <c r="AB86" s="342"/>
      <c r="AC86" s="342"/>
      <c r="AD86" s="342"/>
      <c r="AE86" s="342"/>
      <c r="AF86" s="79"/>
      <c r="AG86" s="254"/>
      <c r="AH86" s="77"/>
      <c r="AI86" s="77"/>
      <c r="AJ86" s="78"/>
      <c r="AK86" s="79">
        <f t="shared" si="51"/>
        <v>6273.31</v>
      </c>
      <c r="AL86" s="79">
        <f t="shared" si="52"/>
        <v>3234.96</v>
      </c>
      <c r="AM86" s="79">
        <f t="shared" si="52"/>
        <v>-4717.8999999999996</v>
      </c>
      <c r="AN86" s="79">
        <f t="shared" si="52"/>
        <v>-3623.4300000000003</v>
      </c>
      <c r="AO86" s="79">
        <f t="shared" si="52"/>
        <v>506.76000000000022</v>
      </c>
      <c r="AP86" s="79">
        <f t="shared" si="52"/>
        <v>685.86999999999989</v>
      </c>
      <c r="AQ86" s="79">
        <f t="shared" si="52"/>
        <v>-5028.92</v>
      </c>
      <c r="AR86" s="79">
        <f t="shared" si="52"/>
        <v>-6289.09</v>
      </c>
      <c r="AS86" s="79">
        <f t="shared" si="52"/>
        <v>-792.20999999999958</v>
      </c>
      <c r="AT86" s="79">
        <f t="shared" si="52"/>
        <v>28.290000000000191</v>
      </c>
    </row>
    <row r="87" spans="1:46" x14ac:dyDescent="0.25">
      <c r="A87" s="4"/>
      <c r="B87" s="35" t="s">
        <v>39</v>
      </c>
      <c r="C87" s="341"/>
      <c r="D87" s="350"/>
      <c r="E87" s="350"/>
      <c r="F87" s="350"/>
      <c r="G87" s="350"/>
      <c r="H87" s="350"/>
      <c r="I87" s="350"/>
      <c r="J87" s="350"/>
      <c r="K87" s="350"/>
      <c r="L87" s="346"/>
      <c r="M87" s="341"/>
      <c r="N87" s="350"/>
      <c r="O87" s="350"/>
      <c r="P87" s="350"/>
      <c r="Q87" s="350"/>
      <c r="R87" s="350"/>
      <c r="S87" s="350"/>
      <c r="T87" s="350"/>
      <c r="U87" s="335"/>
      <c r="V87" s="350"/>
      <c r="W87" s="346"/>
      <c r="X87" s="351"/>
      <c r="Y87" s="360"/>
      <c r="Z87" s="4"/>
      <c r="AA87" s="342"/>
      <c r="AB87" s="342"/>
      <c r="AC87" s="342"/>
      <c r="AD87" s="342"/>
      <c r="AE87" s="342"/>
      <c r="AF87" s="79"/>
      <c r="AG87" s="254"/>
      <c r="AH87" s="77"/>
      <c r="AI87" s="77"/>
      <c r="AJ87" s="78"/>
      <c r="AK87" s="79">
        <f t="shared" si="51"/>
        <v>0</v>
      </c>
      <c r="AL87" s="79">
        <f t="shared" si="52"/>
        <v>0</v>
      </c>
      <c r="AM87" s="79">
        <f t="shared" si="52"/>
        <v>0</v>
      </c>
      <c r="AN87" s="79">
        <f t="shared" si="52"/>
        <v>0</v>
      </c>
      <c r="AO87" s="79">
        <f t="shared" si="52"/>
        <v>0</v>
      </c>
      <c r="AP87" s="79">
        <f t="shared" si="52"/>
        <v>0</v>
      </c>
      <c r="AQ87" s="79">
        <f t="shared" si="52"/>
        <v>0</v>
      </c>
      <c r="AR87" s="79">
        <f t="shared" si="52"/>
        <v>0</v>
      </c>
      <c r="AS87" s="79">
        <f t="shared" si="52"/>
        <v>0</v>
      </c>
      <c r="AT87" s="79">
        <f t="shared" si="52"/>
        <v>0</v>
      </c>
    </row>
    <row r="88" spans="1:46" x14ac:dyDescent="0.25">
      <c r="A88" s="4"/>
      <c r="B88" s="35" t="s">
        <v>65</v>
      </c>
      <c r="C88" s="341"/>
      <c r="D88" s="350"/>
      <c r="E88" s="350"/>
      <c r="F88" s="350"/>
      <c r="G88" s="350"/>
      <c r="H88" s="350"/>
      <c r="I88" s="350"/>
      <c r="J88" s="350"/>
      <c r="K88" s="350"/>
      <c r="L88" s="346"/>
      <c r="M88" s="341"/>
      <c r="N88" s="350"/>
      <c r="O88" s="350"/>
      <c r="P88" s="350"/>
      <c r="Q88" s="350"/>
      <c r="R88" s="350"/>
      <c r="S88" s="350"/>
      <c r="T88" s="350"/>
      <c r="U88" s="335"/>
      <c r="V88" s="350"/>
      <c r="W88" s="346"/>
      <c r="X88" s="351"/>
      <c r="Y88" s="360"/>
      <c r="Z88" s="4"/>
      <c r="AA88" s="342"/>
      <c r="AB88" s="342"/>
      <c r="AC88" s="342"/>
      <c r="AD88" s="342"/>
      <c r="AE88" s="342"/>
      <c r="AF88" s="79"/>
      <c r="AG88" s="254"/>
      <c r="AH88" s="77"/>
      <c r="AI88" s="77"/>
      <c r="AJ88" s="78"/>
      <c r="AK88" s="79">
        <f t="shared" si="51"/>
        <v>0</v>
      </c>
      <c r="AL88" s="79">
        <f t="shared" si="52"/>
        <v>0</v>
      </c>
      <c r="AM88" s="79">
        <f t="shared" si="52"/>
        <v>0</v>
      </c>
      <c r="AN88" s="79">
        <f t="shared" si="52"/>
        <v>0</v>
      </c>
      <c r="AO88" s="79">
        <f t="shared" si="52"/>
        <v>0</v>
      </c>
      <c r="AP88" s="79">
        <f t="shared" si="52"/>
        <v>0</v>
      </c>
      <c r="AQ88" s="79">
        <f t="shared" si="52"/>
        <v>0</v>
      </c>
      <c r="AR88" s="79">
        <f t="shared" si="52"/>
        <v>0</v>
      </c>
      <c r="AS88" s="79">
        <f t="shared" si="52"/>
        <v>0</v>
      </c>
      <c r="AT88" s="79">
        <f t="shared" si="52"/>
        <v>0</v>
      </c>
    </row>
    <row r="89" spans="1:46" ht="15.75" thickBot="1" x14ac:dyDescent="0.3">
      <c r="A89" s="4"/>
      <c r="B89" s="37" t="s">
        <v>41</v>
      </c>
      <c r="C89" s="353">
        <f>SUM(C82:C88)</f>
        <v>174566.78</v>
      </c>
      <c r="D89" s="353">
        <f t="shared" ref="D89:Y89" si="53">SUM(D82:D88)</f>
        <v>55492.42</v>
      </c>
      <c r="E89" s="353">
        <f t="shared" si="53"/>
        <v>108272.46000000002</v>
      </c>
      <c r="F89" s="353">
        <f t="shared" si="53"/>
        <v>35924.01</v>
      </c>
      <c r="G89" s="353">
        <f t="shared" si="53"/>
        <v>25737.51</v>
      </c>
      <c r="H89" s="353">
        <f t="shared" si="53"/>
        <v>13438.659999999998</v>
      </c>
      <c r="I89" s="354">
        <f t="shared" si="53"/>
        <v>-11185.96</v>
      </c>
      <c r="J89" s="354">
        <f t="shared" si="53"/>
        <v>-2446.12</v>
      </c>
      <c r="K89" s="354">
        <f t="shared" si="53"/>
        <v>-7318.3499999999995</v>
      </c>
      <c r="L89" s="353">
        <f t="shared" si="53"/>
        <v>33297.630000000005</v>
      </c>
      <c r="M89" s="353">
        <f t="shared" si="53"/>
        <v>54031.34</v>
      </c>
      <c r="N89" s="336">
        <f t="shared" si="53"/>
        <v>6901.369999999999</v>
      </c>
      <c r="O89" s="353">
        <f t="shared" si="53"/>
        <v>89319.679999999993</v>
      </c>
      <c r="P89" s="353">
        <f t="shared" si="53"/>
        <v>38267.279999999999</v>
      </c>
      <c r="Q89" s="353">
        <f t="shared" si="53"/>
        <v>100605.6</v>
      </c>
      <c r="R89" s="353">
        <f t="shared" si="53"/>
        <v>65230.17</v>
      </c>
      <c r="S89" s="353">
        <f t="shared" si="53"/>
        <v>59670.789999999994</v>
      </c>
      <c r="T89" s="353">
        <f t="shared" si="53"/>
        <v>45913.05</v>
      </c>
      <c r="U89" s="353">
        <f t="shared" si="53"/>
        <v>19675.349999999999</v>
      </c>
      <c r="V89" s="481">
        <f t="shared" si="53"/>
        <v>27932.829999999998</v>
      </c>
      <c r="W89" s="464">
        <f t="shared" si="53"/>
        <v>16956.55</v>
      </c>
      <c r="X89" s="470">
        <f t="shared" si="53"/>
        <v>60191.790000000008</v>
      </c>
      <c r="Y89" s="464">
        <f t="shared" si="53"/>
        <v>118702.26000000001</v>
      </c>
      <c r="Z89" s="353">
        <f t="shared" ref="Z89" si="54">SUM(Z82:Z88)</f>
        <v>69416.19</v>
      </c>
      <c r="AA89" s="355"/>
      <c r="AB89" s="355"/>
      <c r="AC89" s="355"/>
      <c r="AD89" s="355"/>
      <c r="AE89" s="355"/>
      <c r="AF89" s="81"/>
      <c r="AG89" s="263"/>
      <c r="AH89" s="200"/>
      <c r="AI89" s="200"/>
      <c r="AJ89" s="80"/>
      <c r="AK89" s="81">
        <f t="shared" ref="AK89:AT89" si="55">SUM(AK82:AK88)</f>
        <v>85247.1</v>
      </c>
      <c r="AL89" s="81">
        <f t="shared" si="55"/>
        <v>17225.14</v>
      </c>
      <c r="AM89" s="81">
        <f t="shared" si="55"/>
        <v>7666.8600000000024</v>
      </c>
      <c r="AN89" s="81">
        <f t="shared" si="55"/>
        <v>-29306.16</v>
      </c>
      <c r="AO89" s="81">
        <f t="shared" si="55"/>
        <v>-33933.279999999999</v>
      </c>
      <c r="AP89" s="81">
        <f t="shared" si="55"/>
        <v>-32474.389999999996</v>
      </c>
      <c r="AQ89" s="80">
        <f t="shared" si="55"/>
        <v>-30861.309999999998</v>
      </c>
      <c r="AR89" s="80">
        <f t="shared" si="55"/>
        <v>-30378.95</v>
      </c>
      <c r="AS89" s="80">
        <f t="shared" si="55"/>
        <v>-24274.9</v>
      </c>
      <c r="AT89" s="263">
        <f t="shared" si="55"/>
        <v>-26894.160000000003</v>
      </c>
    </row>
    <row r="90" spans="1:46" x14ac:dyDescent="0.25">
      <c r="A90" s="4">
        <f>+A81+1</f>
        <v>10</v>
      </c>
      <c r="B90" s="41" t="s">
        <v>33</v>
      </c>
      <c r="C90" s="155"/>
      <c r="D90" s="64"/>
      <c r="E90" s="64"/>
      <c r="F90" s="64"/>
      <c r="G90" s="64"/>
      <c r="H90" s="64"/>
      <c r="I90" s="64"/>
      <c r="J90" s="64"/>
      <c r="K90" s="64"/>
      <c r="L90" s="165"/>
      <c r="M90" s="320"/>
      <c r="N90" s="62"/>
      <c r="O90" s="64"/>
      <c r="P90" s="64"/>
      <c r="Q90" s="64"/>
      <c r="R90" s="64"/>
      <c r="S90" s="64"/>
      <c r="T90" s="64"/>
      <c r="U90" s="320"/>
      <c r="V90" s="62"/>
      <c r="W90" s="320"/>
      <c r="X90" s="63"/>
      <c r="Y90" s="360"/>
      <c r="Z90" s="4"/>
      <c r="AA90" s="64"/>
      <c r="AB90" s="64"/>
      <c r="AC90" s="64"/>
      <c r="AD90" s="64"/>
      <c r="AE90" s="64"/>
      <c r="AF90" s="64"/>
      <c r="AG90" s="255"/>
      <c r="AH90" s="62"/>
      <c r="AI90" s="62"/>
      <c r="AJ90" s="255"/>
      <c r="AK90" s="64"/>
      <c r="AL90" s="64"/>
      <c r="AM90" s="64"/>
      <c r="AN90" s="64"/>
      <c r="AO90" s="64"/>
      <c r="AP90" s="64"/>
      <c r="AQ90" s="63"/>
      <c r="AR90" s="315"/>
      <c r="AS90" s="315"/>
      <c r="AT90" s="315"/>
    </row>
    <row r="91" spans="1:46" x14ac:dyDescent="0.25">
      <c r="A91" s="4"/>
      <c r="B91" s="35" t="s">
        <v>36</v>
      </c>
      <c r="C91" s="341">
        <v>290184.34999999998</v>
      </c>
      <c r="D91" s="342">
        <v>173694.58</v>
      </c>
      <c r="E91" s="342">
        <v>93046.57</v>
      </c>
      <c r="F91" s="342">
        <v>56249.74</v>
      </c>
      <c r="G91" s="342">
        <v>50714.32</v>
      </c>
      <c r="H91" s="342">
        <v>53585.19</v>
      </c>
      <c r="I91" s="342">
        <v>53876.92</v>
      </c>
      <c r="J91" s="342">
        <v>95539.76</v>
      </c>
      <c r="K91" s="342">
        <v>183309.73</v>
      </c>
      <c r="L91" s="344">
        <v>278139.59999999998</v>
      </c>
      <c r="M91" s="346">
        <v>323987.03999999998</v>
      </c>
      <c r="N91" s="350">
        <v>272058.15999999997</v>
      </c>
      <c r="O91" s="342">
        <v>226857.71</v>
      </c>
      <c r="P91" s="342">
        <v>193932.69</v>
      </c>
      <c r="Q91" s="342">
        <v>91233.32</v>
      </c>
      <c r="R91" s="342">
        <v>60391.040000000001</v>
      </c>
      <c r="S91" s="342">
        <v>49442.95</v>
      </c>
      <c r="T91" s="342">
        <v>49130.43</v>
      </c>
      <c r="U91" s="346">
        <v>66041.929999999993</v>
      </c>
      <c r="V91" s="350">
        <v>79599.649999999994</v>
      </c>
      <c r="W91" s="346">
        <v>167766.9</v>
      </c>
      <c r="X91" s="351">
        <v>291304.71999999997</v>
      </c>
      <c r="Y91" s="360">
        <v>253256.29</v>
      </c>
      <c r="Z91" s="360">
        <v>277329.28999999998</v>
      </c>
      <c r="AA91" s="342"/>
      <c r="AB91" s="342"/>
      <c r="AC91" s="342"/>
      <c r="AD91" s="342"/>
      <c r="AE91" s="342"/>
      <c r="AF91" s="342"/>
      <c r="AG91" s="335"/>
      <c r="AH91" s="350"/>
      <c r="AI91" s="350"/>
      <c r="AJ91" s="351"/>
      <c r="AK91" s="83">
        <f t="shared" ref="AK91:AT91" si="56">C91-O91</f>
        <v>63326.639999999985</v>
      </c>
      <c r="AL91" s="83">
        <f t="shared" si="56"/>
        <v>-20238.110000000015</v>
      </c>
      <c r="AM91" s="83">
        <f t="shared" si="56"/>
        <v>1813.25</v>
      </c>
      <c r="AN91" s="83">
        <f t="shared" si="56"/>
        <v>-4141.3000000000029</v>
      </c>
      <c r="AO91" s="83">
        <f t="shared" si="56"/>
        <v>1271.3700000000026</v>
      </c>
      <c r="AP91" s="83">
        <f t="shared" si="56"/>
        <v>4454.760000000002</v>
      </c>
      <c r="AQ91" s="83">
        <f t="shared" si="56"/>
        <v>-12165.009999999995</v>
      </c>
      <c r="AR91" s="83">
        <f t="shared" si="56"/>
        <v>15940.11</v>
      </c>
      <c r="AS91" s="83">
        <f t="shared" si="56"/>
        <v>15542.830000000016</v>
      </c>
      <c r="AT91" s="83">
        <f t="shared" si="56"/>
        <v>-13165.119999999995</v>
      </c>
    </row>
    <row r="92" spans="1:46" x14ac:dyDescent="0.25">
      <c r="A92" s="4"/>
      <c r="B92" s="35" t="s">
        <v>37</v>
      </c>
      <c r="C92" s="341">
        <v>13581.98</v>
      </c>
      <c r="D92" s="342">
        <v>9607</v>
      </c>
      <c r="E92" s="342">
        <v>5084.55</v>
      </c>
      <c r="F92" s="342">
        <v>2990.51</v>
      </c>
      <c r="G92" s="342">
        <v>2900.88</v>
      </c>
      <c r="H92" s="342">
        <v>2701.9</v>
      </c>
      <c r="I92" s="342">
        <v>2814.98</v>
      </c>
      <c r="J92" s="342">
        <v>5224</v>
      </c>
      <c r="K92" s="342">
        <v>9379.4599999999991</v>
      </c>
      <c r="L92" s="344">
        <v>12396.24</v>
      </c>
      <c r="M92" s="346">
        <v>15335.48</v>
      </c>
      <c r="N92" s="350">
        <v>13625.86</v>
      </c>
      <c r="O92" s="342">
        <v>12010.88</v>
      </c>
      <c r="P92" s="342">
        <v>11024.85</v>
      </c>
      <c r="Q92" s="342">
        <v>5190.42</v>
      </c>
      <c r="R92" s="342">
        <v>3362.07</v>
      </c>
      <c r="S92" s="342">
        <v>2822.99</v>
      </c>
      <c r="T92" s="342">
        <v>2821.47</v>
      </c>
      <c r="U92" s="346">
        <v>3612.95</v>
      </c>
      <c r="V92" s="350">
        <v>4452.34</v>
      </c>
      <c r="W92" s="346">
        <v>9473.7999999999993</v>
      </c>
      <c r="X92" s="351">
        <v>17007.11</v>
      </c>
      <c r="Y92" s="360">
        <v>13016.44</v>
      </c>
      <c r="Z92" s="360">
        <v>15108.74</v>
      </c>
      <c r="AA92" s="342"/>
      <c r="AB92" s="342"/>
      <c r="AC92" s="342"/>
      <c r="AD92" s="342"/>
      <c r="AE92" s="342"/>
      <c r="AF92" s="342"/>
      <c r="AG92" s="335"/>
      <c r="AH92" s="350"/>
      <c r="AI92" s="350"/>
      <c r="AJ92" s="351"/>
      <c r="AK92" s="83">
        <f t="shared" ref="AK92:AK95" si="57">C92-O92</f>
        <v>1571.1000000000004</v>
      </c>
      <c r="AL92" s="83">
        <f t="shared" ref="AL92:AT95" si="58">D92-P92</f>
        <v>-1417.8500000000004</v>
      </c>
      <c r="AM92" s="83">
        <f t="shared" si="58"/>
        <v>-105.86999999999989</v>
      </c>
      <c r="AN92" s="83">
        <f t="shared" si="58"/>
        <v>-371.55999999999995</v>
      </c>
      <c r="AO92" s="83">
        <f t="shared" si="58"/>
        <v>77.890000000000327</v>
      </c>
      <c r="AP92" s="83">
        <f t="shared" si="58"/>
        <v>-119.56999999999971</v>
      </c>
      <c r="AQ92" s="83">
        <f t="shared" si="58"/>
        <v>-797.9699999999998</v>
      </c>
      <c r="AR92" s="83">
        <f t="shared" si="58"/>
        <v>771.65999999999985</v>
      </c>
      <c r="AS92" s="83">
        <f t="shared" si="58"/>
        <v>-94.340000000000146</v>
      </c>
      <c r="AT92" s="83">
        <f t="shared" si="58"/>
        <v>-4610.8700000000008</v>
      </c>
    </row>
    <row r="93" spans="1:46" x14ac:dyDescent="0.25">
      <c r="A93" s="4"/>
      <c r="B93" s="35" t="s">
        <v>38</v>
      </c>
      <c r="C93" s="341">
        <v>122728.26</v>
      </c>
      <c r="D93" s="342">
        <v>72701.86</v>
      </c>
      <c r="E93" s="342">
        <v>34957.949999999997</v>
      </c>
      <c r="F93" s="342">
        <v>21340.31</v>
      </c>
      <c r="G93" s="342">
        <v>20201.32</v>
      </c>
      <c r="H93" s="342">
        <v>20183.310000000001</v>
      </c>
      <c r="I93" s="342">
        <v>19164.45</v>
      </c>
      <c r="J93" s="342">
        <v>30060.639999999999</v>
      </c>
      <c r="K93" s="342">
        <v>55659.15</v>
      </c>
      <c r="L93" s="344">
        <v>85962.240000000005</v>
      </c>
      <c r="M93" s="346">
        <v>102309.03</v>
      </c>
      <c r="N93" s="350">
        <v>84980.29</v>
      </c>
      <c r="O93" s="342">
        <v>66939.490000000005</v>
      </c>
      <c r="P93" s="342">
        <v>50102.51</v>
      </c>
      <c r="Q93" s="342">
        <v>24313.599999999999</v>
      </c>
      <c r="R93" s="342">
        <v>17206.419999999998</v>
      </c>
      <c r="S93" s="342">
        <v>15466.46</v>
      </c>
      <c r="T93" s="342">
        <v>15760.55</v>
      </c>
      <c r="U93" s="346">
        <v>21939.87</v>
      </c>
      <c r="V93" s="350">
        <v>23020.49</v>
      </c>
      <c r="W93" s="346">
        <v>47388.08</v>
      </c>
      <c r="X93" s="351">
        <v>85680.89</v>
      </c>
      <c r="Y93" s="360">
        <v>68215.12</v>
      </c>
      <c r="Z93" s="360">
        <v>83690.14</v>
      </c>
      <c r="AA93" s="342"/>
      <c r="AB93" s="342"/>
      <c r="AC93" s="342"/>
      <c r="AD93" s="342"/>
      <c r="AE93" s="342"/>
      <c r="AF93" s="342"/>
      <c r="AG93" s="335"/>
      <c r="AH93" s="350"/>
      <c r="AI93" s="350"/>
      <c r="AJ93" s="351"/>
      <c r="AK93" s="83">
        <f t="shared" si="57"/>
        <v>55788.76999999999</v>
      </c>
      <c r="AL93" s="83">
        <f t="shared" si="58"/>
        <v>22599.35</v>
      </c>
      <c r="AM93" s="83">
        <f t="shared" si="58"/>
        <v>10644.349999999999</v>
      </c>
      <c r="AN93" s="83">
        <f t="shared" si="58"/>
        <v>4133.8900000000031</v>
      </c>
      <c r="AO93" s="83">
        <f t="shared" si="58"/>
        <v>4734.8600000000006</v>
      </c>
      <c r="AP93" s="83">
        <f t="shared" si="58"/>
        <v>4422.760000000002</v>
      </c>
      <c r="AQ93" s="83">
        <f t="shared" si="58"/>
        <v>-2775.4199999999983</v>
      </c>
      <c r="AR93" s="83">
        <f t="shared" si="58"/>
        <v>7040.1499999999978</v>
      </c>
      <c r="AS93" s="83">
        <f t="shared" si="58"/>
        <v>8271.07</v>
      </c>
      <c r="AT93" s="83">
        <f t="shared" si="58"/>
        <v>281.35000000000582</v>
      </c>
    </row>
    <row r="94" spans="1:46" x14ac:dyDescent="0.25">
      <c r="A94" s="4"/>
      <c r="B94" s="35" t="s">
        <v>39</v>
      </c>
      <c r="C94" s="341"/>
      <c r="D94" s="342"/>
      <c r="E94" s="342"/>
      <c r="F94" s="342"/>
      <c r="G94" s="342"/>
      <c r="H94" s="342"/>
      <c r="I94" s="342"/>
      <c r="J94" s="342"/>
      <c r="K94" s="342"/>
      <c r="L94" s="344"/>
      <c r="M94" s="346"/>
      <c r="N94" s="350"/>
      <c r="O94" s="342"/>
      <c r="P94" s="342"/>
      <c r="Q94" s="342"/>
      <c r="R94" s="342"/>
      <c r="S94" s="342"/>
      <c r="T94" s="342"/>
      <c r="U94" s="346"/>
      <c r="V94" s="350"/>
      <c r="W94" s="346"/>
      <c r="X94" s="351"/>
      <c r="Y94" s="360"/>
      <c r="Z94" s="360"/>
      <c r="AA94" s="342"/>
      <c r="AB94" s="342"/>
      <c r="AC94" s="342"/>
      <c r="AD94" s="342"/>
      <c r="AE94" s="342"/>
      <c r="AF94" s="342"/>
      <c r="AG94" s="335"/>
      <c r="AH94" s="350"/>
      <c r="AI94" s="350"/>
      <c r="AJ94" s="351"/>
      <c r="AK94" s="83">
        <f t="shared" si="57"/>
        <v>0</v>
      </c>
      <c r="AL94" s="83">
        <f t="shared" si="58"/>
        <v>0</v>
      </c>
      <c r="AM94" s="83">
        <f t="shared" si="58"/>
        <v>0</v>
      </c>
      <c r="AN94" s="83">
        <f t="shared" si="58"/>
        <v>0</v>
      </c>
      <c r="AO94" s="83">
        <f t="shared" si="58"/>
        <v>0</v>
      </c>
      <c r="AP94" s="83">
        <f t="shared" si="58"/>
        <v>0</v>
      </c>
      <c r="AQ94" s="83">
        <f t="shared" si="58"/>
        <v>0</v>
      </c>
      <c r="AR94" s="83">
        <f t="shared" si="58"/>
        <v>0</v>
      </c>
      <c r="AS94" s="83">
        <f t="shared" si="58"/>
        <v>0</v>
      </c>
      <c r="AT94" s="83">
        <f t="shared" si="58"/>
        <v>0</v>
      </c>
    </row>
    <row r="95" spans="1:46" x14ac:dyDescent="0.25">
      <c r="A95" s="4"/>
      <c r="B95" s="35" t="s">
        <v>65</v>
      </c>
      <c r="C95" s="341">
        <v>18564.060000000001</v>
      </c>
      <c r="D95" s="342">
        <v>10474.629999999999</v>
      </c>
      <c r="E95" s="342">
        <v>3427.51</v>
      </c>
      <c r="F95" s="342">
        <v>161.21</v>
      </c>
      <c r="G95" s="342">
        <v>0</v>
      </c>
      <c r="H95" s="342">
        <v>0</v>
      </c>
      <c r="I95" s="342">
        <v>2098.12</v>
      </c>
      <c r="J95" s="342">
        <v>14756.12</v>
      </c>
      <c r="K95" s="342">
        <v>30843.78</v>
      </c>
      <c r="L95" s="344">
        <v>42691.92</v>
      </c>
      <c r="M95" s="346">
        <v>53813.94</v>
      </c>
      <c r="N95" s="350">
        <v>43902.54</v>
      </c>
      <c r="O95" s="342">
        <v>27816.73</v>
      </c>
      <c r="P95" s="342">
        <v>7830.5</v>
      </c>
      <c r="Q95" s="342">
        <v>1629.11</v>
      </c>
      <c r="R95" s="342">
        <v>1328.1</v>
      </c>
      <c r="S95" s="342">
        <v>177.39</v>
      </c>
      <c r="T95" s="342">
        <v>294.79000000000002</v>
      </c>
      <c r="U95" s="346">
        <v>1938.1</v>
      </c>
      <c r="V95" s="350">
        <v>10253.629999999999</v>
      </c>
      <c r="W95" s="346">
        <v>33068.550000000003</v>
      </c>
      <c r="X95" s="351">
        <v>54115.040000000001</v>
      </c>
      <c r="Y95" s="360">
        <v>41575.24</v>
      </c>
      <c r="Z95" s="360">
        <v>31966.91</v>
      </c>
      <c r="AA95" s="342"/>
      <c r="AB95" s="342"/>
      <c r="AC95" s="342"/>
      <c r="AD95" s="342"/>
      <c r="AE95" s="342"/>
      <c r="AF95" s="342"/>
      <c r="AG95" s="335"/>
      <c r="AH95" s="350"/>
      <c r="AI95" s="350"/>
      <c r="AJ95" s="351"/>
      <c r="AK95" s="83">
        <f t="shared" si="57"/>
        <v>-9252.6699999999983</v>
      </c>
      <c r="AL95" s="83">
        <f t="shared" si="58"/>
        <v>2644.1299999999992</v>
      </c>
      <c r="AM95" s="83">
        <f t="shared" si="58"/>
        <v>1798.4000000000003</v>
      </c>
      <c r="AN95" s="83">
        <f t="shared" si="58"/>
        <v>-1166.8899999999999</v>
      </c>
      <c r="AO95" s="83">
        <f t="shared" si="58"/>
        <v>-177.39</v>
      </c>
      <c r="AP95" s="83">
        <f t="shared" si="58"/>
        <v>-294.79000000000002</v>
      </c>
      <c r="AQ95" s="83">
        <f t="shared" si="58"/>
        <v>160.01999999999998</v>
      </c>
      <c r="AR95" s="83">
        <f t="shared" si="58"/>
        <v>4502.4900000000016</v>
      </c>
      <c r="AS95" s="83">
        <f t="shared" si="58"/>
        <v>-2224.7700000000041</v>
      </c>
      <c r="AT95" s="83">
        <f t="shared" si="58"/>
        <v>-11423.120000000003</v>
      </c>
    </row>
    <row r="96" spans="1:46" x14ac:dyDescent="0.25">
      <c r="A96" s="4"/>
      <c r="B96" s="35" t="s">
        <v>41</v>
      </c>
      <c r="C96" s="341">
        <f>SUM(C91:C95)</f>
        <v>445058.64999999997</v>
      </c>
      <c r="D96" s="341">
        <f t="shared" ref="D96:Y96" si="59">SUM(D91:D95)</f>
        <v>266478.07</v>
      </c>
      <c r="E96" s="341">
        <f t="shared" si="59"/>
        <v>136516.58000000002</v>
      </c>
      <c r="F96" s="341">
        <f t="shared" si="59"/>
        <v>80741.77</v>
      </c>
      <c r="G96" s="341">
        <f t="shared" si="59"/>
        <v>73816.51999999999</v>
      </c>
      <c r="H96" s="341">
        <f t="shared" si="59"/>
        <v>76470.400000000009</v>
      </c>
      <c r="I96" s="341">
        <f t="shared" si="59"/>
        <v>77954.47</v>
      </c>
      <c r="J96" s="341">
        <f t="shared" si="59"/>
        <v>145580.51999999999</v>
      </c>
      <c r="K96" s="341">
        <f t="shared" si="59"/>
        <v>279192.12</v>
      </c>
      <c r="L96" s="341">
        <f t="shared" si="59"/>
        <v>419189.99999999994</v>
      </c>
      <c r="M96" s="341">
        <f t="shared" si="59"/>
        <v>495445.48999999993</v>
      </c>
      <c r="N96" s="335">
        <f t="shared" si="59"/>
        <v>414566.84999999992</v>
      </c>
      <c r="O96" s="341">
        <f t="shared" si="59"/>
        <v>333624.81</v>
      </c>
      <c r="P96" s="341">
        <f t="shared" si="59"/>
        <v>262890.55000000005</v>
      </c>
      <c r="Q96" s="341">
        <f t="shared" si="59"/>
        <v>122366.45</v>
      </c>
      <c r="R96" s="341">
        <f t="shared" si="59"/>
        <v>82287.63</v>
      </c>
      <c r="S96" s="341">
        <f t="shared" si="59"/>
        <v>67909.789999999994</v>
      </c>
      <c r="T96" s="341">
        <f t="shared" si="59"/>
        <v>68007.239999999991</v>
      </c>
      <c r="U96" s="341">
        <f t="shared" si="59"/>
        <v>93532.849999999991</v>
      </c>
      <c r="V96" s="350">
        <f t="shared" si="59"/>
        <v>117326.11</v>
      </c>
      <c r="W96" s="346">
        <f t="shared" si="59"/>
        <v>257697.32999999996</v>
      </c>
      <c r="X96" s="351">
        <f t="shared" si="59"/>
        <v>448107.75999999995</v>
      </c>
      <c r="Y96" s="346">
        <f t="shared" si="59"/>
        <v>376063.08999999997</v>
      </c>
      <c r="Z96" s="341">
        <f t="shared" ref="Z96" si="60">SUM(Z91:Z95)</f>
        <v>408095.07999999996</v>
      </c>
      <c r="AA96" s="342"/>
      <c r="AB96" s="342"/>
      <c r="AC96" s="342"/>
      <c r="AD96" s="342"/>
      <c r="AE96" s="342"/>
      <c r="AF96" s="342"/>
      <c r="AG96" s="335"/>
      <c r="AH96" s="350"/>
      <c r="AI96" s="350"/>
      <c r="AJ96" s="351"/>
      <c r="AK96" s="83">
        <f t="shared" ref="AK96:AT96" si="61">SUM(AK91:AK95)</f>
        <v>111433.83999999998</v>
      </c>
      <c r="AL96" s="83">
        <f t="shared" si="61"/>
        <v>3587.5199999999841</v>
      </c>
      <c r="AM96" s="83">
        <f t="shared" si="61"/>
        <v>14150.13</v>
      </c>
      <c r="AN96" s="83">
        <f t="shared" si="61"/>
        <v>-1545.8599999999992</v>
      </c>
      <c r="AO96" s="83">
        <f t="shared" si="61"/>
        <v>5906.7300000000032</v>
      </c>
      <c r="AP96" s="83">
        <f t="shared" si="61"/>
        <v>8463.1600000000035</v>
      </c>
      <c r="AQ96" s="82">
        <f t="shared" si="61"/>
        <v>-15578.379999999992</v>
      </c>
      <c r="AR96" s="82">
        <f t="shared" si="61"/>
        <v>28254.41</v>
      </c>
      <c r="AS96" s="82">
        <f t="shared" si="61"/>
        <v>21494.790000000012</v>
      </c>
      <c r="AT96" s="256">
        <f t="shared" si="61"/>
        <v>-28917.759999999995</v>
      </c>
    </row>
    <row r="97" spans="1:46" x14ac:dyDescent="0.25">
      <c r="A97" s="4">
        <f>+A90+1</f>
        <v>11</v>
      </c>
      <c r="B97" s="42" t="s">
        <v>34</v>
      </c>
      <c r="C97" s="341"/>
      <c r="D97" s="342"/>
      <c r="E97" s="342"/>
      <c r="F97" s="342"/>
      <c r="G97" s="342"/>
      <c r="H97" s="342"/>
      <c r="I97" s="342"/>
      <c r="J97" s="342"/>
      <c r="K97" s="342"/>
      <c r="L97" s="344"/>
      <c r="M97" s="346"/>
      <c r="N97" s="350"/>
      <c r="O97" s="342"/>
      <c r="P97" s="342"/>
      <c r="Q97" s="342"/>
      <c r="R97" s="342"/>
      <c r="S97" s="342"/>
      <c r="T97" s="342"/>
      <c r="U97" s="346"/>
      <c r="V97" s="350"/>
      <c r="W97" s="346"/>
      <c r="X97" s="351"/>
      <c r="Y97" s="360"/>
      <c r="Z97" s="360"/>
      <c r="AA97" s="342"/>
      <c r="AB97" s="342"/>
      <c r="AC97" s="342"/>
      <c r="AD97" s="342"/>
      <c r="AE97" s="342"/>
      <c r="AF97" s="342"/>
      <c r="AG97" s="335"/>
      <c r="AH97" s="350"/>
      <c r="AI97" s="350"/>
      <c r="AJ97" s="335"/>
      <c r="AK97" s="85"/>
      <c r="AL97" s="85"/>
      <c r="AM97" s="85"/>
      <c r="AN97" s="85"/>
      <c r="AO97" s="85"/>
      <c r="AP97" s="85"/>
      <c r="AQ97" s="84"/>
      <c r="AR97" s="315"/>
      <c r="AS97" s="315"/>
      <c r="AT97" s="315"/>
    </row>
    <row r="98" spans="1:46" x14ac:dyDescent="0.25">
      <c r="A98" s="4"/>
      <c r="B98" s="35" t="s">
        <v>36</v>
      </c>
      <c r="C98" s="341">
        <v>290184.34999999998</v>
      </c>
      <c r="D98" s="342">
        <v>173694.58</v>
      </c>
      <c r="E98" s="342">
        <v>93046.57</v>
      </c>
      <c r="F98" s="342">
        <v>56249.74</v>
      </c>
      <c r="G98" s="342">
        <v>50714.32</v>
      </c>
      <c r="H98" s="342">
        <v>53585.19</v>
      </c>
      <c r="I98" s="342">
        <v>53876.92</v>
      </c>
      <c r="J98" s="342">
        <v>95539.76</v>
      </c>
      <c r="K98" s="342">
        <v>183309.73</v>
      </c>
      <c r="L98" s="344">
        <v>278139.59999999998</v>
      </c>
      <c r="M98" s="346">
        <v>323987.03999999998</v>
      </c>
      <c r="N98" s="350">
        <v>272058.15999999997</v>
      </c>
      <c r="O98" s="342">
        <v>226857.71</v>
      </c>
      <c r="P98" s="342">
        <v>193932.69</v>
      </c>
      <c r="Q98" s="342">
        <v>91233.32</v>
      </c>
      <c r="R98" s="342">
        <v>60391.040000000001</v>
      </c>
      <c r="S98" s="342">
        <v>49442.95</v>
      </c>
      <c r="T98" s="342">
        <v>49130.43</v>
      </c>
      <c r="U98" s="346">
        <v>66041.929999999993</v>
      </c>
      <c r="V98" s="350">
        <v>79599.649999999994</v>
      </c>
      <c r="W98" s="346">
        <v>167766.9</v>
      </c>
      <c r="X98" s="351">
        <v>291304.71999999997</v>
      </c>
      <c r="Y98" s="360">
        <v>253256.29</v>
      </c>
      <c r="Z98" s="360">
        <v>277329.28999999998</v>
      </c>
      <c r="AA98" s="342"/>
      <c r="AB98" s="342"/>
      <c r="AC98" s="342"/>
      <c r="AD98" s="342"/>
      <c r="AE98" s="342"/>
      <c r="AF98" s="342"/>
      <c r="AG98" s="346"/>
      <c r="AH98" s="350"/>
      <c r="AI98" s="350"/>
      <c r="AJ98" s="350"/>
      <c r="AK98" s="79">
        <f t="shared" ref="AK98:AT98" si="62">C98-O98</f>
        <v>63326.639999999985</v>
      </c>
      <c r="AL98" s="79">
        <f t="shared" si="62"/>
        <v>-20238.110000000015</v>
      </c>
      <c r="AM98" s="79">
        <f t="shared" si="62"/>
        <v>1813.25</v>
      </c>
      <c r="AN98" s="79">
        <f t="shared" si="62"/>
        <v>-4141.3000000000029</v>
      </c>
      <c r="AO98" s="79">
        <f t="shared" si="62"/>
        <v>1271.3700000000026</v>
      </c>
      <c r="AP98" s="79">
        <f t="shared" si="62"/>
        <v>4454.760000000002</v>
      </c>
      <c r="AQ98" s="79">
        <f t="shared" si="62"/>
        <v>-12165.009999999995</v>
      </c>
      <c r="AR98" s="79">
        <f t="shared" si="62"/>
        <v>15940.11</v>
      </c>
      <c r="AS98" s="79">
        <f t="shared" si="62"/>
        <v>15542.830000000016</v>
      </c>
      <c r="AT98" s="79">
        <f t="shared" si="62"/>
        <v>-13165.119999999995</v>
      </c>
    </row>
    <row r="99" spans="1:46" x14ac:dyDescent="0.25">
      <c r="A99" s="4"/>
      <c r="B99" s="35" t="s">
        <v>37</v>
      </c>
      <c r="C99" s="341">
        <v>13581.98</v>
      </c>
      <c r="D99" s="342">
        <v>9607</v>
      </c>
      <c r="E99" s="342">
        <v>5084.55</v>
      </c>
      <c r="F99" s="342">
        <v>2990.51</v>
      </c>
      <c r="G99" s="342">
        <v>2900.88</v>
      </c>
      <c r="H99" s="342">
        <v>2701.9</v>
      </c>
      <c r="I99" s="342">
        <v>2814.98</v>
      </c>
      <c r="J99" s="342">
        <v>5224</v>
      </c>
      <c r="K99" s="342">
        <v>9379.4599999999991</v>
      </c>
      <c r="L99" s="344">
        <v>12396.24</v>
      </c>
      <c r="M99" s="346">
        <v>15335.48</v>
      </c>
      <c r="N99" s="350">
        <v>13625.86</v>
      </c>
      <c r="O99" s="342">
        <v>12010.88</v>
      </c>
      <c r="P99" s="342">
        <v>11024.85</v>
      </c>
      <c r="Q99" s="342">
        <v>5190.42</v>
      </c>
      <c r="R99" s="342">
        <v>3362.07</v>
      </c>
      <c r="S99" s="342">
        <v>2822.99</v>
      </c>
      <c r="T99" s="342">
        <v>2821.47</v>
      </c>
      <c r="U99" s="346">
        <v>3612.95</v>
      </c>
      <c r="V99" s="350">
        <v>4452.34</v>
      </c>
      <c r="W99" s="346">
        <v>9473.7999999999993</v>
      </c>
      <c r="X99" s="351">
        <v>17007.11</v>
      </c>
      <c r="Y99" s="360">
        <v>13016.44</v>
      </c>
      <c r="Z99" s="360">
        <v>15108.74</v>
      </c>
      <c r="AA99" s="342"/>
      <c r="AB99" s="342"/>
      <c r="AC99" s="342"/>
      <c r="AD99" s="342"/>
      <c r="AE99" s="342"/>
      <c r="AF99" s="342"/>
      <c r="AG99" s="346"/>
      <c r="AH99" s="350"/>
      <c r="AI99" s="350"/>
      <c r="AJ99" s="350"/>
      <c r="AK99" s="79">
        <f t="shared" ref="AK99:AK102" si="63">C99-O99</f>
        <v>1571.1000000000004</v>
      </c>
      <c r="AL99" s="79">
        <f t="shared" ref="AL99:AT102" si="64">D99-P99</f>
        <v>-1417.8500000000004</v>
      </c>
      <c r="AM99" s="79">
        <f t="shared" si="64"/>
        <v>-105.86999999999989</v>
      </c>
      <c r="AN99" s="79">
        <f t="shared" si="64"/>
        <v>-371.55999999999995</v>
      </c>
      <c r="AO99" s="79">
        <f t="shared" si="64"/>
        <v>77.890000000000327</v>
      </c>
      <c r="AP99" s="79">
        <f t="shared" si="64"/>
        <v>-119.56999999999971</v>
      </c>
      <c r="AQ99" s="79">
        <f t="shared" si="64"/>
        <v>-797.9699999999998</v>
      </c>
      <c r="AR99" s="79">
        <f t="shared" si="64"/>
        <v>771.65999999999985</v>
      </c>
      <c r="AS99" s="79">
        <f t="shared" si="64"/>
        <v>-94.340000000000146</v>
      </c>
      <c r="AT99" s="79">
        <f t="shared" si="64"/>
        <v>-4610.8700000000008</v>
      </c>
    </row>
    <row r="100" spans="1:46" x14ac:dyDescent="0.25">
      <c r="A100" s="4"/>
      <c r="B100" s="35" t="s">
        <v>38</v>
      </c>
      <c r="C100" s="341">
        <v>122728.26</v>
      </c>
      <c r="D100" s="342">
        <v>72701.86</v>
      </c>
      <c r="E100" s="342">
        <v>34957.949999999997</v>
      </c>
      <c r="F100" s="342">
        <v>21340.31</v>
      </c>
      <c r="G100" s="342">
        <v>20201.32</v>
      </c>
      <c r="H100" s="342">
        <v>20183.310000000001</v>
      </c>
      <c r="I100" s="342">
        <v>19164.45</v>
      </c>
      <c r="J100" s="342">
        <v>30060.639999999999</v>
      </c>
      <c r="K100" s="342">
        <v>55659.15</v>
      </c>
      <c r="L100" s="344">
        <v>85962.240000000005</v>
      </c>
      <c r="M100" s="346">
        <v>102309.03</v>
      </c>
      <c r="N100" s="350">
        <v>84980.29</v>
      </c>
      <c r="O100" s="342">
        <v>66939.490000000005</v>
      </c>
      <c r="P100" s="342">
        <v>50102.51</v>
      </c>
      <c r="Q100" s="342">
        <v>24313.599999999999</v>
      </c>
      <c r="R100" s="342">
        <v>17206.419999999998</v>
      </c>
      <c r="S100" s="342">
        <v>15466.46</v>
      </c>
      <c r="T100" s="342">
        <v>15760.55</v>
      </c>
      <c r="U100" s="346">
        <v>21939.87</v>
      </c>
      <c r="V100" s="350">
        <v>23020.49</v>
      </c>
      <c r="W100" s="346">
        <v>47388.08</v>
      </c>
      <c r="X100" s="351">
        <v>85680.89</v>
      </c>
      <c r="Y100" s="360">
        <v>68215.12</v>
      </c>
      <c r="Z100" s="360">
        <v>83690.14</v>
      </c>
      <c r="AA100" s="342"/>
      <c r="AB100" s="342"/>
      <c r="AC100" s="342"/>
      <c r="AD100" s="342"/>
      <c r="AE100" s="342"/>
      <c r="AF100" s="342"/>
      <c r="AG100" s="346"/>
      <c r="AH100" s="350"/>
      <c r="AI100" s="350"/>
      <c r="AJ100" s="350"/>
      <c r="AK100" s="79">
        <f t="shared" si="63"/>
        <v>55788.76999999999</v>
      </c>
      <c r="AL100" s="79">
        <f t="shared" si="64"/>
        <v>22599.35</v>
      </c>
      <c r="AM100" s="79">
        <f t="shared" si="64"/>
        <v>10644.349999999999</v>
      </c>
      <c r="AN100" s="79">
        <f t="shared" si="64"/>
        <v>4133.8900000000031</v>
      </c>
      <c r="AO100" s="79">
        <f t="shared" si="64"/>
        <v>4734.8600000000006</v>
      </c>
      <c r="AP100" s="79">
        <f t="shared" si="64"/>
        <v>4422.760000000002</v>
      </c>
      <c r="AQ100" s="79">
        <f t="shared" si="64"/>
        <v>-2775.4199999999983</v>
      </c>
      <c r="AR100" s="79">
        <f t="shared" si="64"/>
        <v>7040.1499999999978</v>
      </c>
      <c r="AS100" s="79">
        <f t="shared" si="64"/>
        <v>8271.07</v>
      </c>
      <c r="AT100" s="79">
        <f t="shared" si="64"/>
        <v>281.35000000000582</v>
      </c>
    </row>
    <row r="101" spans="1:46" x14ac:dyDescent="0.25">
      <c r="A101" s="4"/>
      <c r="B101" s="35" t="s">
        <v>39</v>
      </c>
      <c r="C101" s="341"/>
      <c r="D101" s="342"/>
      <c r="E101" s="342"/>
      <c r="F101" s="342"/>
      <c r="G101" s="342"/>
      <c r="H101" s="342"/>
      <c r="I101" s="342"/>
      <c r="J101" s="342"/>
      <c r="K101" s="342"/>
      <c r="L101" s="344"/>
      <c r="M101" s="346"/>
      <c r="N101" s="350"/>
      <c r="O101" s="342"/>
      <c r="P101" s="342"/>
      <c r="Q101" s="342"/>
      <c r="R101" s="342"/>
      <c r="S101" s="342"/>
      <c r="T101" s="342"/>
      <c r="U101" s="346"/>
      <c r="V101" s="350"/>
      <c r="W101" s="346"/>
      <c r="X101" s="351"/>
      <c r="Y101" s="360"/>
      <c r="Z101" s="360"/>
      <c r="AA101" s="342"/>
      <c r="AB101" s="342"/>
      <c r="AC101" s="342"/>
      <c r="AD101" s="342"/>
      <c r="AE101" s="342"/>
      <c r="AF101" s="342"/>
      <c r="AG101" s="346"/>
      <c r="AH101" s="350"/>
      <c r="AI101" s="350"/>
      <c r="AJ101" s="350"/>
      <c r="AK101" s="79">
        <f t="shared" si="63"/>
        <v>0</v>
      </c>
      <c r="AL101" s="79">
        <f t="shared" si="64"/>
        <v>0</v>
      </c>
      <c r="AM101" s="79">
        <f t="shared" si="64"/>
        <v>0</v>
      </c>
      <c r="AN101" s="79">
        <f t="shared" si="64"/>
        <v>0</v>
      </c>
      <c r="AO101" s="79">
        <f t="shared" si="64"/>
        <v>0</v>
      </c>
      <c r="AP101" s="79">
        <f t="shared" si="64"/>
        <v>0</v>
      </c>
      <c r="AQ101" s="79">
        <f t="shared" si="64"/>
        <v>0</v>
      </c>
      <c r="AR101" s="79">
        <f t="shared" si="64"/>
        <v>0</v>
      </c>
      <c r="AS101" s="79">
        <f t="shared" si="64"/>
        <v>0</v>
      </c>
      <c r="AT101" s="79">
        <f t="shared" si="64"/>
        <v>0</v>
      </c>
    </row>
    <row r="102" spans="1:46" x14ac:dyDescent="0.25">
      <c r="A102" s="4"/>
      <c r="B102" s="35" t="s">
        <v>65</v>
      </c>
      <c r="C102" s="341">
        <v>18564.060000000001</v>
      </c>
      <c r="D102" s="342">
        <v>10474.629999999999</v>
      </c>
      <c r="E102" s="342">
        <v>3427.51</v>
      </c>
      <c r="F102" s="342">
        <v>161.21</v>
      </c>
      <c r="G102" s="342">
        <v>0</v>
      </c>
      <c r="H102" s="342">
        <v>0</v>
      </c>
      <c r="I102" s="342">
        <v>2098.12</v>
      </c>
      <c r="J102" s="342">
        <v>14756.12</v>
      </c>
      <c r="K102" s="342">
        <v>30843.78</v>
      </c>
      <c r="L102" s="344">
        <v>42691.92</v>
      </c>
      <c r="M102" s="346">
        <v>53813.94</v>
      </c>
      <c r="N102" s="350">
        <v>43902.54</v>
      </c>
      <c r="O102" s="342">
        <v>27816.73</v>
      </c>
      <c r="P102" s="342">
        <v>7830.5</v>
      </c>
      <c r="Q102" s="342">
        <v>1629.11</v>
      </c>
      <c r="R102" s="342">
        <v>1328.1</v>
      </c>
      <c r="S102" s="342">
        <v>177.39</v>
      </c>
      <c r="T102" s="342">
        <v>294.79000000000002</v>
      </c>
      <c r="U102" s="346">
        <v>1938.1</v>
      </c>
      <c r="V102" s="350">
        <v>10253.629999999999</v>
      </c>
      <c r="W102" s="346">
        <v>33068.550000000003</v>
      </c>
      <c r="X102" s="351">
        <v>54115.040000000001</v>
      </c>
      <c r="Y102" s="360">
        <v>41575.24</v>
      </c>
      <c r="Z102" s="360">
        <v>31966.91</v>
      </c>
      <c r="AA102" s="342"/>
      <c r="AB102" s="342"/>
      <c r="AC102" s="342"/>
      <c r="AD102" s="342"/>
      <c r="AE102" s="342"/>
      <c r="AF102" s="342"/>
      <c r="AG102" s="346"/>
      <c r="AH102" s="350"/>
      <c r="AI102" s="350"/>
      <c r="AJ102" s="350"/>
      <c r="AK102" s="79">
        <f t="shared" si="63"/>
        <v>-9252.6699999999983</v>
      </c>
      <c r="AL102" s="79">
        <f t="shared" si="64"/>
        <v>2644.1299999999992</v>
      </c>
      <c r="AM102" s="79">
        <f t="shared" si="64"/>
        <v>1798.4000000000003</v>
      </c>
      <c r="AN102" s="79">
        <f t="shared" si="64"/>
        <v>-1166.8899999999999</v>
      </c>
      <c r="AO102" s="79">
        <f t="shared" si="64"/>
        <v>-177.39</v>
      </c>
      <c r="AP102" s="79">
        <f t="shared" si="64"/>
        <v>-294.79000000000002</v>
      </c>
      <c r="AQ102" s="79">
        <f t="shared" si="64"/>
        <v>160.01999999999998</v>
      </c>
      <c r="AR102" s="79">
        <f t="shared" si="64"/>
        <v>4502.4900000000016</v>
      </c>
      <c r="AS102" s="79">
        <f t="shared" si="64"/>
        <v>-2224.7700000000041</v>
      </c>
      <c r="AT102" s="79">
        <f t="shared" si="64"/>
        <v>-11423.120000000003</v>
      </c>
    </row>
    <row r="103" spans="1:46" x14ac:dyDescent="0.25">
      <c r="A103" s="4"/>
      <c r="B103" s="35" t="s">
        <v>41</v>
      </c>
      <c r="C103" s="356">
        <v>445058.65</v>
      </c>
      <c r="D103" s="357">
        <v>266478.07</v>
      </c>
      <c r="E103" s="357">
        <v>136516.57999999999</v>
      </c>
      <c r="F103" s="357">
        <v>80741.77</v>
      </c>
      <c r="G103" s="357">
        <v>73816.52</v>
      </c>
      <c r="H103" s="357">
        <v>76470.399999999994</v>
      </c>
      <c r="I103" s="357">
        <v>77954.47</v>
      </c>
      <c r="J103" s="357">
        <v>145580.51999999999</v>
      </c>
      <c r="K103" s="357">
        <v>279192.12</v>
      </c>
      <c r="L103" s="358">
        <v>419190</v>
      </c>
      <c r="M103" s="365">
        <v>495445.49</v>
      </c>
      <c r="N103" s="363">
        <v>414566.85</v>
      </c>
      <c r="O103" s="357">
        <v>333624.81</v>
      </c>
      <c r="P103" s="357">
        <v>262890.55</v>
      </c>
      <c r="Q103" s="357">
        <v>122366.45</v>
      </c>
      <c r="R103" s="357">
        <v>82287.63</v>
      </c>
      <c r="S103" s="357">
        <v>67909.789999999994</v>
      </c>
      <c r="T103" s="357">
        <v>68007.240000000005</v>
      </c>
      <c r="U103" s="365">
        <v>93532.85</v>
      </c>
      <c r="V103" s="363">
        <v>117326.11</v>
      </c>
      <c r="W103" s="365">
        <v>257697.33</v>
      </c>
      <c r="X103" s="364">
        <v>448107.76</v>
      </c>
      <c r="Y103" s="359">
        <v>376063.09</v>
      </c>
      <c r="Z103" s="359">
        <f>SUM(Z98:Z102)</f>
        <v>408095.07999999996</v>
      </c>
      <c r="AA103" s="357"/>
      <c r="AB103" s="357"/>
      <c r="AC103" s="357"/>
      <c r="AD103" s="357"/>
      <c r="AE103" s="357"/>
      <c r="AF103" s="357"/>
      <c r="AG103" s="365"/>
      <c r="AH103" s="350"/>
      <c r="AI103" s="350"/>
      <c r="AJ103" s="350"/>
      <c r="AK103" s="89">
        <f t="shared" ref="AK103:AT103" si="65">SUM(AK98:AK102)</f>
        <v>111433.83999999998</v>
      </c>
      <c r="AL103" s="89">
        <f t="shared" si="65"/>
        <v>3587.5199999999841</v>
      </c>
      <c r="AM103" s="89">
        <f t="shared" si="65"/>
        <v>14150.13</v>
      </c>
      <c r="AN103" s="89">
        <f t="shared" si="65"/>
        <v>-1545.8599999999992</v>
      </c>
      <c r="AO103" s="89">
        <f t="shared" si="65"/>
        <v>5906.7300000000032</v>
      </c>
      <c r="AP103" s="89">
        <f t="shared" si="65"/>
        <v>8463.1600000000035</v>
      </c>
      <c r="AQ103" s="89">
        <f t="shared" si="65"/>
        <v>-15578.379999999992</v>
      </c>
      <c r="AR103" s="89">
        <f t="shared" si="65"/>
        <v>28254.41</v>
      </c>
      <c r="AS103" s="89">
        <f t="shared" si="65"/>
        <v>21494.790000000012</v>
      </c>
      <c r="AT103" s="98">
        <f t="shared" si="65"/>
        <v>-28917.759999999995</v>
      </c>
    </row>
    <row r="104" spans="1:46" x14ac:dyDescent="0.25">
      <c r="A104" s="4">
        <f>+A97+1</f>
        <v>12</v>
      </c>
      <c r="B104" s="42" t="s">
        <v>45</v>
      </c>
      <c r="C104" s="158"/>
      <c r="D104" s="93"/>
      <c r="E104" s="93"/>
      <c r="F104" s="93"/>
      <c r="G104" s="93"/>
      <c r="H104" s="93"/>
      <c r="I104" s="93"/>
      <c r="J104" s="93"/>
      <c r="K104" s="93"/>
      <c r="L104" s="168"/>
      <c r="M104" s="323"/>
      <c r="N104" s="91"/>
      <c r="O104" s="93"/>
      <c r="P104" s="93"/>
      <c r="Q104" s="93"/>
      <c r="R104" s="93"/>
      <c r="S104" s="93"/>
      <c r="T104" s="93"/>
      <c r="U104" s="323"/>
      <c r="V104" s="91"/>
      <c r="W104" s="323"/>
      <c r="X104" s="92"/>
      <c r="Y104" s="360"/>
      <c r="Z104" s="360"/>
      <c r="AA104" s="93"/>
      <c r="AB104" s="93"/>
      <c r="AC104" s="93"/>
      <c r="AD104" s="93"/>
      <c r="AE104" s="93"/>
      <c r="AF104" s="93"/>
      <c r="AG104" s="473"/>
      <c r="AH104" s="435"/>
      <c r="AI104" s="435"/>
      <c r="AJ104" s="258"/>
      <c r="AK104" s="93"/>
      <c r="AL104" s="93"/>
      <c r="AM104" s="93"/>
      <c r="AN104" s="93"/>
      <c r="AO104" s="93"/>
      <c r="AP104" s="93"/>
      <c r="AQ104" s="92"/>
      <c r="AR104" s="315"/>
      <c r="AS104" s="315"/>
      <c r="AT104" s="315"/>
    </row>
    <row r="105" spans="1:46" x14ac:dyDescent="0.25">
      <c r="A105" s="4"/>
      <c r="B105" s="35" t="s">
        <v>36</v>
      </c>
      <c r="C105" s="190"/>
      <c r="D105" s="191"/>
      <c r="E105" s="191"/>
      <c r="F105" s="191"/>
      <c r="G105" s="191"/>
      <c r="H105" s="191"/>
      <c r="I105" s="191"/>
      <c r="J105" s="191"/>
      <c r="K105" s="191"/>
      <c r="L105" s="192"/>
      <c r="M105" s="324"/>
      <c r="N105" s="482"/>
      <c r="O105" s="191"/>
      <c r="P105" s="191"/>
      <c r="Q105" s="191"/>
      <c r="R105" s="191"/>
      <c r="S105" s="191"/>
      <c r="T105" s="191"/>
      <c r="U105" s="324"/>
      <c r="V105" s="482"/>
      <c r="W105" s="324"/>
      <c r="X105" s="194"/>
      <c r="Y105" s="360"/>
      <c r="Z105" s="360"/>
      <c r="AA105" s="83"/>
      <c r="AB105" s="83"/>
      <c r="AC105" s="83"/>
      <c r="AD105" s="83"/>
      <c r="AE105" s="83"/>
      <c r="AF105" s="83"/>
      <c r="AG105" s="256"/>
      <c r="AH105" s="437"/>
      <c r="AI105" s="437"/>
      <c r="AJ105" s="82"/>
      <c r="AK105" s="83">
        <f t="shared" ref="AK105:AT105" si="66">C105-O105</f>
        <v>0</v>
      </c>
      <c r="AL105" s="83">
        <f t="shared" si="66"/>
        <v>0</v>
      </c>
      <c r="AM105" s="83">
        <f t="shared" si="66"/>
        <v>0</v>
      </c>
      <c r="AN105" s="83">
        <f t="shared" si="66"/>
        <v>0</v>
      </c>
      <c r="AO105" s="83">
        <f t="shared" si="66"/>
        <v>0</v>
      </c>
      <c r="AP105" s="83">
        <f t="shared" si="66"/>
        <v>0</v>
      </c>
      <c r="AQ105" s="83">
        <f t="shared" si="66"/>
        <v>0</v>
      </c>
      <c r="AR105" s="83">
        <f t="shared" si="66"/>
        <v>0</v>
      </c>
      <c r="AS105" s="83">
        <f t="shared" si="66"/>
        <v>0</v>
      </c>
      <c r="AT105" s="83">
        <f t="shared" si="66"/>
        <v>0</v>
      </c>
    </row>
    <row r="106" spans="1:46" x14ac:dyDescent="0.25">
      <c r="A106" s="4"/>
      <c r="B106" s="35" t="s">
        <v>37</v>
      </c>
      <c r="C106" s="190"/>
      <c r="D106" s="191"/>
      <c r="E106" s="191"/>
      <c r="F106" s="191"/>
      <c r="G106" s="191"/>
      <c r="H106" s="191"/>
      <c r="I106" s="191"/>
      <c r="J106" s="191"/>
      <c r="K106" s="191"/>
      <c r="L106" s="192"/>
      <c r="M106" s="324"/>
      <c r="N106" s="482"/>
      <c r="O106" s="191"/>
      <c r="P106" s="191"/>
      <c r="Q106" s="191"/>
      <c r="R106" s="191"/>
      <c r="S106" s="191"/>
      <c r="T106" s="191"/>
      <c r="U106" s="324"/>
      <c r="V106" s="482"/>
      <c r="W106" s="324"/>
      <c r="X106" s="194"/>
      <c r="Y106" s="360"/>
      <c r="Z106" s="360"/>
      <c r="AA106" s="83"/>
      <c r="AB106" s="83"/>
      <c r="AC106" s="83"/>
      <c r="AD106" s="83"/>
      <c r="AE106" s="83"/>
      <c r="AF106" s="83"/>
      <c r="AG106" s="256"/>
      <c r="AH106" s="437"/>
      <c r="AI106" s="437"/>
      <c r="AJ106" s="82"/>
      <c r="AK106" s="83">
        <f t="shared" ref="AK106:AK109" si="67">C106-O106</f>
        <v>0</v>
      </c>
      <c r="AL106" s="83">
        <f t="shared" ref="AL106:AL109" si="68">D106-P106</f>
        <v>0</v>
      </c>
      <c r="AM106" s="83">
        <f t="shared" ref="AM106:AM109" si="69">E106-Q106</f>
        <v>0</v>
      </c>
      <c r="AN106" s="83">
        <f t="shared" ref="AN106:AN109" si="70">F106-R106</f>
        <v>0</v>
      </c>
      <c r="AO106" s="83">
        <f t="shared" ref="AO106:AO109" si="71">G106-S106</f>
        <v>0</v>
      </c>
      <c r="AP106" s="83">
        <f t="shared" ref="AP106:AP109" si="72">H106-T106</f>
        <v>0</v>
      </c>
      <c r="AQ106" s="83">
        <f t="shared" ref="AQ106:AQ109" si="73">I106-U106</f>
        <v>0</v>
      </c>
      <c r="AR106" s="83">
        <f t="shared" ref="AR106:AR109" si="74">J106-V106</f>
        <v>0</v>
      </c>
      <c r="AS106" s="83">
        <f t="shared" ref="AS106:AS109" si="75">K106-W106</f>
        <v>0</v>
      </c>
      <c r="AT106" s="83">
        <f t="shared" ref="AT106:AT109" si="76">L106-X106</f>
        <v>0</v>
      </c>
    </row>
    <row r="107" spans="1:46" x14ac:dyDescent="0.25">
      <c r="A107" s="4"/>
      <c r="B107" s="35" t="s">
        <v>38</v>
      </c>
      <c r="C107" s="190"/>
      <c r="D107" s="191"/>
      <c r="E107" s="191"/>
      <c r="F107" s="191"/>
      <c r="G107" s="191"/>
      <c r="H107" s="191"/>
      <c r="I107" s="191"/>
      <c r="J107" s="191"/>
      <c r="K107" s="191"/>
      <c r="L107" s="192"/>
      <c r="M107" s="324"/>
      <c r="N107" s="482"/>
      <c r="O107" s="191"/>
      <c r="P107" s="191"/>
      <c r="Q107" s="191"/>
      <c r="R107" s="191"/>
      <c r="S107" s="191"/>
      <c r="T107" s="191"/>
      <c r="U107" s="324"/>
      <c r="V107" s="482"/>
      <c r="W107" s="324"/>
      <c r="X107" s="194"/>
      <c r="Y107" s="360"/>
      <c r="Z107" s="360"/>
      <c r="AA107" s="83"/>
      <c r="AB107" s="83"/>
      <c r="AC107" s="83"/>
      <c r="AD107" s="83"/>
      <c r="AE107" s="83"/>
      <c r="AF107" s="83"/>
      <c r="AG107" s="256"/>
      <c r="AH107" s="437"/>
      <c r="AI107" s="437"/>
      <c r="AJ107" s="82"/>
      <c r="AK107" s="83">
        <f t="shared" si="67"/>
        <v>0</v>
      </c>
      <c r="AL107" s="83">
        <f t="shared" si="68"/>
        <v>0</v>
      </c>
      <c r="AM107" s="83">
        <f t="shared" si="69"/>
        <v>0</v>
      </c>
      <c r="AN107" s="83">
        <f t="shared" si="70"/>
        <v>0</v>
      </c>
      <c r="AO107" s="83">
        <f t="shared" si="71"/>
        <v>0</v>
      </c>
      <c r="AP107" s="83">
        <f t="shared" si="72"/>
        <v>0</v>
      </c>
      <c r="AQ107" s="83">
        <f t="shared" si="73"/>
        <v>0</v>
      </c>
      <c r="AR107" s="83">
        <f t="shared" si="74"/>
        <v>0</v>
      </c>
      <c r="AS107" s="83">
        <f t="shared" si="75"/>
        <v>0</v>
      </c>
      <c r="AT107" s="83">
        <f t="shared" si="76"/>
        <v>0</v>
      </c>
    </row>
    <row r="108" spans="1:46" x14ac:dyDescent="0.25">
      <c r="A108" s="4"/>
      <c r="B108" s="35" t="s">
        <v>39</v>
      </c>
      <c r="C108" s="190"/>
      <c r="D108" s="191"/>
      <c r="E108" s="191"/>
      <c r="F108" s="191"/>
      <c r="G108" s="191"/>
      <c r="H108" s="191"/>
      <c r="I108" s="191"/>
      <c r="J108" s="191"/>
      <c r="K108" s="191"/>
      <c r="L108" s="192"/>
      <c r="M108" s="324"/>
      <c r="N108" s="482"/>
      <c r="O108" s="191"/>
      <c r="P108" s="191"/>
      <c r="Q108" s="191"/>
      <c r="R108" s="191"/>
      <c r="S108" s="191"/>
      <c r="T108" s="191"/>
      <c r="U108" s="324"/>
      <c r="V108" s="482"/>
      <c r="W108" s="324"/>
      <c r="X108" s="194"/>
      <c r="Y108" s="360"/>
      <c r="Z108" s="360"/>
      <c r="AA108" s="83"/>
      <c r="AB108" s="83"/>
      <c r="AC108" s="83"/>
      <c r="AD108" s="83"/>
      <c r="AE108" s="83"/>
      <c r="AF108" s="83"/>
      <c r="AG108" s="256"/>
      <c r="AH108" s="437"/>
      <c r="AI108" s="437"/>
      <c r="AJ108" s="82"/>
      <c r="AK108" s="83">
        <f t="shared" si="67"/>
        <v>0</v>
      </c>
      <c r="AL108" s="83">
        <f t="shared" si="68"/>
        <v>0</v>
      </c>
      <c r="AM108" s="83">
        <f t="shared" si="69"/>
        <v>0</v>
      </c>
      <c r="AN108" s="83">
        <f t="shared" si="70"/>
        <v>0</v>
      </c>
      <c r="AO108" s="83">
        <f t="shared" si="71"/>
        <v>0</v>
      </c>
      <c r="AP108" s="83">
        <f t="shared" si="72"/>
        <v>0</v>
      </c>
      <c r="AQ108" s="83">
        <f t="shared" si="73"/>
        <v>0</v>
      </c>
      <c r="AR108" s="83">
        <f t="shared" si="74"/>
        <v>0</v>
      </c>
      <c r="AS108" s="83">
        <f t="shared" si="75"/>
        <v>0</v>
      </c>
      <c r="AT108" s="83">
        <f t="shared" si="76"/>
        <v>0</v>
      </c>
    </row>
    <row r="109" spans="1:46" x14ac:dyDescent="0.25">
      <c r="A109" s="4"/>
      <c r="B109" s="35" t="s">
        <v>40</v>
      </c>
      <c r="C109" s="190"/>
      <c r="D109" s="191"/>
      <c r="E109" s="191"/>
      <c r="F109" s="191"/>
      <c r="G109" s="191"/>
      <c r="H109" s="191"/>
      <c r="I109" s="191"/>
      <c r="J109" s="191"/>
      <c r="K109" s="191"/>
      <c r="L109" s="192"/>
      <c r="M109" s="324"/>
      <c r="N109" s="482"/>
      <c r="O109" s="191"/>
      <c r="P109" s="191"/>
      <c r="Q109" s="191"/>
      <c r="R109" s="191"/>
      <c r="S109" s="191"/>
      <c r="T109" s="191"/>
      <c r="U109" s="324"/>
      <c r="V109" s="482"/>
      <c r="W109" s="324"/>
      <c r="X109" s="194"/>
      <c r="Y109" s="360"/>
      <c r="Z109" s="360"/>
      <c r="AA109" s="83"/>
      <c r="AB109" s="83"/>
      <c r="AC109" s="83"/>
      <c r="AD109" s="83"/>
      <c r="AE109" s="83"/>
      <c r="AF109" s="83"/>
      <c r="AG109" s="256"/>
      <c r="AH109" s="437"/>
      <c r="AI109" s="437"/>
      <c r="AJ109" s="82"/>
      <c r="AK109" s="83">
        <f t="shared" si="67"/>
        <v>0</v>
      </c>
      <c r="AL109" s="83">
        <f t="shared" si="68"/>
        <v>0</v>
      </c>
      <c r="AM109" s="83">
        <f t="shared" si="69"/>
        <v>0</v>
      </c>
      <c r="AN109" s="83">
        <f t="shared" si="70"/>
        <v>0</v>
      </c>
      <c r="AO109" s="83">
        <f t="shared" si="71"/>
        <v>0</v>
      </c>
      <c r="AP109" s="83">
        <f t="shared" si="72"/>
        <v>0</v>
      </c>
      <c r="AQ109" s="83">
        <f t="shared" si="73"/>
        <v>0</v>
      </c>
      <c r="AR109" s="83">
        <f t="shared" si="74"/>
        <v>0</v>
      </c>
      <c r="AS109" s="83">
        <f t="shared" si="75"/>
        <v>0</v>
      </c>
      <c r="AT109" s="83">
        <f t="shared" si="76"/>
        <v>0</v>
      </c>
    </row>
    <row r="110" spans="1:46" x14ac:dyDescent="0.25">
      <c r="A110" s="4"/>
      <c r="B110" s="35" t="s">
        <v>41</v>
      </c>
      <c r="C110" s="156"/>
      <c r="D110" s="191"/>
      <c r="E110" s="191"/>
      <c r="F110" s="191"/>
      <c r="G110" s="191"/>
      <c r="H110" s="191"/>
      <c r="I110" s="191"/>
      <c r="J110" s="191"/>
      <c r="K110" s="191"/>
      <c r="L110" s="192"/>
      <c r="M110" s="324"/>
      <c r="N110" s="482"/>
      <c r="O110" s="191"/>
      <c r="P110" s="191"/>
      <c r="Q110" s="191"/>
      <c r="R110" s="191"/>
      <c r="S110" s="191"/>
      <c r="T110" s="191"/>
      <c r="U110" s="324"/>
      <c r="V110" s="482"/>
      <c r="W110" s="324"/>
      <c r="X110" s="194"/>
      <c r="Y110" s="360"/>
      <c r="Z110" s="360"/>
      <c r="AA110" s="191"/>
      <c r="AB110" s="191"/>
      <c r="AC110" s="191"/>
      <c r="AD110" s="191"/>
      <c r="AE110" s="191"/>
      <c r="AF110" s="191"/>
      <c r="AG110" s="501"/>
      <c r="AH110" s="437"/>
      <c r="AI110" s="437"/>
      <c r="AJ110" s="82"/>
      <c r="AK110" s="191">
        <f t="shared" ref="AK110:AQ110" si="77">SUM(AK105:AK109)</f>
        <v>0</v>
      </c>
      <c r="AL110" s="191">
        <f t="shared" si="77"/>
        <v>0</v>
      </c>
      <c r="AM110" s="191">
        <f t="shared" si="77"/>
        <v>0</v>
      </c>
      <c r="AN110" s="191">
        <f t="shared" si="77"/>
        <v>0</v>
      </c>
      <c r="AO110" s="191">
        <f t="shared" si="77"/>
        <v>0</v>
      </c>
      <c r="AP110" s="191">
        <f t="shared" si="77"/>
        <v>0</v>
      </c>
      <c r="AQ110" s="194">
        <f t="shared" si="77"/>
        <v>0</v>
      </c>
      <c r="AR110" s="82">
        <f>P110-AC110</f>
        <v>0</v>
      </c>
      <c r="AS110" s="82">
        <f>Q110-AD110</f>
        <v>0</v>
      </c>
      <c r="AT110" s="256">
        <f>R110-AE110</f>
        <v>0</v>
      </c>
    </row>
    <row r="111" spans="1:46" x14ac:dyDescent="0.25">
      <c r="A111" s="4">
        <f>+A104+1</f>
        <v>13</v>
      </c>
      <c r="B111" s="43" t="s">
        <v>43</v>
      </c>
      <c r="C111" s="90"/>
      <c r="D111" s="91"/>
      <c r="E111" s="91"/>
      <c r="F111" s="91"/>
      <c r="G111" s="91"/>
      <c r="H111" s="91"/>
      <c r="I111" s="91"/>
      <c r="J111" s="91"/>
      <c r="K111" s="91"/>
      <c r="L111" s="92"/>
      <c r="M111" s="323"/>
      <c r="N111" s="91"/>
      <c r="O111" s="93"/>
      <c r="P111" s="91"/>
      <c r="Q111" s="91"/>
      <c r="R111" s="91"/>
      <c r="S111" s="91"/>
      <c r="T111" s="91"/>
      <c r="U111" s="473"/>
      <c r="V111" s="91"/>
      <c r="W111" s="323"/>
      <c r="X111" s="92"/>
      <c r="Y111" s="360"/>
      <c r="Z111" s="360"/>
      <c r="AA111" s="85"/>
      <c r="AB111" s="94"/>
      <c r="AC111" s="95"/>
      <c r="AD111" s="95"/>
      <c r="AE111" s="95"/>
      <c r="AF111" s="95"/>
      <c r="AG111" s="502"/>
      <c r="AH111" s="212"/>
      <c r="AI111" s="212"/>
      <c r="AJ111" s="468"/>
      <c r="AK111" s="85"/>
      <c r="AL111" s="94"/>
      <c r="AM111" s="95"/>
      <c r="AN111" s="95"/>
      <c r="AO111" s="95"/>
      <c r="AP111" s="95"/>
      <c r="AQ111" s="96"/>
      <c r="AR111" s="231"/>
      <c r="AS111" s="231"/>
      <c r="AT111" s="231"/>
    </row>
    <row r="112" spans="1:46" x14ac:dyDescent="0.25">
      <c r="A112" s="4"/>
      <c r="B112" s="35" t="s">
        <v>36</v>
      </c>
      <c r="C112" s="341">
        <v>290184.34999999998</v>
      </c>
      <c r="D112" s="342">
        <v>173694.58</v>
      </c>
      <c r="E112" s="342">
        <v>93046.57</v>
      </c>
      <c r="F112" s="342">
        <v>56249.74</v>
      </c>
      <c r="G112" s="342">
        <v>50714.32</v>
      </c>
      <c r="H112" s="342">
        <v>53585.19</v>
      </c>
      <c r="I112" s="342">
        <v>53876.92</v>
      </c>
      <c r="J112" s="342">
        <v>95539.76</v>
      </c>
      <c r="K112" s="342">
        <v>183309.73</v>
      </c>
      <c r="L112" s="344">
        <v>278139.59999999998</v>
      </c>
      <c r="M112" s="346">
        <v>323987.03999999998</v>
      </c>
      <c r="N112" s="350">
        <v>272058.15999999997</v>
      </c>
      <c r="O112" s="342">
        <v>226857.71</v>
      </c>
      <c r="P112" s="342">
        <v>193932.69</v>
      </c>
      <c r="Q112" s="342">
        <v>91233.32</v>
      </c>
      <c r="R112" s="342">
        <v>60391.040000000001</v>
      </c>
      <c r="S112" s="342">
        <v>49442.95</v>
      </c>
      <c r="T112" s="342">
        <v>49130.43</v>
      </c>
      <c r="U112" s="346">
        <v>66041.929999999993</v>
      </c>
      <c r="V112" s="350">
        <v>79599.649999999994</v>
      </c>
      <c r="W112" s="346">
        <v>167766.9</v>
      </c>
      <c r="X112" s="351">
        <v>291304.71999999997</v>
      </c>
      <c r="Y112" s="360">
        <v>253256.29</v>
      </c>
      <c r="Z112" s="360">
        <v>277329.28999999998</v>
      </c>
      <c r="AA112" s="89"/>
      <c r="AB112" s="89"/>
      <c r="AC112" s="89"/>
      <c r="AD112" s="89"/>
      <c r="AE112" s="89"/>
      <c r="AF112" s="89"/>
      <c r="AG112" s="259"/>
      <c r="AH112" s="77"/>
      <c r="AI112" s="77"/>
      <c r="AJ112" s="78"/>
      <c r="AK112" s="89">
        <f t="shared" ref="AK112:AT112" si="78">C112-O112</f>
        <v>63326.639999999985</v>
      </c>
      <c r="AL112" s="89">
        <f t="shared" si="78"/>
        <v>-20238.110000000015</v>
      </c>
      <c r="AM112" s="89">
        <f t="shared" si="78"/>
        <v>1813.25</v>
      </c>
      <c r="AN112" s="89">
        <f t="shared" si="78"/>
        <v>-4141.3000000000029</v>
      </c>
      <c r="AO112" s="89">
        <f t="shared" si="78"/>
        <v>1271.3700000000026</v>
      </c>
      <c r="AP112" s="89">
        <f t="shared" si="78"/>
        <v>4454.760000000002</v>
      </c>
      <c r="AQ112" s="89">
        <f t="shared" si="78"/>
        <v>-12165.009999999995</v>
      </c>
      <c r="AR112" s="89">
        <f t="shared" si="78"/>
        <v>15940.11</v>
      </c>
      <c r="AS112" s="89">
        <f t="shared" si="78"/>
        <v>15542.830000000016</v>
      </c>
      <c r="AT112" s="89">
        <f t="shared" si="78"/>
        <v>-13165.119999999995</v>
      </c>
    </row>
    <row r="113" spans="1:46" x14ac:dyDescent="0.25">
      <c r="A113" s="4"/>
      <c r="B113" s="35" t="s">
        <v>37</v>
      </c>
      <c r="C113" s="341">
        <v>13581.98</v>
      </c>
      <c r="D113" s="342">
        <v>9607</v>
      </c>
      <c r="E113" s="342">
        <v>5084.55</v>
      </c>
      <c r="F113" s="342">
        <v>2990.51</v>
      </c>
      <c r="G113" s="342">
        <v>2900.88</v>
      </c>
      <c r="H113" s="342">
        <v>2701.9</v>
      </c>
      <c r="I113" s="342">
        <v>2814.98</v>
      </c>
      <c r="J113" s="342">
        <v>5224</v>
      </c>
      <c r="K113" s="342">
        <v>9379.4599999999991</v>
      </c>
      <c r="L113" s="344">
        <v>12396.24</v>
      </c>
      <c r="M113" s="346">
        <v>15335.48</v>
      </c>
      <c r="N113" s="350">
        <v>13625.86</v>
      </c>
      <c r="O113" s="342">
        <v>12010.88</v>
      </c>
      <c r="P113" s="342">
        <v>11024.85</v>
      </c>
      <c r="Q113" s="342">
        <v>5190.42</v>
      </c>
      <c r="R113" s="342">
        <v>3362.07</v>
      </c>
      <c r="S113" s="342">
        <v>2822.99</v>
      </c>
      <c r="T113" s="342">
        <v>2821.47</v>
      </c>
      <c r="U113" s="346">
        <v>3612.95</v>
      </c>
      <c r="V113" s="350">
        <v>4452.34</v>
      </c>
      <c r="W113" s="346">
        <v>9473.7999999999993</v>
      </c>
      <c r="X113" s="351">
        <v>17007.11</v>
      </c>
      <c r="Y113" s="360">
        <v>13016.44</v>
      </c>
      <c r="Z113" s="360">
        <v>15108.74</v>
      </c>
      <c r="AA113" s="89"/>
      <c r="AB113" s="89"/>
      <c r="AC113" s="89"/>
      <c r="AD113" s="89"/>
      <c r="AE113" s="89"/>
      <c r="AF113" s="89"/>
      <c r="AG113" s="259"/>
      <c r="AH113" s="77"/>
      <c r="AI113" s="77"/>
      <c r="AJ113" s="78"/>
      <c r="AK113" s="89">
        <f t="shared" ref="AK113:AK116" si="79">C113-O113</f>
        <v>1571.1000000000004</v>
      </c>
      <c r="AL113" s="89">
        <f t="shared" ref="AL113:AL116" si="80">D113-P113</f>
        <v>-1417.8500000000004</v>
      </c>
      <c r="AM113" s="89">
        <f t="shared" ref="AM113:AM116" si="81">E113-Q113</f>
        <v>-105.86999999999989</v>
      </c>
      <c r="AN113" s="89">
        <f t="shared" ref="AN113:AN116" si="82">F113-R113</f>
        <v>-371.55999999999995</v>
      </c>
      <c r="AO113" s="89">
        <f t="shared" ref="AO113:AO116" si="83">G113-S113</f>
        <v>77.890000000000327</v>
      </c>
      <c r="AP113" s="89">
        <f t="shared" ref="AP113:AP116" si="84">H113-T113</f>
        <v>-119.56999999999971</v>
      </c>
      <c r="AQ113" s="89">
        <f t="shared" ref="AQ113:AQ116" si="85">I113-U113</f>
        <v>-797.9699999999998</v>
      </c>
      <c r="AR113" s="89">
        <f t="shared" ref="AR113:AR116" si="86">J113-V113</f>
        <v>771.65999999999985</v>
      </c>
      <c r="AS113" s="89">
        <f t="shared" ref="AS113:AS116" si="87">K113-W113</f>
        <v>-94.340000000000146</v>
      </c>
      <c r="AT113" s="89">
        <f t="shared" ref="AT113:AT116" si="88">L113-X113</f>
        <v>-4610.8700000000008</v>
      </c>
    </row>
    <row r="114" spans="1:46" x14ac:dyDescent="0.25">
      <c r="A114" s="4"/>
      <c r="B114" s="35" t="s">
        <v>38</v>
      </c>
      <c r="C114" s="341">
        <v>122728.26</v>
      </c>
      <c r="D114" s="342">
        <v>72701.86</v>
      </c>
      <c r="E114" s="342">
        <v>34957.949999999997</v>
      </c>
      <c r="F114" s="342">
        <v>21340.31</v>
      </c>
      <c r="G114" s="342">
        <v>20201.32</v>
      </c>
      <c r="H114" s="342">
        <v>20183.310000000001</v>
      </c>
      <c r="I114" s="342">
        <v>19164.45</v>
      </c>
      <c r="J114" s="342">
        <v>30060.639999999999</v>
      </c>
      <c r="K114" s="342">
        <v>55659.15</v>
      </c>
      <c r="L114" s="344">
        <v>85962.240000000005</v>
      </c>
      <c r="M114" s="346">
        <v>102309.03</v>
      </c>
      <c r="N114" s="350">
        <v>84980.29</v>
      </c>
      <c r="O114" s="342">
        <v>66939.490000000005</v>
      </c>
      <c r="P114" s="342">
        <v>50102.51</v>
      </c>
      <c r="Q114" s="342">
        <v>24313.599999999999</v>
      </c>
      <c r="R114" s="342">
        <v>17206.419999999998</v>
      </c>
      <c r="S114" s="342">
        <v>15466.46</v>
      </c>
      <c r="T114" s="342">
        <v>15760.55</v>
      </c>
      <c r="U114" s="346">
        <v>21939.87</v>
      </c>
      <c r="V114" s="350">
        <v>23020.49</v>
      </c>
      <c r="W114" s="346">
        <v>47388.08</v>
      </c>
      <c r="X114" s="351">
        <v>85680.89</v>
      </c>
      <c r="Y114" s="360">
        <v>68215.12</v>
      </c>
      <c r="Z114" s="360">
        <v>83690.14</v>
      </c>
      <c r="AA114" s="89"/>
      <c r="AB114" s="89"/>
      <c r="AC114" s="89"/>
      <c r="AD114" s="89"/>
      <c r="AE114" s="89"/>
      <c r="AF114" s="89"/>
      <c r="AG114" s="259"/>
      <c r="AH114" s="77"/>
      <c r="AI114" s="77"/>
      <c r="AJ114" s="78"/>
      <c r="AK114" s="89">
        <f t="shared" si="79"/>
        <v>55788.76999999999</v>
      </c>
      <c r="AL114" s="89">
        <f t="shared" si="80"/>
        <v>22599.35</v>
      </c>
      <c r="AM114" s="89">
        <f t="shared" si="81"/>
        <v>10644.349999999999</v>
      </c>
      <c r="AN114" s="89">
        <f t="shared" si="82"/>
        <v>4133.8900000000031</v>
      </c>
      <c r="AO114" s="89">
        <f t="shared" si="83"/>
        <v>4734.8600000000006</v>
      </c>
      <c r="AP114" s="89">
        <f t="shared" si="84"/>
        <v>4422.760000000002</v>
      </c>
      <c r="AQ114" s="89">
        <f t="shared" si="85"/>
        <v>-2775.4199999999983</v>
      </c>
      <c r="AR114" s="89">
        <f t="shared" si="86"/>
        <v>7040.1499999999978</v>
      </c>
      <c r="AS114" s="89">
        <f t="shared" si="87"/>
        <v>8271.07</v>
      </c>
      <c r="AT114" s="89">
        <f t="shared" si="88"/>
        <v>281.35000000000582</v>
      </c>
    </row>
    <row r="115" spans="1:46" x14ac:dyDescent="0.25">
      <c r="A115" s="4"/>
      <c r="B115" s="35" t="s">
        <v>39</v>
      </c>
      <c r="C115" s="341"/>
      <c r="D115" s="342"/>
      <c r="E115" s="342"/>
      <c r="F115" s="342"/>
      <c r="G115" s="342"/>
      <c r="H115" s="342"/>
      <c r="I115" s="342"/>
      <c r="J115" s="342"/>
      <c r="K115" s="342"/>
      <c r="L115" s="344"/>
      <c r="M115" s="346"/>
      <c r="N115" s="350"/>
      <c r="O115" s="342"/>
      <c r="P115" s="342"/>
      <c r="Q115" s="342"/>
      <c r="R115" s="342"/>
      <c r="S115" s="342"/>
      <c r="T115" s="342"/>
      <c r="U115" s="346"/>
      <c r="V115" s="350"/>
      <c r="W115" s="346"/>
      <c r="X115" s="351"/>
      <c r="Y115" s="360"/>
      <c r="Z115" s="360"/>
      <c r="AA115" s="89"/>
      <c r="AB115" s="89"/>
      <c r="AC115" s="89"/>
      <c r="AD115" s="89"/>
      <c r="AE115" s="89"/>
      <c r="AF115" s="89"/>
      <c r="AG115" s="259"/>
      <c r="AH115" s="77"/>
      <c r="AI115" s="77"/>
      <c r="AJ115" s="78"/>
      <c r="AK115" s="89">
        <f t="shared" si="79"/>
        <v>0</v>
      </c>
      <c r="AL115" s="89">
        <f t="shared" si="80"/>
        <v>0</v>
      </c>
      <c r="AM115" s="89">
        <f t="shared" si="81"/>
        <v>0</v>
      </c>
      <c r="AN115" s="89">
        <f t="shared" si="82"/>
        <v>0</v>
      </c>
      <c r="AO115" s="89">
        <f t="shared" si="83"/>
        <v>0</v>
      </c>
      <c r="AP115" s="89">
        <f t="shared" si="84"/>
        <v>0</v>
      </c>
      <c r="AQ115" s="89">
        <f t="shared" si="85"/>
        <v>0</v>
      </c>
      <c r="AR115" s="89">
        <f t="shared" si="86"/>
        <v>0</v>
      </c>
      <c r="AS115" s="89">
        <f t="shared" si="87"/>
        <v>0</v>
      </c>
      <c r="AT115" s="89">
        <f t="shared" si="88"/>
        <v>0</v>
      </c>
    </row>
    <row r="116" spans="1:46" x14ac:dyDescent="0.25">
      <c r="A116" s="4"/>
      <c r="B116" s="35" t="s">
        <v>65</v>
      </c>
      <c r="C116" s="341">
        <v>18564.060000000001</v>
      </c>
      <c r="D116" s="342">
        <v>10474.629999999999</v>
      </c>
      <c r="E116" s="342">
        <v>3427.51</v>
      </c>
      <c r="F116" s="342">
        <v>161.21</v>
      </c>
      <c r="G116" s="342">
        <v>0</v>
      </c>
      <c r="H116" s="342">
        <v>0</v>
      </c>
      <c r="I116" s="342">
        <v>2098.12</v>
      </c>
      <c r="J116" s="342">
        <v>14756.12</v>
      </c>
      <c r="K116" s="342">
        <v>30843.78</v>
      </c>
      <c r="L116" s="344">
        <v>42691.92</v>
      </c>
      <c r="M116" s="346">
        <v>53813.94</v>
      </c>
      <c r="N116" s="350">
        <v>43902.54</v>
      </c>
      <c r="O116" s="342">
        <v>27816.73</v>
      </c>
      <c r="P116" s="342">
        <v>7830.5</v>
      </c>
      <c r="Q116" s="342">
        <v>1629.11</v>
      </c>
      <c r="R116" s="342">
        <v>1328.1</v>
      </c>
      <c r="S116" s="342">
        <v>177.39</v>
      </c>
      <c r="T116" s="342">
        <v>294.79000000000002</v>
      </c>
      <c r="U116" s="346">
        <v>1938.1</v>
      </c>
      <c r="V116" s="350">
        <v>10253.629999999999</v>
      </c>
      <c r="W116" s="346">
        <v>33068.550000000003</v>
      </c>
      <c r="X116" s="351">
        <v>54115.040000000001</v>
      </c>
      <c r="Y116" s="360">
        <v>41575.24</v>
      </c>
      <c r="Z116" s="360">
        <v>31966.91</v>
      </c>
      <c r="AA116" s="89"/>
      <c r="AB116" s="89"/>
      <c r="AC116" s="89"/>
      <c r="AD116" s="89"/>
      <c r="AE116" s="89"/>
      <c r="AF116" s="89"/>
      <c r="AG116" s="259"/>
      <c r="AH116" s="77"/>
      <c r="AI116" s="77"/>
      <c r="AJ116" s="78"/>
      <c r="AK116" s="89">
        <f t="shared" si="79"/>
        <v>-9252.6699999999983</v>
      </c>
      <c r="AL116" s="89">
        <f t="shared" si="80"/>
        <v>2644.1299999999992</v>
      </c>
      <c r="AM116" s="89">
        <f t="shared" si="81"/>
        <v>1798.4000000000003</v>
      </c>
      <c r="AN116" s="89">
        <f t="shared" si="82"/>
        <v>-1166.8899999999999</v>
      </c>
      <c r="AO116" s="89">
        <f t="shared" si="83"/>
        <v>-177.39</v>
      </c>
      <c r="AP116" s="89">
        <f t="shared" si="84"/>
        <v>-294.79000000000002</v>
      </c>
      <c r="AQ116" s="89">
        <f t="shared" si="85"/>
        <v>160.01999999999998</v>
      </c>
      <c r="AR116" s="89">
        <f t="shared" si="86"/>
        <v>4502.4900000000016</v>
      </c>
      <c r="AS116" s="89">
        <f t="shared" si="87"/>
        <v>-2224.7700000000041</v>
      </c>
      <c r="AT116" s="89">
        <f t="shared" si="88"/>
        <v>-11423.120000000003</v>
      </c>
    </row>
    <row r="117" spans="1:46" ht="15.75" thickBot="1" x14ac:dyDescent="0.3">
      <c r="A117" s="4"/>
      <c r="B117" s="37" t="s">
        <v>41</v>
      </c>
      <c r="C117" s="341">
        <f>SUM(C112:C116)</f>
        <v>445058.64999999997</v>
      </c>
      <c r="D117" s="357">
        <v>266478.07</v>
      </c>
      <c r="E117" s="357">
        <v>136516.57999999999</v>
      </c>
      <c r="F117" s="357">
        <v>80741.77</v>
      </c>
      <c r="G117" s="357">
        <v>73816.52</v>
      </c>
      <c r="H117" s="357">
        <v>76470.399999999994</v>
      </c>
      <c r="I117" s="357">
        <v>77954.47</v>
      </c>
      <c r="J117" s="357">
        <v>145580.51999999999</v>
      </c>
      <c r="K117" s="357">
        <v>279192.12</v>
      </c>
      <c r="L117" s="358">
        <v>419190</v>
      </c>
      <c r="M117" s="365">
        <v>495445.49</v>
      </c>
      <c r="N117" s="363">
        <v>414566.85</v>
      </c>
      <c r="O117" s="357">
        <v>333624.81</v>
      </c>
      <c r="P117" s="357">
        <v>262890.55</v>
      </c>
      <c r="Q117" s="357">
        <v>122366.45</v>
      </c>
      <c r="R117" s="357">
        <v>82287.63</v>
      </c>
      <c r="S117" s="357">
        <v>67909.789999999994</v>
      </c>
      <c r="T117" s="357">
        <v>68007.240000000005</v>
      </c>
      <c r="U117" s="365">
        <v>93532.85</v>
      </c>
      <c r="V117" s="363">
        <v>117326.11</v>
      </c>
      <c r="W117" s="365">
        <v>257697.33</v>
      </c>
      <c r="X117" s="364">
        <v>448107.76</v>
      </c>
      <c r="Y117" s="514">
        <v>376063.09</v>
      </c>
      <c r="Z117" s="360">
        <f>SUM(Z112:Z116)</f>
        <v>408095.07999999996</v>
      </c>
      <c r="AA117" s="81"/>
      <c r="AB117" s="81"/>
      <c r="AC117" s="81"/>
      <c r="AD117" s="81"/>
      <c r="AE117" s="81"/>
      <c r="AF117" s="81"/>
      <c r="AG117" s="263"/>
      <c r="AH117" s="200"/>
      <c r="AI117" s="200"/>
      <c r="AJ117" s="80"/>
      <c r="AK117" s="81">
        <f t="shared" ref="AK117:AT117" si="89">SUM(AK112:AK116)</f>
        <v>111433.83999999998</v>
      </c>
      <c r="AL117" s="81">
        <f t="shared" si="89"/>
        <v>3587.5199999999841</v>
      </c>
      <c r="AM117" s="81">
        <f t="shared" si="89"/>
        <v>14150.13</v>
      </c>
      <c r="AN117" s="81">
        <f t="shared" si="89"/>
        <v>-1545.8599999999992</v>
      </c>
      <c r="AO117" s="81">
        <f t="shared" si="89"/>
        <v>5906.7300000000032</v>
      </c>
      <c r="AP117" s="81">
        <f t="shared" si="89"/>
        <v>8463.1600000000035</v>
      </c>
      <c r="AQ117" s="80">
        <f t="shared" si="89"/>
        <v>-15578.379999999992</v>
      </c>
      <c r="AR117" s="80">
        <f t="shared" si="89"/>
        <v>28254.41</v>
      </c>
      <c r="AS117" s="80">
        <f t="shared" si="89"/>
        <v>21494.790000000012</v>
      </c>
      <c r="AT117" s="263">
        <f t="shared" si="89"/>
        <v>-28917.759999999995</v>
      </c>
    </row>
    <row r="118" spans="1:46" x14ac:dyDescent="0.25">
      <c r="A118" s="4">
        <f>+A111+1</f>
        <v>14</v>
      </c>
      <c r="B118" s="44" t="s">
        <v>35</v>
      </c>
      <c r="C118" s="102"/>
      <c r="D118" s="103"/>
      <c r="E118" s="103"/>
      <c r="F118" s="103"/>
      <c r="G118" s="103"/>
      <c r="H118" s="103"/>
      <c r="I118" s="103"/>
      <c r="J118" s="103"/>
      <c r="K118" s="103"/>
      <c r="L118" s="104"/>
      <c r="M118" s="314"/>
      <c r="N118" s="103"/>
      <c r="O118" s="161"/>
      <c r="P118" s="103"/>
      <c r="Q118" s="103"/>
      <c r="R118" s="103"/>
      <c r="S118" s="103"/>
      <c r="T118" s="103"/>
      <c r="U118" s="474"/>
      <c r="V118" s="103"/>
      <c r="W118" s="314"/>
      <c r="X118" s="104"/>
      <c r="Y118" s="360"/>
      <c r="Z118" s="360"/>
      <c r="AA118" s="161"/>
      <c r="AB118" s="511"/>
      <c r="AC118" s="293"/>
      <c r="AD118" s="293"/>
      <c r="AE118" s="293"/>
      <c r="AF118" s="293"/>
      <c r="AG118" s="294"/>
      <c r="AH118" s="512"/>
      <c r="AI118" s="512"/>
      <c r="AJ118" s="513"/>
      <c r="AK118" s="169"/>
      <c r="AL118" s="105"/>
      <c r="AM118" s="106"/>
      <c r="AN118" s="106"/>
      <c r="AO118" s="106"/>
      <c r="AP118" s="106"/>
      <c r="AQ118" s="107"/>
      <c r="AR118" s="316"/>
      <c r="AS118" s="316"/>
      <c r="AT118" s="316"/>
    </row>
    <row r="119" spans="1:46" s="366" customFormat="1" x14ac:dyDescent="0.25">
      <c r="A119" s="360"/>
      <c r="B119" s="361" t="s">
        <v>36</v>
      </c>
      <c r="C119" s="362">
        <v>312299.93</v>
      </c>
      <c r="D119" s="363">
        <v>306692.46999999997</v>
      </c>
      <c r="E119" s="363">
        <v>208377.03</v>
      </c>
      <c r="F119" s="357">
        <v>133672.04</v>
      </c>
      <c r="G119" s="363">
        <v>93684.800000000003</v>
      </c>
      <c r="H119" s="363">
        <v>69040.89</v>
      </c>
      <c r="I119" s="363">
        <v>66621.649999999994</v>
      </c>
      <c r="J119" s="363">
        <v>69371.039999999994</v>
      </c>
      <c r="K119" s="363">
        <v>94902.36</v>
      </c>
      <c r="L119" s="364">
        <v>165565.26999999999</v>
      </c>
      <c r="M119" s="365">
        <v>261746.59</v>
      </c>
      <c r="N119" s="363">
        <v>275788</v>
      </c>
      <c r="O119" s="357">
        <v>257676.24</v>
      </c>
      <c r="P119" s="363">
        <v>222244.98</v>
      </c>
      <c r="Q119" s="363">
        <v>188608.55</v>
      </c>
      <c r="R119" s="363">
        <v>104872.07</v>
      </c>
      <c r="S119" s="363">
        <v>81013.100000000006</v>
      </c>
      <c r="T119" s="363">
        <v>65935.67</v>
      </c>
      <c r="U119" s="475">
        <v>72072.56</v>
      </c>
      <c r="V119" s="363">
        <v>78692.86</v>
      </c>
      <c r="W119" s="365">
        <v>86940.39</v>
      </c>
      <c r="X119" s="364">
        <v>155853.99</v>
      </c>
      <c r="Y119" s="360">
        <v>241753.86</v>
      </c>
      <c r="Z119" s="360">
        <v>178475.53</v>
      </c>
      <c r="AA119" s="357"/>
      <c r="AB119" s="357"/>
      <c r="AC119" s="357"/>
      <c r="AD119" s="357"/>
      <c r="AE119" s="357"/>
      <c r="AF119" s="357"/>
      <c r="AG119" s="475"/>
      <c r="AH119" s="350"/>
      <c r="AI119" s="350"/>
      <c r="AJ119" s="351"/>
      <c r="AK119" s="89">
        <f t="shared" ref="AK119:AT119" si="90">C119-O119</f>
        <v>54623.69</v>
      </c>
      <c r="AL119" s="89">
        <f t="shared" si="90"/>
        <v>84447.489999999962</v>
      </c>
      <c r="AM119" s="89">
        <f t="shared" si="90"/>
        <v>19768.48000000001</v>
      </c>
      <c r="AN119" s="89">
        <f t="shared" si="90"/>
        <v>28799.97</v>
      </c>
      <c r="AO119" s="89">
        <f t="shared" si="90"/>
        <v>12671.699999999997</v>
      </c>
      <c r="AP119" s="89">
        <f t="shared" si="90"/>
        <v>3105.2200000000012</v>
      </c>
      <c r="AQ119" s="89">
        <f t="shared" si="90"/>
        <v>-5450.9100000000035</v>
      </c>
      <c r="AR119" s="89">
        <f t="shared" si="90"/>
        <v>-9321.820000000007</v>
      </c>
      <c r="AS119" s="89">
        <f t="shared" si="90"/>
        <v>7961.9700000000012</v>
      </c>
      <c r="AT119" s="89">
        <f t="shared" si="90"/>
        <v>9711.2799999999988</v>
      </c>
    </row>
    <row r="120" spans="1:46" s="366" customFormat="1" x14ac:dyDescent="0.25">
      <c r="A120" s="360"/>
      <c r="B120" s="361" t="s">
        <v>37</v>
      </c>
      <c r="C120" s="362">
        <v>25692.12</v>
      </c>
      <c r="D120" s="363">
        <v>30821.72</v>
      </c>
      <c r="E120" s="363">
        <v>12464.11</v>
      </c>
      <c r="F120" s="357">
        <v>11125.44</v>
      </c>
      <c r="G120" s="363">
        <v>4488.04</v>
      </c>
      <c r="H120" s="363">
        <v>4333.3999999999996</v>
      </c>
      <c r="I120" s="363">
        <v>2736.66</v>
      </c>
      <c r="J120" s="363">
        <v>3063.32</v>
      </c>
      <c r="K120" s="363">
        <v>4617.88</v>
      </c>
      <c r="L120" s="364">
        <v>5893.7</v>
      </c>
      <c r="M120" s="365">
        <v>13971</v>
      </c>
      <c r="N120" s="363">
        <v>30047.98</v>
      </c>
      <c r="O120" s="357">
        <v>18215.57</v>
      </c>
      <c r="P120" s="363">
        <v>11964.83</v>
      </c>
      <c r="Q120" s="363">
        <v>7559.42</v>
      </c>
      <c r="R120" s="363">
        <v>3705.66</v>
      </c>
      <c r="S120" s="363">
        <v>3230.64</v>
      </c>
      <c r="T120" s="363">
        <v>8154.27</v>
      </c>
      <c r="U120" s="475">
        <v>3407.25</v>
      </c>
      <c r="V120" s="363">
        <v>2896.3</v>
      </c>
      <c r="W120" s="365">
        <v>3271.6</v>
      </c>
      <c r="X120" s="364">
        <v>5690.18</v>
      </c>
      <c r="Y120" s="360">
        <v>9135.36</v>
      </c>
      <c r="Z120" s="520">
        <v>4767.24</v>
      </c>
      <c r="AA120" s="357"/>
      <c r="AB120" s="357"/>
      <c r="AC120" s="357"/>
      <c r="AD120" s="357"/>
      <c r="AE120" s="357"/>
      <c r="AF120" s="357"/>
      <c r="AG120" s="475"/>
      <c r="AH120" s="350"/>
      <c r="AI120" s="350"/>
      <c r="AJ120" s="351"/>
      <c r="AK120" s="89">
        <f t="shared" ref="AK120:AK123" si="91">C120-O120</f>
        <v>7476.5499999999993</v>
      </c>
      <c r="AL120" s="89">
        <f t="shared" ref="AL120:AL123" si="92">D120-P120</f>
        <v>18856.89</v>
      </c>
      <c r="AM120" s="89">
        <f t="shared" ref="AM120:AM123" si="93">E120-Q120</f>
        <v>4904.6900000000005</v>
      </c>
      <c r="AN120" s="89">
        <f t="shared" ref="AN120:AN123" si="94">F120-R120</f>
        <v>7419.7800000000007</v>
      </c>
      <c r="AO120" s="89">
        <f t="shared" ref="AO120:AO123" si="95">G120-S120</f>
        <v>1257.4000000000001</v>
      </c>
      <c r="AP120" s="89">
        <f t="shared" ref="AP120:AP123" si="96">H120-T120</f>
        <v>-3820.8700000000008</v>
      </c>
      <c r="AQ120" s="89">
        <f t="shared" ref="AQ120:AQ123" si="97">I120-U120</f>
        <v>-670.59000000000015</v>
      </c>
      <c r="AR120" s="89">
        <f t="shared" ref="AR120:AR123" si="98">J120-V120</f>
        <v>167.01999999999998</v>
      </c>
      <c r="AS120" s="89">
        <f t="shared" ref="AS120:AS123" si="99">K120-W120</f>
        <v>1346.2800000000002</v>
      </c>
      <c r="AT120" s="89">
        <f t="shared" ref="AT120:AT123" si="100">L120-X120</f>
        <v>203.51999999999953</v>
      </c>
    </row>
    <row r="121" spans="1:46" s="366" customFormat="1" x14ac:dyDescent="0.25">
      <c r="A121" s="360"/>
      <c r="B121" s="361" t="s">
        <v>38</v>
      </c>
      <c r="C121" s="362">
        <v>121656.59</v>
      </c>
      <c r="D121" s="363">
        <v>97674.32</v>
      </c>
      <c r="E121" s="363">
        <v>58676.23</v>
      </c>
      <c r="F121" s="357">
        <v>32630.57</v>
      </c>
      <c r="G121" s="363">
        <v>22898.16</v>
      </c>
      <c r="H121" s="363">
        <v>27231.54</v>
      </c>
      <c r="I121" s="363">
        <v>20706.919999999998</v>
      </c>
      <c r="J121" s="363">
        <v>20527.82</v>
      </c>
      <c r="K121" s="363">
        <v>29008.78</v>
      </c>
      <c r="L121" s="364">
        <v>57704.68</v>
      </c>
      <c r="M121" s="365">
        <v>87149.67</v>
      </c>
      <c r="N121" s="363">
        <v>98111.29</v>
      </c>
      <c r="O121" s="357">
        <v>86176.3</v>
      </c>
      <c r="P121" s="363">
        <v>64450.22</v>
      </c>
      <c r="Q121" s="363">
        <v>52489.15</v>
      </c>
      <c r="R121" s="363">
        <v>31045.85</v>
      </c>
      <c r="S121" s="363">
        <v>20841.48</v>
      </c>
      <c r="T121" s="363">
        <v>15772.39</v>
      </c>
      <c r="U121" s="475">
        <v>19538.150000000001</v>
      </c>
      <c r="V121" s="363">
        <v>23887.13</v>
      </c>
      <c r="W121" s="365">
        <v>23691.200000000001</v>
      </c>
      <c r="X121" s="364">
        <v>44419.1</v>
      </c>
      <c r="Y121" s="360">
        <v>77002.679999999993</v>
      </c>
      <c r="Z121" s="520">
        <v>41062.68</v>
      </c>
      <c r="AA121" s="357"/>
      <c r="AB121" s="357"/>
      <c r="AC121" s="357"/>
      <c r="AD121" s="357"/>
      <c r="AE121" s="357"/>
      <c r="AF121" s="357"/>
      <c r="AG121" s="335"/>
      <c r="AH121" s="350"/>
      <c r="AI121" s="350"/>
      <c r="AJ121" s="351"/>
      <c r="AK121" s="89">
        <f t="shared" si="91"/>
        <v>35480.289999999994</v>
      </c>
      <c r="AL121" s="89">
        <f t="shared" si="92"/>
        <v>33224.100000000006</v>
      </c>
      <c r="AM121" s="89">
        <f t="shared" si="93"/>
        <v>6187.0800000000017</v>
      </c>
      <c r="AN121" s="89">
        <f t="shared" si="94"/>
        <v>1584.7200000000012</v>
      </c>
      <c r="AO121" s="89">
        <f t="shared" si="95"/>
        <v>2056.6800000000003</v>
      </c>
      <c r="AP121" s="89">
        <f t="shared" si="96"/>
        <v>11459.150000000001</v>
      </c>
      <c r="AQ121" s="89">
        <f t="shared" si="97"/>
        <v>1168.7699999999968</v>
      </c>
      <c r="AR121" s="89">
        <f t="shared" si="98"/>
        <v>-3359.3100000000013</v>
      </c>
      <c r="AS121" s="89">
        <f t="shared" si="99"/>
        <v>5317.5799999999981</v>
      </c>
      <c r="AT121" s="89">
        <f t="shared" si="100"/>
        <v>13285.580000000002</v>
      </c>
    </row>
    <row r="122" spans="1:46" s="366" customFormat="1" x14ac:dyDescent="0.25">
      <c r="A122" s="360"/>
      <c r="B122" s="361" t="s">
        <v>39</v>
      </c>
      <c r="C122" s="362"/>
      <c r="D122" s="363"/>
      <c r="E122" s="363"/>
      <c r="F122" s="357"/>
      <c r="G122" s="363"/>
      <c r="H122" s="363"/>
      <c r="I122" s="363"/>
      <c r="J122" s="363"/>
      <c r="K122" s="363"/>
      <c r="L122" s="364"/>
      <c r="M122" s="365"/>
      <c r="N122" s="363"/>
      <c r="O122" s="357"/>
      <c r="P122" s="363"/>
      <c r="Q122" s="363"/>
      <c r="R122" s="363"/>
      <c r="S122" s="363"/>
      <c r="T122" s="363"/>
      <c r="U122" s="475"/>
      <c r="V122" s="363"/>
      <c r="W122" s="365"/>
      <c r="X122" s="364"/>
      <c r="Y122" s="360"/>
      <c r="Z122" s="520"/>
      <c r="AA122" s="357"/>
      <c r="AB122" s="357"/>
      <c r="AC122" s="357"/>
      <c r="AD122" s="357"/>
      <c r="AE122" s="357"/>
      <c r="AF122" s="357"/>
      <c r="AG122" s="365"/>
      <c r="AH122" s="350"/>
      <c r="AI122" s="350"/>
      <c r="AJ122" s="351"/>
      <c r="AK122" s="89">
        <f t="shared" si="91"/>
        <v>0</v>
      </c>
      <c r="AL122" s="89">
        <f t="shared" si="92"/>
        <v>0</v>
      </c>
      <c r="AM122" s="89">
        <f t="shared" si="93"/>
        <v>0</v>
      </c>
      <c r="AN122" s="89">
        <f t="shared" si="94"/>
        <v>0</v>
      </c>
      <c r="AO122" s="89">
        <f t="shared" si="95"/>
        <v>0</v>
      </c>
      <c r="AP122" s="89">
        <f t="shared" si="96"/>
        <v>0</v>
      </c>
      <c r="AQ122" s="89">
        <f t="shared" si="97"/>
        <v>0</v>
      </c>
      <c r="AR122" s="89">
        <f t="shared" si="98"/>
        <v>0</v>
      </c>
      <c r="AS122" s="89">
        <f t="shared" si="99"/>
        <v>0</v>
      </c>
      <c r="AT122" s="89">
        <f t="shared" si="100"/>
        <v>0</v>
      </c>
    </row>
    <row r="123" spans="1:46" s="366" customFormat="1" x14ac:dyDescent="0.25">
      <c r="A123" s="360"/>
      <c r="B123" s="361" t="s">
        <v>65</v>
      </c>
      <c r="C123" s="362">
        <v>65320.31</v>
      </c>
      <c r="D123" s="363">
        <v>48205.78</v>
      </c>
      <c r="E123" s="363">
        <v>22073.61</v>
      </c>
      <c r="F123" s="357">
        <v>13184.66</v>
      </c>
      <c r="G123" s="363">
        <v>2947</v>
      </c>
      <c r="H123" s="363">
        <v>1444.57</v>
      </c>
      <c r="I123" s="363">
        <v>656.25</v>
      </c>
      <c r="J123" s="363">
        <v>1947.93</v>
      </c>
      <c r="K123" s="363">
        <v>11469.58</v>
      </c>
      <c r="L123" s="364">
        <v>33964.15</v>
      </c>
      <c r="M123" s="365">
        <v>42651.92</v>
      </c>
      <c r="N123" s="363">
        <v>53853.94</v>
      </c>
      <c r="O123" s="357">
        <v>43902.54</v>
      </c>
      <c r="P123" s="363">
        <v>27816.73</v>
      </c>
      <c r="Q123" s="363">
        <v>7830.5</v>
      </c>
      <c r="R123" s="363">
        <v>1629.11</v>
      </c>
      <c r="S123" s="363">
        <v>1328.1</v>
      </c>
      <c r="T123" s="363">
        <v>177.39</v>
      </c>
      <c r="U123" s="475">
        <v>320.79000000000002</v>
      </c>
      <c r="V123" s="363">
        <v>1242.21</v>
      </c>
      <c r="W123" s="365">
        <v>10922.31</v>
      </c>
      <c r="X123" s="364">
        <v>33068.550000000003</v>
      </c>
      <c r="Y123" s="360">
        <v>54115.040000000001</v>
      </c>
      <c r="Z123" s="520">
        <v>31966.91</v>
      </c>
      <c r="AA123" s="357"/>
      <c r="AB123" s="357"/>
      <c r="AC123" s="357"/>
      <c r="AD123" s="357"/>
      <c r="AE123" s="357"/>
      <c r="AF123" s="357"/>
      <c r="AG123" s="365"/>
      <c r="AH123" s="350"/>
      <c r="AI123" s="350"/>
      <c r="AJ123" s="351"/>
      <c r="AK123" s="89">
        <f t="shared" si="91"/>
        <v>21417.769999999997</v>
      </c>
      <c r="AL123" s="89">
        <f t="shared" si="92"/>
        <v>20389.05</v>
      </c>
      <c r="AM123" s="89">
        <f t="shared" si="93"/>
        <v>14243.11</v>
      </c>
      <c r="AN123" s="89">
        <f t="shared" si="94"/>
        <v>11555.55</v>
      </c>
      <c r="AO123" s="89">
        <f t="shared" si="95"/>
        <v>1618.9</v>
      </c>
      <c r="AP123" s="89">
        <f t="shared" si="96"/>
        <v>1267.1799999999998</v>
      </c>
      <c r="AQ123" s="89">
        <f t="shared" si="97"/>
        <v>335.46</v>
      </c>
      <c r="AR123" s="89">
        <f t="shared" si="98"/>
        <v>705.72</v>
      </c>
      <c r="AS123" s="89">
        <f t="shared" si="99"/>
        <v>547.27000000000044</v>
      </c>
      <c r="AT123" s="89">
        <f t="shared" si="100"/>
        <v>895.59999999999854</v>
      </c>
    </row>
    <row r="124" spans="1:46" s="366" customFormat="1" x14ac:dyDescent="0.25">
      <c r="A124" s="360"/>
      <c r="B124" s="361" t="s">
        <v>41</v>
      </c>
      <c r="C124" s="341">
        <f>SUM(C119:C123)</f>
        <v>524968.94999999995</v>
      </c>
      <c r="D124" s="341">
        <f t="shared" ref="D124:Y124" si="101">SUM(D119:D123)</f>
        <v>483394.28999999992</v>
      </c>
      <c r="E124" s="341">
        <f t="shared" si="101"/>
        <v>301590.98</v>
      </c>
      <c r="F124" s="341">
        <f t="shared" si="101"/>
        <v>190612.71000000002</v>
      </c>
      <c r="G124" s="341">
        <f t="shared" si="101"/>
        <v>124018</v>
      </c>
      <c r="H124" s="341">
        <f t="shared" si="101"/>
        <v>102050.4</v>
      </c>
      <c r="I124" s="341">
        <f t="shared" si="101"/>
        <v>90721.48</v>
      </c>
      <c r="J124" s="341">
        <f t="shared" si="101"/>
        <v>94910.109999999986</v>
      </c>
      <c r="K124" s="341">
        <f t="shared" si="101"/>
        <v>139998.6</v>
      </c>
      <c r="L124" s="341">
        <f t="shared" si="101"/>
        <v>263127.8</v>
      </c>
      <c r="M124" s="341">
        <f t="shared" si="101"/>
        <v>405519.17999999993</v>
      </c>
      <c r="N124" s="335">
        <f t="shared" si="101"/>
        <v>457801.20999999996</v>
      </c>
      <c r="O124" s="341">
        <f t="shared" si="101"/>
        <v>405970.64999999997</v>
      </c>
      <c r="P124" s="341">
        <f t="shared" si="101"/>
        <v>326476.76</v>
      </c>
      <c r="Q124" s="341">
        <f t="shared" si="101"/>
        <v>256487.62</v>
      </c>
      <c r="R124" s="341">
        <f t="shared" si="101"/>
        <v>141252.69</v>
      </c>
      <c r="S124" s="341">
        <f t="shared" si="101"/>
        <v>106413.32</v>
      </c>
      <c r="T124" s="341">
        <f t="shared" si="101"/>
        <v>90039.72</v>
      </c>
      <c r="U124" s="341">
        <f t="shared" si="101"/>
        <v>95338.749999999985</v>
      </c>
      <c r="V124" s="350">
        <f t="shared" si="101"/>
        <v>106718.50000000001</v>
      </c>
      <c r="W124" s="346">
        <f t="shared" si="101"/>
        <v>124825.5</v>
      </c>
      <c r="X124" s="351">
        <f t="shared" si="101"/>
        <v>239031.82</v>
      </c>
      <c r="Y124" s="346">
        <f t="shared" si="101"/>
        <v>382006.93999999994</v>
      </c>
      <c r="Z124" s="366">
        <f>SUM(Z119:Z123)</f>
        <v>256272.36</v>
      </c>
      <c r="AA124" s="346"/>
      <c r="AB124" s="342"/>
      <c r="AC124" s="350"/>
      <c r="AD124" s="350"/>
      <c r="AE124" s="350"/>
      <c r="AF124" s="346"/>
      <c r="AG124" s="346"/>
      <c r="AH124" s="350"/>
      <c r="AI124" s="350"/>
      <c r="AJ124" s="351"/>
      <c r="AK124" s="109">
        <f t="shared" ref="AK124:AT124" si="102">SUM(AK119:AK123)</f>
        <v>118998.29999999999</v>
      </c>
      <c r="AL124" s="79">
        <f t="shared" si="102"/>
        <v>156917.52999999997</v>
      </c>
      <c r="AM124" s="77">
        <f t="shared" si="102"/>
        <v>45103.360000000015</v>
      </c>
      <c r="AN124" s="77">
        <f t="shared" si="102"/>
        <v>49360.020000000004</v>
      </c>
      <c r="AO124" s="77">
        <f t="shared" si="102"/>
        <v>17604.679999999997</v>
      </c>
      <c r="AP124" s="109">
        <f t="shared" si="102"/>
        <v>12010.680000000002</v>
      </c>
      <c r="AQ124" s="110">
        <f t="shared" si="102"/>
        <v>-4617.2700000000068</v>
      </c>
      <c r="AR124" s="110">
        <f t="shared" si="102"/>
        <v>-11808.390000000009</v>
      </c>
      <c r="AS124" s="110">
        <f t="shared" si="102"/>
        <v>15173.1</v>
      </c>
      <c r="AT124" s="109">
        <f t="shared" si="102"/>
        <v>24095.98</v>
      </c>
    </row>
    <row r="125" spans="1:46" x14ac:dyDescent="0.25">
      <c r="A125" s="4">
        <f>+A118+1</f>
        <v>15</v>
      </c>
      <c r="B125" s="43" t="s">
        <v>32</v>
      </c>
      <c r="C125" s="111"/>
      <c r="D125" s="112"/>
      <c r="E125" s="112"/>
      <c r="F125" s="113"/>
      <c r="G125" s="112"/>
      <c r="H125" s="112"/>
      <c r="I125" s="112"/>
      <c r="J125" s="112"/>
      <c r="K125" s="112"/>
      <c r="L125" s="114"/>
      <c r="M125" s="325"/>
      <c r="N125" s="112"/>
      <c r="O125" s="113"/>
      <c r="P125" s="112"/>
      <c r="Q125" s="112"/>
      <c r="R125" s="112"/>
      <c r="S125" s="112"/>
      <c r="T125" s="112"/>
      <c r="U125" s="476"/>
      <c r="V125" s="112"/>
      <c r="W125" s="325"/>
      <c r="X125" s="114"/>
      <c r="Y125" s="360"/>
      <c r="Z125" s="4"/>
      <c r="AA125" s="113"/>
      <c r="AB125" s="115"/>
      <c r="AC125" s="116"/>
      <c r="AD125" s="116"/>
      <c r="AE125" s="116"/>
      <c r="AF125" s="116"/>
      <c r="AG125" s="260"/>
      <c r="AH125" s="441"/>
      <c r="AI125" s="441"/>
      <c r="AJ125" s="504"/>
      <c r="AK125" s="113"/>
      <c r="AL125" s="115"/>
      <c r="AM125" s="116"/>
      <c r="AN125" s="116"/>
      <c r="AO125" s="116"/>
      <c r="AP125" s="116"/>
      <c r="AQ125" s="117"/>
      <c r="AR125" s="317"/>
      <c r="AS125" s="317"/>
      <c r="AT125" s="317"/>
    </row>
    <row r="126" spans="1:46" x14ac:dyDescent="0.25">
      <c r="A126" s="4"/>
      <c r="B126" s="35" t="s">
        <v>36</v>
      </c>
      <c r="C126" s="118"/>
      <c r="D126" s="119"/>
      <c r="E126" s="119"/>
      <c r="F126" s="120"/>
      <c r="G126" s="119"/>
      <c r="H126" s="119"/>
      <c r="I126" s="119"/>
      <c r="J126" s="119"/>
      <c r="K126" s="119"/>
      <c r="L126" s="121"/>
      <c r="M126" s="326"/>
      <c r="N126" s="119"/>
      <c r="O126" s="120"/>
      <c r="P126" s="119"/>
      <c r="Q126" s="119"/>
      <c r="R126" s="119"/>
      <c r="S126" s="119"/>
      <c r="T126" s="119"/>
      <c r="U126" s="261"/>
      <c r="V126" s="119"/>
      <c r="W126" s="326"/>
      <c r="X126" s="121"/>
      <c r="Y126" s="4"/>
      <c r="Z126" s="4"/>
      <c r="AA126" s="120"/>
      <c r="AB126" s="120"/>
      <c r="AC126" s="120"/>
      <c r="AD126" s="120"/>
      <c r="AE126" s="120"/>
      <c r="AF126" s="120"/>
      <c r="AG126" s="261"/>
      <c r="AH126" s="69"/>
      <c r="AI126" s="69"/>
      <c r="AJ126" s="70"/>
      <c r="AK126" s="120"/>
      <c r="AL126" s="120"/>
      <c r="AM126" s="120"/>
      <c r="AN126" s="120"/>
      <c r="AO126" s="120"/>
      <c r="AP126" s="120"/>
      <c r="AQ126" s="121"/>
      <c r="AR126" s="121"/>
      <c r="AS126" s="121"/>
      <c r="AT126" s="261"/>
    </row>
    <row r="127" spans="1:46" x14ac:dyDescent="0.25">
      <c r="A127" s="4"/>
      <c r="B127" s="35" t="s">
        <v>37</v>
      </c>
      <c r="C127" s="118"/>
      <c r="D127" s="119"/>
      <c r="E127" s="119"/>
      <c r="F127" s="120"/>
      <c r="G127" s="119"/>
      <c r="H127" s="119"/>
      <c r="I127" s="119"/>
      <c r="J127" s="119"/>
      <c r="K127" s="119"/>
      <c r="L127" s="121"/>
      <c r="M127" s="326"/>
      <c r="N127" s="119"/>
      <c r="O127" s="120"/>
      <c r="P127" s="119"/>
      <c r="Q127" s="119"/>
      <c r="R127" s="119"/>
      <c r="S127" s="119"/>
      <c r="T127" s="119"/>
      <c r="U127" s="261"/>
      <c r="V127" s="119"/>
      <c r="W127" s="326"/>
      <c r="X127" s="121"/>
      <c r="Y127" s="4"/>
      <c r="Z127" s="4"/>
      <c r="AA127" s="120"/>
      <c r="AB127" s="120"/>
      <c r="AC127" s="120"/>
      <c r="AD127" s="120"/>
      <c r="AE127" s="120"/>
      <c r="AF127" s="120"/>
      <c r="AG127" s="261"/>
      <c r="AH127" s="69"/>
      <c r="AI127" s="69"/>
      <c r="AJ127" s="70"/>
      <c r="AK127" s="120"/>
      <c r="AL127" s="120"/>
      <c r="AM127" s="120"/>
      <c r="AN127" s="120"/>
      <c r="AO127" s="120"/>
      <c r="AP127" s="120"/>
      <c r="AQ127" s="121"/>
      <c r="AR127" s="121"/>
      <c r="AS127" s="121"/>
      <c r="AT127" s="261"/>
    </row>
    <row r="128" spans="1:46" x14ac:dyDescent="0.25">
      <c r="A128" s="4"/>
      <c r="B128" s="35" t="s">
        <v>38</v>
      </c>
      <c r="C128" s="118"/>
      <c r="D128" s="119"/>
      <c r="E128" s="119"/>
      <c r="F128" s="120"/>
      <c r="G128" s="119"/>
      <c r="H128" s="119"/>
      <c r="I128" s="119"/>
      <c r="J128" s="119"/>
      <c r="K128" s="119"/>
      <c r="L128" s="121"/>
      <c r="M128" s="326"/>
      <c r="N128" s="119"/>
      <c r="O128" s="120"/>
      <c r="P128" s="119"/>
      <c r="Q128" s="119"/>
      <c r="R128" s="119"/>
      <c r="S128" s="119"/>
      <c r="T128" s="119"/>
      <c r="U128" s="261"/>
      <c r="V128" s="119"/>
      <c r="W128" s="326"/>
      <c r="X128" s="121"/>
      <c r="Y128" s="4"/>
      <c r="Z128" s="4"/>
      <c r="AA128" s="120"/>
      <c r="AB128" s="120"/>
      <c r="AC128" s="120"/>
      <c r="AD128" s="120"/>
      <c r="AE128" s="120"/>
      <c r="AF128" s="120"/>
      <c r="AG128" s="261"/>
      <c r="AH128" s="69"/>
      <c r="AI128" s="69"/>
      <c r="AJ128" s="70"/>
      <c r="AK128" s="120"/>
      <c r="AL128" s="120"/>
      <c r="AM128" s="120"/>
      <c r="AN128" s="120"/>
      <c r="AO128" s="120"/>
      <c r="AP128" s="120"/>
      <c r="AQ128" s="121"/>
      <c r="AR128" s="121"/>
      <c r="AS128" s="121"/>
      <c r="AT128" s="261"/>
    </row>
    <row r="129" spans="1:46" x14ac:dyDescent="0.25">
      <c r="A129" s="4"/>
      <c r="B129" s="35" t="s">
        <v>39</v>
      </c>
      <c r="C129" s="118"/>
      <c r="D129" s="119"/>
      <c r="E129" s="119"/>
      <c r="F129" s="120"/>
      <c r="G129" s="119"/>
      <c r="H129" s="119"/>
      <c r="I129" s="119"/>
      <c r="J129" s="119"/>
      <c r="K129" s="119"/>
      <c r="L129" s="121"/>
      <c r="M129" s="326"/>
      <c r="N129" s="119"/>
      <c r="O129" s="120"/>
      <c r="P129" s="119"/>
      <c r="Q129" s="119"/>
      <c r="R129" s="119"/>
      <c r="S129" s="119"/>
      <c r="T129" s="119"/>
      <c r="U129" s="261"/>
      <c r="V129" s="119"/>
      <c r="W129" s="326"/>
      <c r="X129" s="121"/>
      <c r="Y129" s="4"/>
      <c r="Z129" s="4"/>
      <c r="AA129" s="120"/>
      <c r="AB129" s="120"/>
      <c r="AC129" s="120"/>
      <c r="AD129" s="120"/>
      <c r="AE129" s="120"/>
      <c r="AF129" s="120"/>
      <c r="AG129" s="261"/>
      <c r="AH129" s="69"/>
      <c r="AI129" s="69"/>
      <c r="AJ129" s="70"/>
      <c r="AK129" s="120"/>
      <c r="AL129" s="120"/>
      <c r="AM129" s="120"/>
      <c r="AN129" s="120"/>
      <c r="AO129" s="120"/>
      <c r="AP129" s="120"/>
      <c r="AQ129" s="121"/>
      <c r="AR129" s="121"/>
      <c r="AS129" s="121"/>
      <c r="AT129" s="261"/>
    </row>
    <row r="130" spans="1:46" x14ac:dyDescent="0.25">
      <c r="A130" s="4"/>
      <c r="B130" s="35" t="s">
        <v>40</v>
      </c>
      <c r="C130" s="118"/>
      <c r="D130" s="119"/>
      <c r="E130" s="119"/>
      <c r="F130" s="120"/>
      <c r="G130" s="119"/>
      <c r="H130" s="119"/>
      <c r="I130" s="119"/>
      <c r="J130" s="119"/>
      <c r="K130" s="119"/>
      <c r="L130" s="121"/>
      <c r="M130" s="326"/>
      <c r="N130" s="119"/>
      <c r="O130" s="120"/>
      <c r="P130" s="119"/>
      <c r="Q130" s="119"/>
      <c r="R130" s="119"/>
      <c r="S130" s="119"/>
      <c r="T130" s="119"/>
      <c r="U130" s="261"/>
      <c r="V130" s="119"/>
      <c r="W130" s="326"/>
      <c r="X130" s="121"/>
      <c r="Y130" s="4"/>
      <c r="Z130" s="4"/>
      <c r="AA130" s="120"/>
      <c r="AB130" s="120"/>
      <c r="AC130" s="120"/>
      <c r="AD130" s="120"/>
      <c r="AE130" s="120"/>
      <c r="AF130" s="120"/>
      <c r="AG130" s="261"/>
      <c r="AH130" s="69"/>
      <c r="AI130" s="69"/>
      <c r="AJ130" s="70"/>
      <c r="AK130" s="120"/>
      <c r="AL130" s="120"/>
      <c r="AM130" s="120"/>
      <c r="AN130" s="120"/>
      <c r="AO130" s="120"/>
      <c r="AP130" s="120"/>
      <c r="AQ130" s="121"/>
      <c r="AR130" s="121"/>
      <c r="AS130" s="121"/>
      <c r="AT130" s="261"/>
    </row>
    <row r="131" spans="1:46" ht="15.75" thickBot="1" x14ac:dyDescent="0.3">
      <c r="A131" s="4"/>
      <c r="B131" s="37" t="s">
        <v>41</v>
      </c>
      <c r="C131" s="122"/>
      <c r="D131" s="342"/>
      <c r="E131" s="346"/>
      <c r="F131" s="346"/>
      <c r="G131" s="342"/>
      <c r="H131" s="346"/>
      <c r="I131" s="346"/>
      <c r="J131" s="346"/>
      <c r="K131" s="346"/>
      <c r="L131" s="344"/>
      <c r="M131" s="346"/>
      <c r="N131" s="363"/>
      <c r="O131" s="346"/>
      <c r="P131" s="365"/>
      <c r="Q131" s="346"/>
      <c r="R131" s="365"/>
      <c r="S131" s="346"/>
      <c r="T131" s="342"/>
      <c r="U131" s="365"/>
      <c r="V131" s="363"/>
      <c r="W131" s="365"/>
      <c r="X131" s="364"/>
      <c r="Y131" s="4"/>
      <c r="Z131" s="4"/>
      <c r="AA131" s="60"/>
      <c r="AB131" s="60"/>
      <c r="AC131" s="60"/>
      <c r="AD131" s="60"/>
      <c r="AE131" s="60"/>
      <c r="AF131" s="60"/>
      <c r="AG131" s="262"/>
      <c r="AH131" s="69"/>
      <c r="AI131" s="69"/>
      <c r="AJ131" s="70"/>
      <c r="AK131" s="60"/>
      <c r="AL131" s="60"/>
      <c r="AM131" s="60"/>
      <c r="AN131" s="60"/>
      <c r="AO131" s="60"/>
      <c r="AP131" s="60"/>
      <c r="AQ131" s="59"/>
      <c r="AR131" s="59"/>
      <c r="AS131" s="59"/>
      <c r="AT131" s="262"/>
    </row>
    <row r="132" spans="1:46" x14ac:dyDescent="0.25">
      <c r="A132" s="4">
        <f>+A125+1</f>
        <v>16</v>
      </c>
      <c r="B132" s="45" t="s">
        <v>44</v>
      </c>
      <c r="C132" s="123"/>
      <c r="D132" s="124"/>
      <c r="E132" s="124"/>
      <c r="F132" s="125"/>
      <c r="G132" s="124"/>
      <c r="H132" s="124"/>
      <c r="I132" s="124"/>
      <c r="J132" s="124"/>
      <c r="K132" s="124"/>
      <c r="L132" s="126"/>
      <c r="M132" s="315"/>
      <c r="N132" s="124"/>
      <c r="O132" s="125"/>
      <c r="P132" s="124"/>
      <c r="Q132" s="124"/>
      <c r="R132" s="124"/>
      <c r="S132" s="124"/>
      <c r="T132" s="124"/>
      <c r="U132" s="477"/>
      <c r="V132" s="124"/>
      <c r="W132" s="315"/>
      <c r="X132" s="126"/>
      <c r="Y132" s="4"/>
      <c r="Z132" s="4"/>
      <c r="AA132" s="125"/>
      <c r="AB132" s="127"/>
      <c r="AC132" s="128"/>
      <c r="AD132" s="128"/>
      <c r="AE132" s="128"/>
      <c r="AF132" s="128"/>
      <c r="AG132" s="503"/>
      <c r="AH132" s="212"/>
      <c r="AI132" s="212"/>
      <c r="AJ132" s="468"/>
      <c r="AK132" s="125"/>
      <c r="AL132" s="127"/>
      <c r="AM132" s="128"/>
      <c r="AN132" s="128"/>
      <c r="AO132" s="128"/>
      <c r="AP132" s="128"/>
      <c r="AQ132" s="129"/>
      <c r="AR132" s="231"/>
      <c r="AS132" s="231"/>
      <c r="AT132" s="231"/>
    </row>
    <row r="133" spans="1:46" x14ac:dyDescent="0.25">
      <c r="A133" s="4"/>
      <c r="B133" s="35" t="s">
        <v>36</v>
      </c>
      <c r="C133" s="97"/>
      <c r="D133" s="89"/>
      <c r="E133" s="89"/>
      <c r="F133" s="89"/>
      <c r="G133" s="89"/>
      <c r="H133" s="89"/>
      <c r="I133" s="89"/>
      <c r="J133" s="89"/>
      <c r="K133" s="89"/>
      <c r="L133" s="99"/>
      <c r="M133" s="98"/>
      <c r="N133" s="87"/>
      <c r="O133" s="89"/>
      <c r="P133" s="89"/>
      <c r="Q133" s="89"/>
      <c r="R133" s="89"/>
      <c r="S133" s="89"/>
      <c r="T133" s="89"/>
      <c r="U133" s="254"/>
      <c r="V133" s="77"/>
      <c r="W133" s="109"/>
      <c r="X133" s="78"/>
      <c r="Y133" s="4"/>
      <c r="Z133" s="4"/>
      <c r="AA133" s="89"/>
      <c r="AB133" s="89"/>
      <c r="AC133" s="89"/>
      <c r="AD133" s="89"/>
      <c r="AE133" s="89"/>
      <c r="AF133" s="89"/>
      <c r="AG133" s="259"/>
      <c r="AH133" s="77"/>
      <c r="AI133" s="77"/>
      <c r="AJ133" s="78"/>
      <c r="AK133" s="89"/>
      <c r="AL133" s="89"/>
      <c r="AM133" s="89"/>
      <c r="AN133" s="89"/>
      <c r="AO133" s="89"/>
      <c r="AP133" s="89"/>
      <c r="AQ133" s="88"/>
      <c r="AR133" s="88"/>
      <c r="AS133" s="88"/>
      <c r="AT133" s="259"/>
    </row>
    <row r="134" spans="1:46" x14ac:dyDescent="0.25">
      <c r="A134" s="4"/>
      <c r="B134" s="35" t="s">
        <v>37</v>
      </c>
      <c r="C134" s="97"/>
      <c r="D134" s="89"/>
      <c r="E134" s="89"/>
      <c r="F134" s="89"/>
      <c r="G134" s="89"/>
      <c r="H134" s="89"/>
      <c r="I134" s="89"/>
      <c r="J134" s="89"/>
      <c r="K134" s="89"/>
      <c r="L134" s="99"/>
      <c r="M134" s="98"/>
      <c r="N134" s="87"/>
      <c r="O134" s="89"/>
      <c r="P134" s="89"/>
      <c r="Q134" s="89"/>
      <c r="R134" s="89"/>
      <c r="S134" s="89"/>
      <c r="T134" s="89"/>
      <c r="U134" s="259"/>
      <c r="V134" s="77"/>
      <c r="W134" s="109"/>
      <c r="X134" s="78"/>
      <c r="Y134" s="4"/>
      <c r="Z134" s="4"/>
      <c r="AA134" s="89"/>
      <c r="AB134" s="89"/>
      <c r="AC134" s="89"/>
      <c r="AD134" s="89"/>
      <c r="AE134" s="89"/>
      <c r="AF134" s="89"/>
      <c r="AG134" s="259"/>
      <c r="AH134" s="77"/>
      <c r="AI134" s="77"/>
      <c r="AJ134" s="78"/>
      <c r="AK134" s="89"/>
      <c r="AL134" s="89"/>
      <c r="AM134" s="89"/>
      <c r="AN134" s="89"/>
      <c r="AO134" s="89"/>
      <c r="AP134" s="89"/>
      <c r="AQ134" s="88"/>
      <c r="AR134" s="88"/>
      <c r="AS134" s="88"/>
      <c r="AT134" s="259"/>
    </row>
    <row r="135" spans="1:46" x14ac:dyDescent="0.25">
      <c r="A135" s="4"/>
      <c r="B135" s="35" t="s">
        <v>38</v>
      </c>
      <c r="C135" s="97"/>
      <c r="D135" s="89"/>
      <c r="E135" s="89"/>
      <c r="F135" s="89"/>
      <c r="G135" s="89"/>
      <c r="H135" s="89"/>
      <c r="I135" s="89"/>
      <c r="J135" s="89"/>
      <c r="K135" s="89"/>
      <c r="L135" s="99"/>
      <c r="M135" s="98"/>
      <c r="N135" s="87"/>
      <c r="O135" s="89"/>
      <c r="P135" s="89"/>
      <c r="Q135" s="89"/>
      <c r="R135" s="89"/>
      <c r="S135" s="89"/>
      <c r="T135" s="89"/>
      <c r="U135" s="259"/>
      <c r="V135" s="77"/>
      <c r="W135" s="109"/>
      <c r="X135" s="78"/>
      <c r="Y135" s="4"/>
      <c r="Z135" s="4"/>
      <c r="AA135" s="89"/>
      <c r="AB135" s="89"/>
      <c r="AC135" s="89"/>
      <c r="AD135" s="89"/>
      <c r="AE135" s="89"/>
      <c r="AF135" s="89"/>
      <c r="AG135" s="259"/>
      <c r="AH135" s="77"/>
      <c r="AI135" s="77"/>
      <c r="AJ135" s="78"/>
      <c r="AK135" s="89"/>
      <c r="AL135" s="89"/>
      <c r="AM135" s="89"/>
      <c r="AN135" s="89"/>
      <c r="AO135" s="89"/>
      <c r="AP135" s="89"/>
      <c r="AQ135" s="88"/>
      <c r="AR135" s="88"/>
      <c r="AS135" s="88"/>
      <c r="AT135" s="259"/>
    </row>
    <row r="136" spans="1:46" x14ac:dyDescent="0.25">
      <c r="A136" s="4"/>
      <c r="B136" s="35" t="s">
        <v>39</v>
      </c>
      <c r="C136" s="97"/>
      <c r="D136" s="89"/>
      <c r="E136" s="89"/>
      <c r="F136" s="89"/>
      <c r="G136" s="89"/>
      <c r="H136" s="89"/>
      <c r="I136" s="89"/>
      <c r="J136" s="89"/>
      <c r="K136" s="89"/>
      <c r="L136" s="99"/>
      <c r="M136" s="98"/>
      <c r="N136" s="87"/>
      <c r="O136" s="89"/>
      <c r="P136" s="89"/>
      <c r="Q136" s="89"/>
      <c r="R136" s="89"/>
      <c r="S136" s="89"/>
      <c r="T136" s="89"/>
      <c r="U136" s="259"/>
      <c r="V136" s="77"/>
      <c r="W136" s="109"/>
      <c r="X136" s="78"/>
      <c r="Y136" s="4"/>
      <c r="Z136" s="4"/>
      <c r="AA136" s="89"/>
      <c r="AB136" s="89"/>
      <c r="AC136" s="89"/>
      <c r="AD136" s="89"/>
      <c r="AE136" s="89"/>
      <c r="AF136" s="89"/>
      <c r="AG136" s="259"/>
      <c r="AH136" s="77"/>
      <c r="AI136" s="77"/>
      <c r="AJ136" s="78"/>
      <c r="AK136" s="89"/>
      <c r="AL136" s="89"/>
      <c r="AM136" s="89"/>
      <c r="AN136" s="89"/>
      <c r="AO136" s="89"/>
      <c r="AP136" s="89"/>
      <c r="AQ136" s="88"/>
      <c r="AR136" s="88"/>
      <c r="AS136" s="88"/>
      <c r="AT136" s="259"/>
    </row>
    <row r="137" spans="1:46" x14ac:dyDescent="0.25">
      <c r="A137" s="4"/>
      <c r="B137" s="35" t="s">
        <v>40</v>
      </c>
      <c r="C137" s="97"/>
      <c r="D137" s="89"/>
      <c r="E137" s="89"/>
      <c r="F137" s="89"/>
      <c r="G137" s="89"/>
      <c r="H137" s="89"/>
      <c r="I137" s="89"/>
      <c r="J137" s="89"/>
      <c r="K137" s="89"/>
      <c r="L137" s="99"/>
      <c r="M137" s="98"/>
      <c r="N137" s="87"/>
      <c r="O137" s="89"/>
      <c r="P137" s="89"/>
      <c r="Q137" s="89"/>
      <c r="R137" s="89"/>
      <c r="S137" s="89"/>
      <c r="T137" s="89"/>
      <c r="U137" s="259"/>
      <c r="V137" s="77"/>
      <c r="W137" s="109"/>
      <c r="X137" s="78"/>
      <c r="Y137" s="4"/>
      <c r="Z137" s="4"/>
      <c r="AA137" s="89"/>
      <c r="AB137" s="89"/>
      <c r="AC137" s="89"/>
      <c r="AD137" s="89"/>
      <c r="AE137" s="89"/>
      <c r="AF137" s="89"/>
      <c r="AG137" s="259"/>
      <c r="AH137" s="77"/>
      <c r="AI137" s="77"/>
      <c r="AJ137" s="78"/>
      <c r="AK137" s="89"/>
      <c r="AL137" s="89"/>
      <c r="AM137" s="89"/>
      <c r="AN137" s="89"/>
      <c r="AO137" s="89"/>
      <c r="AP137" s="89"/>
      <c r="AQ137" s="88"/>
      <c r="AR137" s="88"/>
      <c r="AS137" s="88"/>
      <c r="AT137" s="259"/>
    </row>
    <row r="138" spans="1:46" ht="15.75" thickBot="1" x14ac:dyDescent="0.3">
      <c r="A138" s="4"/>
      <c r="B138" s="37" t="s">
        <v>41</v>
      </c>
      <c r="C138" s="100"/>
      <c r="D138" s="81"/>
      <c r="E138" s="81"/>
      <c r="F138" s="81"/>
      <c r="G138" s="81"/>
      <c r="H138" s="81"/>
      <c r="I138" s="81"/>
      <c r="J138" s="81"/>
      <c r="K138" s="81"/>
      <c r="L138" s="160"/>
      <c r="M138" s="159"/>
      <c r="N138" s="200"/>
      <c r="O138" s="81"/>
      <c r="P138" s="81"/>
      <c r="Q138" s="81"/>
      <c r="R138" s="81"/>
      <c r="S138" s="81"/>
      <c r="T138" s="81"/>
      <c r="U138" s="263"/>
      <c r="V138" s="200"/>
      <c r="W138" s="159"/>
      <c r="X138" s="80"/>
      <c r="Y138" s="4"/>
      <c r="Z138" s="4"/>
      <c r="AA138" s="81"/>
      <c r="AB138" s="81"/>
      <c r="AC138" s="81"/>
      <c r="AD138" s="81"/>
      <c r="AE138" s="81"/>
      <c r="AF138" s="81"/>
      <c r="AG138" s="263"/>
      <c r="AH138" s="77"/>
      <c r="AI138" s="77"/>
      <c r="AJ138" s="78"/>
      <c r="AK138" s="81"/>
      <c r="AL138" s="81"/>
      <c r="AM138" s="81"/>
      <c r="AN138" s="81"/>
      <c r="AO138" s="81"/>
      <c r="AP138" s="81"/>
      <c r="AQ138" s="80"/>
      <c r="AR138" s="80"/>
      <c r="AS138" s="80"/>
      <c r="AT138" s="263"/>
    </row>
    <row r="139" spans="1:46" x14ac:dyDescent="0.25">
      <c r="A139" s="4">
        <f>+A132+1</f>
        <v>17</v>
      </c>
      <c r="B139" s="45" t="s">
        <v>20</v>
      </c>
      <c r="C139" s="61"/>
      <c r="D139" s="62"/>
      <c r="E139" s="62"/>
      <c r="F139" s="64"/>
      <c r="G139" s="62"/>
      <c r="H139" s="62"/>
      <c r="I139" s="62"/>
      <c r="J139" s="62"/>
      <c r="K139" s="62"/>
      <c r="L139" s="63"/>
      <c r="M139" s="320"/>
      <c r="N139" s="62"/>
      <c r="O139" s="64"/>
      <c r="P139" s="62"/>
      <c r="Q139" s="62"/>
      <c r="R139" s="62"/>
      <c r="S139" s="62"/>
      <c r="T139" s="62"/>
      <c r="U139" s="255"/>
      <c r="V139" s="62"/>
      <c r="W139" s="320"/>
      <c r="X139" s="63"/>
      <c r="Y139" s="4"/>
      <c r="Z139" s="4"/>
      <c r="AA139" s="64"/>
      <c r="AB139" s="65"/>
      <c r="AC139" s="66"/>
      <c r="AD139" s="66"/>
      <c r="AE139" s="66"/>
      <c r="AF139" s="66"/>
      <c r="AG139" s="249"/>
      <c r="AH139" s="212"/>
      <c r="AI139" s="212"/>
      <c r="AJ139" s="468"/>
      <c r="AK139" s="64"/>
      <c r="AL139" s="65"/>
      <c r="AM139" s="66"/>
      <c r="AN139" s="66"/>
      <c r="AO139" s="66"/>
      <c r="AP139" s="66"/>
      <c r="AQ139" s="67"/>
      <c r="AR139" s="231"/>
      <c r="AS139" s="231"/>
      <c r="AT139" s="231"/>
    </row>
    <row r="140" spans="1:46" x14ac:dyDescent="0.25">
      <c r="A140" s="4"/>
      <c r="B140" s="35" t="s">
        <v>60</v>
      </c>
      <c r="C140" s="55"/>
      <c r="D140" s="56"/>
      <c r="E140" s="56"/>
      <c r="F140" s="58"/>
      <c r="G140" s="56"/>
      <c r="H140" s="58"/>
      <c r="I140" s="56"/>
      <c r="J140" s="58"/>
      <c r="K140" s="56"/>
      <c r="L140" s="130"/>
      <c r="M140" s="338"/>
      <c r="N140" s="56"/>
      <c r="O140" s="58"/>
      <c r="P140" s="58"/>
      <c r="Q140" s="56"/>
      <c r="R140" s="58"/>
      <c r="S140" s="56"/>
      <c r="T140" s="58"/>
      <c r="U140" s="338"/>
      <c r="V140" s="56"/>
      <c r="W140" s="338"/>
      <c r="X140" s="57"/>
      <c r="Y140" s="4"/>
      <c r="Z140" s="4"/>
      <c r="AA140" s="58"/>
      <c r="AB140" s="58"/>
      <c r="AC140" s="58"/>
      <c r="AD140" s="58"/>
      <c r="AE140" s="58"/>
      <c r="AF140" s="58"/>
      <c r="AG140" s="242"/>
      <c r="AH140" s="69"/>
      <c r="AI140" s="69"/>
      <c r="AJ140" s="70"/>
      <c r="AK140" s="58"/>
      <c r="AL140" s="58"/>
      <c r="AM140" s="58"/>
      <c r="AN140" s="58"/>
      <c r="AO140" s="58"/>
      <c r="AP140" s="58"/>
      <c r="AQ140" s="70"/>
      <c r="AR140" s="70"/>
      <c r="AS140" s="70"/>
      <c r="AT140" s="242"/>
    </row>
    <row r="141" spans="1:46" x14ac:dyDescent="0.25">
      <c r="A141" s="4"/>
      <c r="B141" s="35" t="s">
        <v>61</v>
      </c>
      <c r="C141" s="55"/>
      <c r="D141" s="56"/>
      <c r="E141" s="56"/>
      <c r="F141" s="58"/>
      <c r="G141" s="56"/>
      <c r="H141" s="58"/>
      <c r="I141" s="56"/>
      <c r="J141" s="58"/>
      <c r="K141" s="56"/>
      <c r="L141" s="130"/>
      <c r="M141" s="338"/>
      <c r="N141" s="56"/>
      <c r="O141" s="58"/>
      <c r="P141" s="58"/>
      <c r="Q141" s="56"/>
      <c r="R141" s="58"/>
      <c r="S141" s="56"/>
      <c r="T141" s="58"/>
      <c r="U141" s="338"/>
      <c r="V141" s="56"/>
      <c r="W141" s="338"/>
      <c r="X141" s="57"/>
      <c r="Y141" s="4"/>
      <c r="Z141" s="4"/>
      <c r="AA141" s="58"/>
      <c r="AB141" s="58"/>
      <c r="AC141" s="58"/>
      <c r="AD141" s="58"/>
      <c r="AE141" s="58"/>
      <c r="AF141" s="58"/>
      <c r="AG141" s="242"/>
      <c r="AH141" s="69"/>
      <c r="AI141" s="69"/>
      <c r="AJ141" s="70"/>
      <c r="AK141" s="58"/>
      <c r="AL141" s="58"/>
      <c r="AM141" s="58"/>
      <c r="AN141" s="58"/>
      <c r="AO141" s="58"/>
      <c r="AP141" s="58"/>
      <c r="AQ141" s="70"/>
      <c r="AR141" s="70"/>
      <c r="AS141" s="70"/>
      <c r="AT141" s="242"/>
    </row>
    <row r="142" spans="1:46" x14ac:dyDescent="0.25">
      <c r="A142" s="4"/>
      <c r="B142" s="35" t="s">
        <v>62</v>
      </c>
      <c r="C142" s="55"/>
      <c r="D142" s="56"/>
      <c r="E142" s="56"/>
      <c r="F142" s="58"/>
      <c r="G142" s="56"/>
      <c r="H142" s="58"/>
      <c r="I142" s="56"/>
      <c r="J142" s="58"/>
      <c r="K142" s="56"/>
      <c r="L142" s="130"/>
      <c r="M142" s="338"/>
      <c r="N142" s="56"/>
      <c r="O142" s="58"/>
      <c r="P142" s="58"/>
      <c r="Q142" s="56"/>
      <c r="R142" s="58"/>
      <c r="S142" s="56"/>
      <c r="T142" s="58"/>
      <c r="U142" s="338"/>
      <c r="V142" s="56"/>
      <c r="W142" s="338"/>
      <c r="X142" s="57"/>
      <c r="Y142" s="4"/>
      <c r="Z142" s="4"/>
      <c r="AA142" s="58"/>
      <c r="AB142" s="58"/>
      <c r="AC142" s="58"/>
      <c r="AD142" s="58"/>
      <c r="AE142" s="58"/>
      <c r="AF142" s="58"/>
      <c r="AG142" s="242"/>
      <c r="AH142" s="69"/>
      <c r="AI142" s="69"/>
      <c r="AJ142" s="70"/>
      <c r="AK142" s="58"/>
      <c r="AL142" s="58"/>
      <c r="AM142" s="58"/>
      <c r="AN142" s="58"/>
      <c r="AO142" s="58"/>
      <c r="AP142" s="58"/>
      <c r="AQ142" s="70"/>
      <c r="AR142" s="70"/>
      <c r="AS142" s="70"/>
      <c r="AT142" s="242"/>
    </row>
    <row r="143" spans="1:46" x14ac:dyDescent="0.25">
      <c r="A143" s="4"/>
      <c r="B143" s="35" t="s">
        <v>63</v>
      </c>
      <c r="C143" s="55"/>
      <c r="D143" s="56"/>
      <c r="E143" s="56"/>
      <c r="F143" s="58"/>
      <c r="G143" s="56"/>
      <c r="H143" s="58"/>
      <c r="I143" s="56"/>
      <c r="J143" s="58"/>
      <c r="K143" s="56"/>
      <c r="L143" s="338"/>
      <c r="M143" s="338"/>
      <c r="N143" s="56"/>
      <c r="O143" s="58"/>
      <c r="P143" s="58"/>
      <c r="Q143" s="56"/>
      <c r="R143" s="58"/>
      <c r="S143" s="56"/>
      <c r="T143" s="58"/>
      <c r="U143" s="338"/>
      <c r="V143" s="56"/>
      <c r="W143" s="338"/>
      <c r="X143" s="57"/>
      <c r="Y143" s="4"/>
      <c r="Z143" s="4"/>
      <c r="AA143" s="58"/>
      <c r="AB143" s="58"/>
      <c r="AC143" s="58"/>
      <c r="AD143" s="58"/>
      <c r="AE143" s="58"/>
      <c r="AF143" s="58"/>
      <c r="AG143" s="242"/>
      <c r="AH143" s="69"/>
      <c r="AI143" s="69"/>
      <c r="AJ143" s="70"/>
      <c r="AK143" s="58"/>
      <c r="AL143" s="58"/>
      <c r="AM143" s="58"/>
      <c r="AN143" s="58"/>
      <c r="AO143" s="58"/>
      <c r="AP143" s="58"/>
      <c r="AQ143" s="70"/>
      <c r="AR143" s="70"/>
      <c r="AS143" s="70"/>
      <c r="AT143" s="242"/>
    </row>
    <row r="144" spans="1:46" x14ac:dyDescent="0.25">
      <c r="A144" s="4"/>
      <c r="B144" s="35" t="s">
        <v>38</v>
      </c>
      <c r="C144" s="55"/>
      <c r="D144" s="56"/>
      <c r="E144" s="56"/>
      <c r="F144" s="56"/>
      <c r="G144" s="56"/>
      <c r="H144" s="56"/>
      <c r="I144" s="56"/>
      <c r="J144" s="56"/>
      <c r="K144" s="56"/>
      <c r="L144" s="56"/>
      <c r="M144" s="338"/>
      <c r="N144" s="56"/>
      <c r="O144" s="58"/>
      <c r="P144" s="58"/>
      <c r="Q144" s="56"/>
      <c r="R144" s="58"/>
      <c r="S144" s="56"/>
      <c r="T144" s="58"/>
      <c r="U144" s="338"/>
      <c r="V144" s="56"/>
      <c r="W144" s="338"/>
      <c r="X144" s="57"/>
      <c r="Y144" s="4"/>
      <c r="Z144" s="4"/>
      <c r="AA144" s="58"/>
      <c r="AB144" s="58"/>
      <c r="AC144" s="58"/>
      <c r="AD144" s="58"/>
      <c r="AE144" s="58"/>
      <c r="AF144" s="58"/>
      <c r="AG144" s="264"/>
      <c r="AH144" s="69"/>
      <c r="AI144" s="69"/>
      <c r="AJ144" s="70"/>
      <c r="AK144" s="58"/>
      <c r="AL144" s="58"/>
      <c r="AM144" s="58"/>
      <c r="AN144" s="58"/>
      <c r="AO144" s="58"/>
      <c r="AP144" s="58"/>
      <c r="AQ144" s="57"/>
      <c r="AR144" s="70"/>
      <c r="AS144" s="70"/>
      <c r="AT144" s="242"/>
    </row>
    <row r="145" spans="1:46" x14ac:dyDescent="0.25">
      <c r="A145" s="4"/>
      <c r="B145" s="35" t="s">
        <v>39</v>
      </c>
      <c r="C145" s="55"/>
      <c r="D145" s="56"/>
      <c r="E145" s="56"/>
      <c r="F145" s="56"/>
      <c r="G145" s="56"/>
      <c r="H145" s="56"/>
      <c r="I145" s="56"/>
      <c r="J145" s="56"/>
      <c r="K145" s="56"/>
      <c r="L145" s="56"/>
      <c r="M145" s="338"/>
      <c r="N145" s="56"/>
      <c r="O145" s="58"/>
      <c r="P145" s="58"/>
      <c r="Q145" s="56"/>
      <c r="R145" s="58"/>
      <c r="S145" s="56"/>
      <c r="T145" s="58"/>
      <c r="U145" s="338"/>
      <c r="V145" s="56"/>
      <c r="W145" s="338"/>
      <c r="X145" s="57"/>
      <c r="Y145" s="4"/>
      <c r="Z145" s="4"/>
      <c r="AA145" s="58"/>
      <c r="AB145" s="58"/>
      <c r="AC145" s="58"/>
      <c r="AD145" s="58"/>
      <c r="AE145" s="58"/>
      <c r="AF145" s="58"/>
      <c r="AG145" s="264"/>
      <c r="AH145" s="69"/>
      <c r="AI145" s="69"/>
      <c r="AJ145" s="70"/>
      <c r="AK145" s="58"/>
      <c r="AL145" s="58"/>
      <c r="AM145" s="58"/>
      <c r="AN145" s="58"/>
      <c r="AO145" s="58"/>
      <c r="AP145" s="58"/>
      <c r="AQ145" s="57"/>
      <c r="AR145" s="70"/>
      <c r="AS145" s="70"/>
      <c r="AT145" s="242"/>
    </row>
    <row r="146" spans="1:46" x14ac:dyDescent="0.25">
      <c r="A146" s="4"/>
      <c r="B146" s="35" t="s">
        <v>40</v>
      </c>
      <c r="C146" s="55"/>
      <c r="D146" s="56"/>
      <c r="E146" s="56"/>
      <c r="F146" s="56"/>
      <c r="G146" s="56"/>
      <c r="H146" s="56"/>
      <c r="I146" s="56"/>
      <c r="J146" s="56"/>
      <c r="K146" s="56"/>
      <c r="L146" s="56"/>
      <c r="M146" s="338"/>
      <c r="N146" s="56"/>
      <c r="O146" s="58"/>
      <c r="P146" s="58"/>
      <c r="Q146" s="56"/>
      <c r="R146" s="58"/>
      <c r="S146" s="56"/>
      <c r="T146" s="58"/>
      <c r="U146" s="338"/>
      <c r="V146" s="56"/>
      <c r="W146" s="338"/>
      <c r="X146" s="57"/>
      <c r="Y146" s="4"/>
      <c r="Z146" s="4"/>
      <c r="AA146" s="58"/>
      <c r="AB146" s="58"/>
      <c r="AC146" s="58"/>
      <c r="AD146" s="58"/>
      <c r="AE146" s="58"/>
      <c r="AF146" s="58"/>
      <c r="AG146" s="264"/>
      <c r="AH146" s="69"/>
      <c r="AI146" s="69"/>
      <c r="AJ146" s="70"/>
      <c r="AK146" s="58"/>
      <c r="AL146" s="58"/>
      <c r="AM146" s="58"/>
      <c r="AN146" s="58"/>
      <c r="AO146" s="58"/>
      <c r="AP146" s="58"/>
      <c r="AQ146" s="57"/>
      <c r="AR146" s="70"/>
      <c r="AS146" s="70"/>
      <c r="AT146" s="242"/>
    </row>
    <row r="147" spans="1:46" x14ac:dyDescent="0.25">
      <c r="A147" s="4"/>
      <c r="B147" s="35" t="s">
        <v>41</v>
      </c>
      <c r="C147" s="131"/>
      <c r="D147" s="58"/>
      <c r="E147" s="58"/>
      <c r="F147" s="58"/>
      <c r="G147" s="58"/>
      <c r="H147" s="58"/>
      <c r="I147" s="58"/>
      <c r="J147" s="58"/>
      <c r="K147" s="58"/>
      <c r="L147" s="130"/>
      <c r="M147" s="338"/>
      <c r="N147" s="56"/>
      <c r="O147" s="58"/>
      <c r="P147" s="58"/>
      <c r="Q147" s="58"/>
      <c r="R147" s="58"/>
      <c r="S147" s="58"/>
      <c r="T147" s="58"/>
      <c r="U147" s="242"/>
      <c r="V147" s="69"/>
      <c r="W147" s="251"/>
      <c r="X147" s="70"/>
      <c r="Y147" s="4"/>
      <c r="Z147" s="4"/>
      <c r="AA147" s="58"/>
      <c r="AB147" s="58"/>
      <c r="AC147" s="58"/>
      <c r="AD147" s="58"/>
      <c r="AE147" s="58"/>
      <c r="AF147" s="58"/>
      <c r="AG147" s="264"/>
      <c r="AH147" s="69"/>
      <c r="AI147" s="69"/>
      <c r="AJ147" s="70"/>
      <c r="AK147" s="58"/>
      <c r="AL147" s="58"/>
      <c r="AM147" s="58"/>
      <c r="AN147" s="58"/>
      <c r="AO147" s="58"/>
      <c r="AP147" s="58"/>
      <c r="AQ147" s="57"/>
      <c r="AR147" s="57"/>
      <c r="AS147" s="57"/>
      <c r="AT147" s="264"/>
    </row>
    <row r="148" spans="1:46" x14ac:dyDescent="0.25">
      <c r="A148" s="4">
        <f>+A139+1</f>
        <v>18</v>
      </c>
      <c r="B148" s="46" t="s">
        <v>25</v>
      </c>
      <c r="C148" s="132"/>
      <c r="D148" s="66"/>
      <c r="E148" s="66"/>
      <c r="F148" s="66"/>
      <c r="G148" s="66"/>
      <c r="H148" s="133"/>
      <c r="I148" s="66"/>
      <c r="J148" s="133"/>
      <c r="K148" s="66"/>
      <c r="L148" s="134"/>
      <c r="M148" s="265"/>
      <c r="N148" s="66"/>
      <c r="O148" s="133"/>
      <c r="P148" s="133"/>
      <c r="Q148" s="66"/>
      <c r="R148" s="133"/>
      <c r="S148" s="66"/>
      <c r="T148" s="133"/>
      <c r="U148" s="265"/>
      <c r="V148" s="66"/>
      <c r="W148" s="265"/>
      <c r="X148" s="67"/>
      <c r="Y148" s="4"/>
      <c r="Z148" s="4"/>
      <c r="AA148" s="132"/>
      <c r="AB148" s="133"/>
      <c r="AC148" s="66"/>
      <c r="AD148" s="133"/>
      <c r="AE148" s="66"/>
      <c r="AF148" s="133"/>
      <c r="AG148" s="265"/>
      <c r="AH148" s="212"/>
      <c r="AI148" s="212"/>
      <c r="AJ148" s="468"/>
      <c r="AK148" s="133"/>
      <c r="AL148" s="133"/>
      <c r="AM148" s="66"/>
      <c r="AN148" s="133"/>
      <c r="AO148" s="66"/>
      <c r="AP148" s="133"/>
      <c r="AQ148" s="134"/>
      <c r="AR148" s="231"/>
      <c r="AS148" s="231"/>
      <c r="AT148" s="231"/>
    </row>
    <row r="149" spans="1:46" x14ac:dyDescent="0.25">
      <c r="A149" s="4"/>
      <c r="B149" s="35" t="s">
        <v>60</v>
      </c>
      <c r="C149" s="135"/>
      <c r="D149" s="136"/>
      <c r="E149" s="136"/>
      <c r="F149" s="136"/>
      <c r="G149" s="136"/>
      <c r="H149" s="137"/>
      <c r="I149" s="136"/>
      <c r="J149" s="137"/>
      <c r="K149" s="136"/>
      <c r="L149" s="138"/>
      <c r="M149" s="230"/>
      <c r="N149" s="136"/>
      <c r="O149" s="137"/>
      <c r="P149" s="137"/>
      <c r="Q149" s="136"/>
      <c r="R149" s="137"/>
      <c r="S149" s="136"/>
      <c r="T149" s="137"/>
      <c r="U149" s="230"/>
      <c r="V149" s="136"/>
      <c r="W149" s="230"/>
      <c r="X149" s="141"/>
      <c r="Y149" s="4"/>
      <c r="Z149" s="4"/>
      <c r="AA149" s="139"/>
      <c r="AB149" s="137"/>
      <c r="AC149" s="137"/>
      <c r="AD149" s="137"/>
      <c r="AE149" s="137"/>
      <c r="AF149" s="137"/>
      <c r="AG149" s="230"/>
      <c r="AH149" s="73"/>
      <c r="AI149" s="73"/>
      <c r="AJ149" s="73"/>
      <c r="AK149" s="415"/>
      <c r="AL149" s="137"/>
      <c r="AM149" s="137"/>
      <c r="AN149" s="137"/>
      <c r="AO149" s="137"/>
      <c r="AP149" s="137"/>
      <c r="AQ149" s="137"/>
      <c r="AR149" s="137"/>
      <c r="AS149" s="137"/>
      <c r="AT149" s="230"/>
    </row>
    <row r="150" spans="1:46" x14ac:dyDescent="0.25">
      <c r="A150" s="4"/>
      <c r="B150" s="35" t="s">
        <v>61</v>
      </c>
      <c r="C150" s="135"/>
      <c r="D150" s="136"/>
      <c r="E150" s="136"/>
      <c r="F150" s="136"/>
      <c r="G150" s="136"/>
      <c r="H150" s="137"/>
      <c r="I150" s="136"/>
      <c r="J150" s="137"/>
      <c r="K150" s="136"/>
      <c r="L150" s="230"/>
      <c r="M150" s="230"/>
      <c r="N150" s="136"/>
      <c r="O150" s="137"/>
      <c r="P150" s="137"/>
      <c r="Q150" s="136"/>
      <c r="R150" s="137"/>
      <c r="S150" s="136"/>
      <c r="T150" s="137"/>
      <c r="U150" s="230"/>
      <c r="V150" s="136"/>
      <c r="W150" s="230"/>
      <c r="X150" s="141"/>
      <c r="Y150" s="4"/>
      <c r="Z150" s="4"/>
      <c r="AA150" s="139"/>
      <c r="AB150" s="137"/>
      <c r="AC150" s="137"/>
      <c r="AD150" s="137"/>
      <c r="AE150" s="137"/>
      <c r="AF150" s="137"/>
      <c r="AG150" s="230"/>
      <c r="AH150" s="73"/>
      <c r="AI150" s="73"/>
      <c r="AJ150" s="73"/>
      <c r="AK150" s="415"/>
      <c r="AL150" s="137"/>
      <c r="AM150" s="137"/>
      <c r="AN150" s="137"/>
      <c r="AO150" s="137"/>
      <c r="AP150" s="137"/>
      <c r="AQ150" s="137"/>
      <c r="AR150" s="137"/>
      <c r="AS150" s="137"/>
      <c r="AT150" s="230"/>
    </row>
    <row r="151" spans="1:46" x14ac:dyDescent="0.25">
      <c r="A151" s="4"/>
      <c r="B151" s="35" t="s">
        <v>62</v>
      </c>
      <c r="C151" s="135"/>
      <c r="D151" s="136"/>
      <c r="E151" s="136"/>
      <c r="F151" s="136"/>
      <c r="G151" s="136"/>
      <c r="H151" s="137"/>
      <c r="I151" s="136"/>
      <c r="J151" s="137"/>
      <c r="K151" s="136"/>
      <c r="L151" s="230"/>
      <c r="M151" s="484"/>
      <c r="N151" s="233"/>
      <c r="O151" s="234"/>
      <c r="P151" s="234"/>
      <c r="Q151" s="73"/>
      <c r="R151" s="73"/>
      <c r="S151" s="73"/>
      <c r="T151" s="73"/>
      <c r="U151" s="250"/>
      <c r="V151" s="136"/>
      <c r="W151" s="230"/>
      <c r="X151" s="141"/>
      <c r="Y151" s="4"/>
      <c r="Z151" s="4"/>
      <c r="AA151" s="139"/>
      <c r="AB151" s="137"/>
      <c r="AC151" s="137"/>
      <c r="AD151" s="137"/>
      <c r="AE151" s="137"/>
      <c r="AF151" s="137"/>
      <c r="AG151" s="230"/>
      <c r="AH151" s="73"/>
      <c r="AI151" s="73"/>
      <c r="AJ151" s="73"/>
      <c r="AK151" s="415"/>
      <c r="AL151" s="137"/>
      <c r="AM151" s="137"/>
      <c r="AN151" s="137"/>
      <c r="AO151" s="137"/>
      <c r="AP151" s="137"/>
      <c r="AQ151" s="137"/>
      <c r="AR151" s="137"/>
      <c r="AS151" s="137"/>
      <c r="AT151" s="230"/>
    </row>
    <row r="152" spans="1:46" x14ac:dyDescent="0.25">
      <c r="A152" s="4"/>
      <c r="B152" s="35" t="s">
        <v>63</v>
      </c>
      <c r="C152" s="135"/>
      <c r="D152" s="136"/>
      <c r="E152" s="136"/>
      <c r="F152" s="136"/>
      <c r="G152" s="136"/>
      <c r="H152" s="137"/>
      <c r="I152" s="136"/>
      <c r="J152" s="137"/>
      <c r="K152" s="136"/>
      <c r="L152" s="230"/>
      <c r="M152" s="484"/>
      <c r="N152" s="233"/>
      <c r="O152" s="234"/>
      <c r="P152" s="234"/>
      <c r="Q152" s="73"/>
      <c r="R152" s="73"/>
      <c r="S152" s="73"/>
      <c r="T152" s="73"/>
      <c r="U152" s="250"/>
      <c r="V152" s="136"/>
      <c r="W152" s="230"/>
      <c r="X152" s="141"/>
      <c r="Y152" s="4"/>
      <c r="Z152" s="4"/>
      <c r="AA152" s="139"/>
      <c r="AB152" s="137"/>
      <c r="AC152" s="137"/>
      <c r="AD152" s="137"/>
      <c r="AE152" s="137"/>
      <c r="AF152" s="137"/>
      <c r="AG152" s="230"/>
      <c r="AH152" s="73"/>
      <c r="AI152" s="73"/>
      <c r="AJ152" s="73"/>
      <c r="AK152" s="415"/>
      <c r="AL152" s="137"/>
      <c r="AM152" s="137"/>
      <c r="AN152" s="137"/>
      <c r="AO152" s="137"/>
      <c r="AP152" s="137"/>
      <c r="AQ152" s="137"/>
      <c r="AR152" s="137"/>
      <c r="AS152" s="137"/>
      <c r="AT152" s="230"/>
    </row>
    <row r="153" spans="1:46" x14ac:dyDescent="0.25">
      <c r="A153" s="4"/>
      <c r="B153" s="35" t="s">
        <v>38</v>
      </c>
      <c r="C153" s="135"/>
      <c r="D153" s="136"/>
      <c r="E153" s="136"/>
      <c r="F153" s="136"/>
      <c r="G153" s="136"/>
      <c r="H153" s="137"/>
      <c r="I153" s="136"/>
      <c r="J153" s="137"/>
      <c r="K153" s="136"/>
      <c r="L153" s="230"/>
      <c r="M153" s="250"/>
      <c r="N153" s="73"/>
      <c r="O153" s="73"/>
      <c r="P153" s="73"/>
      <c r="Q153" s="73"/>
      <c r="R153" s="73"/>
      <c r="S153" s="73"/>
      <c r="T153" s="73"/>
      <c r="U153" s="250"/>
      <c r="V153" s="136"/>
      <c r="W153" s="230"/>
      <c r="X153" s="141"/>
      <c r="Y153" s="4"/>
      <c r="Z153" s="4"/>
      <c r="AA153" s="140"/>
      <c r="AB153" s="137"/>
      <c r="AC153" s="137"/>
      <c r="AD153" s="137"/>
      <c r="AE153" s="137"/>
      <c r="AF153" s="137"/>
      <c r="AG153" s="266"/>
      <c r="AH153" s="73"/>
      <c r="AI153" s="73"/>
      <c r="AJ153" s="73"/>
      <c r="AK153" s="230"/>
      <c r="AL153" s="137"/>
      <c r="AM153" s="137"/>
      <c r="AN153" s="137"/>
      <c r="AO153" s="137"/>
      <c r="AP153" s="137"/>
      <c r="AQ153" s="141"/>
      <c r="AR153" s="137"/>
      <c r="AS153" s="137"/>
      <c r="AT153" s="230"/>
    </row>
    <row r="154" spans="1:46" x14ac:dyDescent="0.25">
      <c r="A154" s="4"/>
      <c r="B154" s="35" t="s">
        <v>39</v>
      </c>
      <c r="C154" s="135"/>
      <c r="D154" s="136"/>
      <c r="E154" s="136"/>
      <c r="F154" s="136"/>
      <c r="G154" s="136"/>
      <c r="H154" s="137"/>
      <c r="I154" s="136"/>
      <c r="J154" s="137"/>
      <c r="K154" s="136"/>
      <c r="L154" s="230"/>
      <c r="M154" s="250"/>
      <c r="N154" s="73"/>
      <c r="O154" s="73"/>
      <c r="P154" s="73"/>
      <c r="Q154" s="73"/>
      <c r="R154" s="73"/>
      <c r="S154" s="73"/>
      <c r="T154" s="73"/>
      <c r="U154" s="250"/>
      <c r="V154" s="136"/>
      <c r="W154" s="230"/>
      <c r="X154" s="141"/>
      <c r="Y154" s="4"/>
      <c r="Z154" s="4"/>
      <c r="AA154" s="140"/>
      <c r="AB154" s="137"/>
      <c r="AC154" s="137"/>
      <c r="AD154" s="137"/>
      <c r="AE154" s="137"/>
      <c r="AF154" s="137"/>
      <c r="AG154" s="266"/>
      <c r="AH154" s="73"/>
      <c r="AI154" s="73"/>
      <c r="AJ154" s="73"/>
      <c r="AK154" s="230"/>
      <c r="AL154" s="137"/>
      <c r="AM154" s="137"/>
      <c r="AN154" s="137"/>
      <c r="AO154" s="137"/>
      <c r="AP154" s="137"/>
      <c r="AQ154" s="141"/>
      <c r="AR154" s="137"/>
      <c r="AS154" s="137"/>
      <c r="AT154" s="230"/>
    </row>
    <row r="155" spans="1:46" x14ac:dyDescent="0.25">
      <c r="A155" s="4"/>
      <c r="B155" s="35" t="s">
        <v>40</v>
      </c>
      <c r="C155" s="135"/>
      <c r="D155" s="136"/>
      <c r="E155" s="136"/>
      <c r="F155" s="136"/>
      <c r="G155" s="136"/>
      <c r="H155" s="137"/>
      <c r="I155" s="136"/>
      <c r="J155" s="137"/>
      <c r="K155" s="136"/>
      <c r="L155" s="230"/>
      <c r="M155" s="250"/>
      <c r="N155" s="73"/>
      <c r="O155" s="73"/>
      <c r="P155" s="73"/>
      <c r="Q155" s="73"/>
      <c r="R155" s="73"/>
      <c r="S155" s="73"/>
      <c r="T155" s="73"/>
      <c r="U155" s="250"/>
      <c r="V155" s="136"/>
      <c r="W155" s="230"/>
      <c r="X155" s="141"/>
      <c r="Y155" s="4"/>
      <c r="Z155" s="4"/>
      <c r="AA155" s="140"/>
      <c r="AB155" s="137"/>
      <c r="AC155" s="137"/>
      <c r="AD155" s="137"/>
      <c r="AE155" s="137"/>
      <c r="AF155" s="137"/>
      <c r="AG155" s="266"/>
      <c r="AH155" s="73"/>
      <c r="AI155" s="73"/>
      <c r="AJ155" s="73"/>
      <c r="AK155" s="230"/>
      <c r="AL155" s="137"/>
      <c r="AM155" s="137"/>
      <c r="AN155" s="137"/>
      <c r="AO155" s="137"/>
      <c r="AP155" s="137"/>
      <c r="AQ155" s="141"/>
      <c r="AR155" s="137"/>
      <c r="AS155" s="137"/>
      <c r="AT155" s="230"/>
    </row>
    <row r="156" spans="1:46" x14ac:dyDescent="0.25">
      <c r="A156" s="4"/>
      <c r="B156" s="35" t="s">
        <v>41</v>
      </c>
      <c r="C156" s="140"/>
      <c r="D156" s="137"/>
      <c r="E156" s="137"/>
      <c r="F156" s="137"/>
      <c r="G156" s="137"/>
      <c r="H156" s="137"/>
      <c r="I156" s="137"/>
      <c r="J156" s="137"/>
      <c r="K156" s="137"/>
      <c r="L156" s="230"/>
      <c r="M156" s="250"/>
      <c r="N156" s="73"/>
      <c r="O156" s="73"/>
      <c r="P156" s="73"/>
      <c r="Q156" s="73"/>
      <c r="R156" s="73"/>
      <c r="S156" s="73"/>
      <c r="T156" s="73"/>
      <c r="U156" s="250"/>
      <c r="V156" s="73"/>
      <c r="W156" s="478"/>
      <c r="X156" s="74"/>
      <c r="Y156" s="4"/>
      <c r="Z156" s="4"/>
      <c r="AA156" s="140"/>
      <c r="AB156" s="137"/>
      <c r="AC156" s="137"/>
      <c r="AD156" s="137"/>
      <c r="AE156" s="137"/>
      <c r="AF156" s="137"/>
      <c r="AG156" s="266"/>
      <c r="AH156" s="73"/>
      <c r="AI156" s="73"/>
      <c r="AJ156" s="74"/>
      <c r="AK156" s="230"/>
      <c r="AL156" s="137"/>
      <c r="AM156" s="137"/>
      <c r="AN156" s="137"/>
      <c r="AO156" s="137"/>
      <c r="AP156" s="137"/>
      <c r="AQ156" s="141"/>
      <c r="AR156" s="141"/>
      <c r="AS156" s="141"/>
      <c r="AT156" s="266"/>
    </row>
    <row r="157" spans="1:46" x14ac:dyDescent="0.25">
      <c r="A157" s="4">
        <f>+A148+1</f>
        <v>19</v>
      </c>
      <c r="B157" s="47" t="s">
        <v>24</v>
      </c>
      <c r="C157" s="142"/>
      <c r="D157" s="128"/>
      <c r="E157" s="128"/>
      <c r="F157" s="128"/>
      <c r="G157" s="128"/>
      <c r="H157" s="142"/>
      <c r="I157" s="128"/>
      <c r="J157" s="142"/>
      <c r="K157" s="128"/>
      <c r="L157" s="231"/>
      <c r="M157" s="468"/>
      <c r="N157" s="212"/>
      <c r="O157" s="212"/>
      <c r="P157" s="212"/>
      <c r="Q157" s="212"/>
      <c r="R157" s="212"/>
      <c r="S157" s="212"/>
      <c r="T157" s="212"/>
      <c r="U157" s="468"/>
      <c r="V157" s="128"/>
      <c r="W157" s="231"/>
      <c r="X157" s="145"/>
      <c r="Y157" s="4"/>
      <c r="Z157" s="4"/>
      <c r="AA157" s="144"/>
      <c r="AB157" s="142"/>
      <c r="AC157" s="128"/>
      <c r="AD157" s="142"/>
      <c r="AE157" s="128"/>
      <c r="AF157" s="142"/>
      <c r="AG157" s="267"/>
      <c r="AH157" s="212"/>
      <c r="AI157" s="212"/>
      <c r="AJ157" s="468"/>
      <c r="AK157" s="142"/>
      <c r="AL157" s="142"/>
      <c r="AM157" s="128"/>
      <c r="AN157" s="142"/>
      <c r="AO157" s="128"/>
      <c r="AP157" s="142"/>
      <c r="AQ157" s="145"/>
      <c r="AR157" s="231"/>
      <c r="AS157" s="231"/>
      <c r="AT157" s="231"/>
    </row>
    <row r="158" spans="1:46" x14ac:dyDescent="0.25">
      <c r="A158" s="4"/>
      <c r="B158" s="35" t="s">
        <v>60</v>
      </c>
      <c r="C158" s="146"/>
      <c r="D158" s="147"/>
      <c r="E158" s="147"/>
      <c r="F158" s="147"/>
      <c r="G158" s="147"/>
      <c r="H158" s="148"/>
      <c r="I158" s="147"/>
      <c r="J158" s="148"/>
      <c r="K158" s="147"/>
      <c r="L158" s="232"/>
      <c r="M158" s="269"/>
      <c r="N158" s="213"/>
      <c r="O158" s="213"/>
      <c r="P158" s="213"/>
      <c r="Q158" s="213"/>
      <c r="R158" s="213"/>
      <c r="S158" s="213"/>
      <c r="T158" s="213"/>
      <c r="U158" s="232"/>
      <c r="V158" s="147"/>
      <c r="W158" s="479"/>
      <c r="X158" s="224"/>
      <c r="Y158" s="4"/>
      <c r="Z158" s="4"/>
      <c r="AA158" s="149"/>
      <c r="AB158" s="148"/>
      <c r="AC158" s="148"/>
      <c r="AD158" s="148"/>
      <c r="AE158" s="148"/>
      <c r="AF158" s="148"/>
      <c r="AG158" s="268"/>
      <c r="AH158" s="213"/>
      <c r="AI158" s="213"/>
      <c r="AJ158" s="218"/>
      <c r="AK158" s="232"/>
      <c r="AL158" s="148"/>
      <c r="AM158" s="148"/>
      <c r="AN158" s="148"/>
      <c r="AO158" s="148"/>
      <c r="AP158" s="148"/>
      <c r="AQ158" s="150"/>
      <c r="AR158" s="150"/>
      <c r="AS158" s="150"/>
      <c r="AT158" s="268"/>
    </row>
    <row r="159" spans="1:46" x14ac:dyDescent="0.25">
      <c r="A159" s="4"/>
      <c r="B159" s="35" t="s">
        <v>61</v>
      </c>
      <c r="C159" s="146"/>
      <c r="D159" s="147"/>
      <c r="E159" s="147"/>
      <c r="F159" s="147"/>
      <c r="G159" s="147"/>
      <c r="H159" s="148"/>
      <c r="I159" s="147"/>
      <c r="J159" s="148"/>
      <c r="K159" s="147"/>
      <c r="L159" s="232"/>
      <c r="M159" s="269"/>
      <c r="N159" s="213"/>
      <c r="O159" s="213"/>
      <c r="P159" s="213"/>
      <c r="Q159" s="213"/>
      <c r="R159" s="213"/>
      <c r="S159" s="213"/>
      <c r="T159" s="213"/>
      <c r="U159" s="232"/>
      <c r="V159" s="147"/>
      <c r="W159" s="479"/>
      <c r="X159" s="224"/>
      <c r="Y159" s="4"/>
      <c r="Z159" s="4"/>
      <c r="AA159" s="149"/>
      <c r="AB159" s="148"/>
      <c r="AC159" s="148"/>
      <c r="AD159" s="148"/>
      <c r="AE159" s="148"/>
      <c r="AF159" s="148"/>
      <c r="AG159" s="268"/>
      <c r="AH159" s="213"/>
      <c r="AI159" s="213"/>
      <c r="AJ159" s="218"/>
      <c r="AK159" s="232"/>
      <c r="AL159" s="148"/>
      <c r="AM159" s="148"/>
      <c r="AN159" s="148"/>
      <c r="AO159" s="148"/>
      <c r="AP159" s="148"/>
      <c r="AQ159" s="150"/>
      <c r="AR159" s="150"/>
      <c r="AS159" s="150"/>
      <c r="AT159" s="268"/>
    </row>
    <row r="160" spans="1:46" x14ac:dyDescent="0.25">
      <c r="A160" s="4"/>
      <c r="B160" s="35" t="s">
        <v>62</v>
      </c>
      <c r="C160" s="146"/>
      <c r="D160" s="147"/>
      <c r="E160" s="147"/>
      <c r="F160" s="147"/>
      <c r="G160" s="147"/>
      <c r="H160" s="148"/>
      <c r="I160" s="147"/>
      <c r="J160" s="148"/>
      <c r="K160" s="147"/>
      <c r="L160" s="232"/>
      <c r="M160" s="269"/>
      <c r="N160" s="213"/>
      <c r="O160" s="213"/>
      <c r="P160" s="213"/>
      <c r="Q160" s="213"/>
      <c r="R160" s="213"/>
      <c r="S160" s="213"/>
      <c r="T160" s="213"/>
      <c r="U160" s="232"/>
      <c r="V160" s="147"/>
      <c r="W160" s="479"/>
      <c r="X160" s="224"/>
      <c r="Y160" s="4"/>
      <c r="Z160" s="4"/>
      <c r="AA160" s="149"/>
      <c r="AB160" s="148"/>
      <c r="AC160" s="148"/>
      <c r="AD160" s="148"/>
      <c r="AE160" s="148"/>
      <c r="AF160" s="148"/>
      <c r="AG160" s="268"/>
      <c r="AH160" s="213"/>
      <c r="AI160" s="213"/>
      <c r="AJ160" s="218"/>
      <c r="AK160" s="232"/>
      <c r="AL160" s="148"/>
      <c r="AM160" s="148"/>
      <c r="AN160" s="148"/>
      <c r="AO160" s="148"/>
      <c r="AP160" s="148"/>
      <c r="AQ160" s="150"/>
      <c r="AR160" s="150"/>
      <c r="AS160" s="150"/>
      <c r="AT160" s="268"/>
    </row>
    <row r="161" spans="1:61" x14ac:dyDescent="0.25">
      <c r="A161" s="4"/>
      <c r="B161" s="35" t="s">
        <v>63</v>
      </c>
      <c r="C161" s="146"/>
      <c r="D161" s="147"/>
      <c r="E161" s="147"/>
      <c r="F161" s="147"/>
      <c r="G161" s="147"/>
      <c r="H161" s="148"/>
      <c r="I161" s="147"/>
      <c r="J161" s="148"/>
      <c r="K161" s="147"/>
      <c r="L161" s="232"/>
      <c r="M161" s="269"/>
      <c r="N161" s="213"/>
      <c r="O161" s="213"/>
      <c r="P161" s="213"/>
      <c r="Q161" s="213"/>
      <c r="R161" s="213"/>
      <c r="S161" s="213"/>
      <c r="T161" s="213"/>
      <c r="U161" s="232"/>
      <c r="V161" s="147"/>
      <c r="W161" s="479"/>
      <c r="X161" s="224"/>
      <c r="Y161" s="4"/>
      <c r="Z161" s="4"/>
      <c r="AA161" s="149"/>
      <c r="AB161" s="148"/>
      <c r="AC161" s="148"/>
      <c r="AD161" s="148"/>
      <c r="AE161" s="148"/>
      <c r="AF161" s="148"/>
      <c r="AG161" s="268"/>
      <c r="AH161" s="213"/>
      <c r="AI161" s="213"/>
      <c r="AJ161" s="218"/>
      <c r="AK161" s="232"/>
      <c r="AL161" s="148"/>
      <c r="AM161" s="148"/>
      <c r="AN161" s="148"/>
      <c r="AO161" s="148"/>
      <c r="AP161" s="148"/>
      <c r="AQ161" s="150"/>
      <c r="AR161" s="150"/>
      <c r="AS161" s="150"/>
      <c r="AT161" s="268"/>
    </row>
    <row r="162" spans="1:61" x14ac:dyDescent="0.25">
      <c r="A162" s="4"/>
      <c r="B162" s="35" t="s">
        <v>38</v>
      </c>
      <c r="C162" s="146"/>
      <c r="D162" s="147"/>
      <c r="E162" s="147"/>
      <c r="F162" s="147"/>
      <c r="G162" s="147"/>
      <c r="H162" s="148"/>
      <c r="I162" s="147"/>
      <c r="J162" s="148"/>
      <c r="K162" s="147"/>
      <c r="L162" s="232"/>
      <c r="M162" s="269"/>
      <c r="N162" s="213"/>
      <c r="O162" s="213"/>
      <c r="P162" s="213"/>
      <c r="Q162" s="213"/>
      <c r="R162" s="213"/>
      <c r="S162" s="213"/>
      <c r="T162" s="213"/>
      <c r="U162" s="232"/>
      <c r="V162" s="147"/>
      <c r="W162" s="479"/>
      <c r="X162" s="224"/>
      <c r="Y162" s="4"/>
      <c r="Z162" s="4"/>
      <c r="AA162" s="149"/>
      <c r="AB162" s="148"/>
      <c r="AC162" s="148"/>
      <c r="AD162" s="148"/>
      <c r="AE162" s="148"/>
      <c r="AF162" s="148"/>
      <c r="AG162" s="268"/>
      <c r="AH162" s="213"/>
      <c r="AI162" s="213"/>
      <c r="AJ162" s="218"/>
      <c r="AK162" s="232"/>
      <c r="AL162" s="148"/>
      <c r="AM162" s="148"/>
      <c r="AN162" s="148"/>
      <c r="AO162" s="148"/>
      <c r="AP162" s="148"/>
      <c r="AQ162" s="150"/>
      <c r="AR162" s="150"/>
      <c r="AS162" s="150"/>
      <c r="AT162" s="268"/>
    </row>
    <row r="163" spans="1:61" x14ac:dyDescent="0.25">
      <c r="A163" s="4"/>
      <c r="B163" s="35" t="s">
        <v>39</v>
      </c>
      <c r="C163" s="146"/>
      <c r="D163" s="147"/>
      <c r="E163" s="147"/>
      <c r="F163" s="147"/>
      <c r="G163" s="147"/>
      <c r="H163" s="148"/>
      <c r="I163" s="147"/>
      <c r="J163" s="148"/>
      <c r="K163" s="147"/>
      <c r="L163" s="232"/>
      <c r="M163" s="270"/>
      <c r="N163" s="237"/>
      <c r="O163" s="237"/>
      <c r="P163" s="237"/>
      <c r="Q163" s="213"/>
      <c r="R163" s="213"/>
      <c r="S163" s="213"/>
      <c r="T163" s="213"/>
      <c r="U163" s="232"/>
      <c r="V163" s="147"/>
      <c r="W163" s="479"/>
      <c r="X163" s="224"/>
      <c r="Y163" s="4"/>
      <c r="Z163" s="4"/>
      <c r="AA163" s="149"/>
      <c r="AB163" s="148"/>
      <c r="AC163" s="148"/>
      <c r="AD163" s="148"/>
      <c r="AE163" s="148"/>
      <c r="AF163" s="148"/>
      <c r="AG163" s="268"/>
      <c r="AH163" s="213"/>
      <c r="AI163" s="213"/>
      <c r="AJ163" s="218"/>
      <c r="AK163" s="232"/>
      <c r="AL163" s="148"/>
      <c r="AM163" s="148"/>
      <c r="AN163" s="148"/>
      <c r="AO163" s="148"/>
      <c r="AP163" s="148"/>
      <c r="AQ163" s="150"/>
      <c r="AR163" s="150"/>
      <c r="AS163" s="150"/>
      <c r="AT163" s="268"/>
    </row>
    <row r="164" spans="1:61" x14ac:dyDescent="0.25">
      <c r="A164" s="4"/>
      <c r="B164" s="35" t="s">
        <v>40</v>
      </c>
      <c r="C164" s="146"/>
      <c r="D164" s="147"/>
      <c r="E164" s="147"/>
      <c r="F164" s="147"/>
      <c r="G164" s="147"/>
      <c r="H164" s="148"/>
      <c r="I164" s="147"/>
      <c r="J164" s="148"/>
      <c r="K164" s="147"/>
      <c r="L164" s="232"/>
      <c r="M164" s="485"/>
      <c r="N164" s="235"/>
      <c r="O164" s="236"/>
      <c r="P164" s="236"/>
      <c r="Q164" s="237"/>
      <c r="R164" s="237"/>
      <c r="S164" s="237"/>
      <c r="T164" s="237"/>
      <c r="U164" s="232"/>
      <c r="V164" s="147"/>
      <c r="W164" s="232"/>
      <c r="X164" s="150"/>
      <c r="Y164" s="4"/>
      <c r="Z164" s="4"/>
      <c r="AA164" s="149"/>
      <c r="AB164" s="148"/>
      <c r="AC164" s="148"/>
      <c r="AD164" s="148"/>
      <c r="AE164" s="148"/>
      <c r="AF164" s="148"/>
      <c r="AG164" s="268"/>
      <c r="AH164" s="213"/>
      <c r="AI164" s="213"/>
      <c r="AJ164" s="218"/>
      <c r="AK164" s="232"/>
      <c r="AL164" s="148"/>
      <c r="AM164" s="148"/>
      <c r="AN164" s="148"/>
      <c r="AO164" s="148"/>
      <c r="AP164" s="148"/>
      <c r="AQ164" s="150"/>
      <c r="AR164" s="150"/>
      <c r="AS164" s="150"/>
      <c r="AT164" s="268"/>
    </row>
    <row r="165" spans="1:61" ht="15.75" thickBot="1" x14ac:dyDescent="0.3">
      <c r="A165" s="4"/>
      <c r="B165" s="36" t="s">
        <v>41</v>
      </c>
      <c r="C165" s="151"/>
      <c r="D165" s="152"/>
      <c r="E165" s="152"/>
      <c r="F165" s="152"/>
      <c r="G165" s="152"/>
      <c r="H165" s="152"/>
      <c r="I165" s="152"/>
      <c r="J165" s="152"/>
      <c r="K165" s="152"/>
      <c r="L165" s="197"/>
      <c r="M165" s="271"/>
      <c r="N165" s="201"/>
      <c r="O165" s="152"/>
      <c r="P165" s="152"/>
      <c r="Q165" s="152"/>
      <c r="R165" s="152"/>
      <c r="S165" s="152"/>
      <c r="T165" s="152"/>
      <c r="U165" s="425"/>
      <c r="V165" s="201"/>
      <c r="W165" s="271"/>
      <c r="X165" s="153"/>
      <c r="Y165" s="4"/>
      <c r="Z165" s="152"/>
      <c r="AA165" s="152"/>
      <c r="AB165" s="152"/>
      <c r="AC165" s="152"/>
      <c r="AD165" s="152"/>
      <c r="AE165" s="152"/>
      <c r="AF165" s="152"/>
      <c r="AG165" s="425"/>
      <c r="AH165" s="505"/>
      <c r="AI165" s="505"/>
      <c r="AJ165" s="221"/>
      <c r="AK165" s="152"/>
      <c r="AL165" s="152"/>
      <c r="AM165" s="152"/>
      <c r="AN165" s="152"/>
      <c r="AO165" s="152"/>
      <c r="AP165" s="152"/>
      <c r="AQ165" s="153"/>
      <c r="AR165" s="153"/>
      <c r="AS165" s="153"/>
      <c r="AT165" s="425"/>
    </row>
    <row r="166" spans="1:61" ht="15.75" thickTop="1" x14ac:dyDescent="0.25">
      <c r="A166" s="4"/>
      <c r="V166" s="483"/>
    </row>
    <row r="167" spans="1:61" x14ac:dyDescent="0.25">
      <c r="B167" s="1" t="s">
        <v>27</v>
      </c>
      <c r="V167" s="483"/>
    </row>
    <row r="168" spans="1:61" ht="191.25" customHeight="1" x14ac:dyDescent="0.25">
      <c r="B168" s="240" t="s">
        <v>51</v>
      </c>
      <c r="C168" s="539" t="s">
        <v>53</v>
      </c>
      <c r="D168" s="539"/>
      <c r="E168" s="539"/>
      <c r="F168" s="539"/>
      <c r="G168" s="539"/>
      <c r="H168" s="539"/>
      <c r="I168" s="539"/>
      <c r="J168" s="539"/>
      <c r="K168" s="539"/>
      <c r="L168" s="539"/>
      <c r="N168" s="541" t="s">
        <v>52</v>
      </c>
      <c r="O168" s="542"/>
      <c r="P168" s="542"/>
      <c r="Q168" s="542"/>
      <c r="R168" s="542"/>
      <c r="S168" s="497"/>
      <c r="T168" s="527" t="s">
        <v>54</v>
      </c>
      <c r="U168" s="527"/>
      <c r="V168" s="527"/>
      <c r="W168" s="527"/>
      <c r="X168" s="527"/>
      <c r="Y168" s="527"/>
      <c r="Z168" s="527"/>
      <c r="AA168" s="527"/>
      <c r="AB168" s="527"/>
      <c r="AC168" s="527"/>
      <c r="AE168" s="527" t="s">
        <v>55</v>
      </c>
      <c r="AF168" s="527"/>
      <c r="AG168" s="527"/>
      <c r="AH168" s="527"/>
      <c r="AI168" s="527"/>
      <c r="AJ168" s="527"/>
      <c r="AK168" s="527"/>
      <c r="AM168" s="527" t="s">
        <v>56</v>
      </c>
      <c r="AN168" s="527"/>
      <c r="AO168" s="527"/>
      <c r="AP168" s="527"/>
      <c r="AQ168" s="527"/>
      <c r="AR168" s="527"/>
      <c r="AT168" s="527" t="s">
        <v>58</v>
      </c>
      <c r="AU168" s="527"/>
      <c r="AV168" s="527"/>
      <c r="AW168" s="527"/>
      <c r="AX168" s="527"/>
      <c r="AZ168" s="526" t="s">
        <v>59</v>
      </c>
      <c r="BA168" s="526"/>
      <c r="BB168" s="526"/>
      <c r="BC168" s="526"/>
      <c r="BD168" s="526"/>
      <c r="BE168" s="525" t="s">
        <v>64</v>
      </c>
      <c r="BF168" s="525"/>
      <c r="BG168" s="525"/>
      <c r="BH168" s="525"/>
      <c r="BI168" s="525"/>
    </row>
    <row r="171" spans="1:61" x14ac:dyDescent="0.25">
      <c r="B171" s="34" t="s">
        <v>26</v>
      </c>
    </row>
    <row r="172" spans="1:61" ht="97.5" customHeight="1" x14ac:dyDescent="0.25">
      <c r="B172" s="340"/>
      <c r="C172" s="538"/>
      <c r="D172" s="538"/>
      <c r="E172" s="538"/>
      <c r="F172" s="538"/>
      <c r="G172" s="538"/>
      <c r="H172" s="538"/>
      <c r="I172" s="538"/>
      <c r="J172" s="538"/>
      <c r="K172" s="538"/>
      <c r="L172" s="538"/>
    </row>
    <row r="173" spans="1:61" ht="52.5" customHeight="1" x14ac:dyDescent="0.25">
      <c r="B173" s="340"/>
      <c r="C173" s="538"/>
      <c r="D173" s="538"/>
      <c r="E173" s="538"/>
      <c r="F173" s="538"/>
      <c r="G173" s="538"/>
      <c r="H173" s="538"/>
      <c r="I173" s="538"/>
      <c r="J173" s="538"/>
      <c r="K173" s="538"/>
      <c r="L173" s="538"/>
    </row>
    <row r="174" spans="1:61" ht="37.5" customHeight="1" x14ac:dyDescent="0.25">
      <c r="B174" s="340"/>
      <c r="C174" s="538"/>
      <c r="D174" s="538"/>
      <c r="E174" s="538"/>
      <c r="F174" s="538"/>
      <c r="G174" s="538"/>
      <c r="H174" s="538"/>
      <c r="I174" s="538"/>
      <c r="J174" s="538"/>
      <c r="K174" s="538"/>
      <c r="L174" s="538"/>
    </row>
    <row r="175" spans="1:61" ht="63.75" customHeight="1" x14ac:dyDescent="0.25">
      <c r="B175" s="340"/>
      <c r="C175" s="538"/>
      <c r="D175" s="538"/>
      <c r="E175" s="538"/>
      <c r="F175" s="538"/>
      <c r="G175" s="538"/>
      <c r="H175" s="538"/>
      <c r="I175" s="538"/>
      <c r="J175" s="538"/>
      <c r="K175" s="538"/>
      <c r="L175" s="538"/>
    </row>
  </sheetData>
  <mergeCells count="19">
    <mergeCell ref="C4:I4"/>
    <mergeCell ref="M4:S4"/>
    <mergeCell ref="B1:AA1"/>
    <mergeCell ref="C2:I2"/>
    <mergeCell ref="M2:S2"/>
    <mergeCell ref="C3:I3"/>
    <mergeCell ref="M3:S3"/>
    <mergeCell ref="C175:L175"/>
    <mergeCell ref="C168:L168"/>
    <mergeCell ref="N168:R168"/>
    <mergeCell ref="T168:AC168"/>
    <mergeCell ref="AE168:AK168"/>
    <mergeCell ref="AZ168:BD168"/>
    <mergeCell ref="BE168:BI168"/>
    <mergeCell ref="C172:L172"/>
    <mergeCell ref="C173:L173"/>
    <mergeCell ref="C174:L174"/>
    <mergeCell ref="AM168:AR168"/>
    <mergeCell ref="AT168:AX168"/>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44"/>
  <sheetViews>
    <sheetView workbookViewId="0">
      <selection activeCell="C5" sqref="C5"/>
    </sheetView>
  </sheetViews>
  <sheetFormatPr defaultColWidth="9.140625" defaultRowHeight="15" x14ac:dyDescent="0.25"/>
  <cols>
    <col min="1" max="1" width="5.85546875" style="2" customWidth="1"/>
    <col min="2" max="2" width="63" style="2" customWidth="1"/>
    <col min="3" max="3" width="13.5703125" style="2" bestFit="1" customWidth="1"/>
    <col min="4" max="4" width="11.85546875" style="402" customWidth="1"/>
    <col min="5"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41" width="12.7109375" style="4" bestFit="1" customWidth="1"/>
    <col min="42" max="16384" width="9.140625" style="2"/>
  </cols>
  <sheetData>
    <row r="1" spans="1:41" ht="16.5" thickTop="1" thickBot="1" x14ac:dyDescent="0.3">
      <c r="B1" s="528" t="s">
        <v>19</v>
      </c>
      <c r="C1" s="529"/>
      <c r="D1" s="529"/>
      <c r="E1" s="529"/>
      <c r="F1" s="529"/>
      <c r="G1" s="529"/>
      <c r="H1" s="529"/>
      <c r="I1" s="529"/>
      <c r="J1" s="529"/>
      <c r="K1" s="529"/>
      <c r="L1" s="529"/>
      <c r="M1" s="529"/>
      <c r="N1" s="529"/>
      <c r="O1" s="529"/>
      <c r="P1" s="529"/>
      <c r="Q1" s="529"/>
      <c r="R1" s="529"/>
      <c r="S1" s="529"/>
      <c r="T1" s="529"/>
      <c r="U1" s="529"/>
      <c r="V1" s="529"/>
      <c r="W1" s="529"/>
      <c r="X1" s="38"/>
      <c r="Y1" s="38"/>
      <c r="Z1" s="38"/>
      <c r="AA1" s="38"/>
      <c r="AB1" s="39"/>
    </row>
    <row r="2" spans="1:41" ht="27.6" customHeight="1" thickTop="1" thickBot="1" x14ac:dyDescent="0.3">
      <c r="B2" s="5">
        <v>8</v>
      </c>
      <c r="C2" s="531" t="s">
        <v>57</v>
      </c>
      <c r="D2" s="532"/>
      <c r="E2" s="532"/>
      <c r="F2" s="532"/>
      <c r="G2" s="532"/>
      <c r="H2" s="532"/>
      <c r="I2" s="532"/>
      <c r="J2" s="6"/>
      <c r="K2" s="7"/>
      <c r="L2" s="7"/>
      <c r="M2" s="7"/>
      <c r="N2" s="7"/>
      <c r="O2" s="7"/>
      <c r="P2" s="7"/>
      <c r="Q2" s="7"/>
      <c r="R2" s="7"/>
      <c r="S2" s="7"/>
      <c r="T2" s="7"/>
      <c r="U2" s="7"/>
      <c r="V2" s="7"/>
      <c r="W2" s="8"/>
    </row>
    <row r="3" spans="1:41" ht="27.6" customHeight="1" thickTop="1" thickBot="1" x14ac:dyDescent="0.3">
      <c r="B3" s="5" t="s">
        <v>1</v>
      </c>
      <c r="C3" s="531" t="s">
        <v>48</v>
      </c>
      <c r="D3" s="532"/>
      <c r="E3" s="532"/>
      <c r="F3" s="532"/>
      <c r="G3" s="532"/>
      <c r="H3" s="532"/>
      <c r="I3" s="532"/>
      <c r="J3" s="6"/>
      <c r="K3" s="9"/>
      <c r="L3" s="9"/>
      <c r="M3" s="9"/>
      <c r="N3" s="9"/>
      <c r="O3" s="9"/>
      <c r="P3" s="9"/>
      <c r="Q3" s="9"/>
      <c r="R3" s="9"/>
      <c r="S3" s="9"/>
      <c r="T3" s="9"/>
      <c r="U3" s="9"/>
      <c r="V3" s="9"/>
      <c r="W3" s="10"/>
    </row>
    <row r="4" spans="1:41" ht="27.6" customHeight="1" thickTop="1" thickBot="1" x14ac:dyDescent="0.3">
      <c r="B4" s="5" t="s">
        <v>2</v>
      </c>
      <c r="C4" s="533">
        <v>44266</v>
      </c>
      <c r="D4" s="534"/>
      <c r="E4" s="534"/>
      <c r="F4" s="534"/>
      <c r="G4" s="534"/>
      <c r="H4" s="534"/>
      <c r="I4" s="534"/>
      <c r="J4" s="6"/>
      <c r="K4" s="9"/>
      <c r="L4" s="9"/>
      <c r="M4" s="9"/>
      <c r="N4" s="9"/>
      <c r="O4" s="9"/>
      <c r="P4" s="9"/>
      <c r="Q4" s="9"/>
      <c r="R4" s="9"/>
      <c r="S4" s="9"/>
      <c r="T4" s="9"/>
      <c r="U4" s="9"/>
      <c r="V4" s="9"/>
      <c r="W4" s="11"/>
    </row>
    <row r="5" spans="1:41" ht="15.75" thickTop="1" x14ac:dyDescent="0.25">
      <c r="B5" s="5"/>
      <c r="C5" s="12"/>
      <c r="D5" s="367"/>
      <c r="E5" s="12"/>
      <c r="F5" s="6"/>
      <c r="G5" s="7"/>
      <c r="H5" s="6"/>
      <c r="I5" s="7"/>
      <c r="J5" s="6"/>
      <c r="K5" s="9"/>
      <c r="L5" s="9"/>
      <c r="M5" s="9"/>
      <c r="N5" s="9"/>
      <c r="O5" s="9"/>
      <c r="P5" s="9"/>
      <c r="Q5" s="9"/>
      <c r="R5" s="9"/>
      <c r="S5" s="9"/>
      <c r="T5" s="9"/>
      <c r="U5" s="9"/>
      <c r="V5" s="9"/>
      <c r="W5" s="11"/>
    </row>
    <row r="6" spans="1:41" ht="15.75" thickBot="1" x14ac:dyDescent="0.3">
      <c r="B6" s="13"/>
      <c r="C6" s="14"/>
      <c r="D6" s="368"/>
      <c r="E6" s="15"/>
      <c r="F6" s="16"/>
      <c r="G6" s="17"/>
      <c r="H6" s="18"/>
      <c r="I6" s="17"/>
      <c r="J6" s="19"/>
      <c r="K6" s="18"/>
      <c r="L6" s="18"/>
      <c r="M6" s="18"/>
      <c r="N6" s="18"/>
      <c r="O6" s="18"/>
      <c r="P6" s="18"/>
      <c r="Q6" s="18"/>
      <c r="R6" s="18"/>
      <c r="S6" s="18"/>
      <c r="T6" s="18"/>
      <c r="U6" s="18"/>
      <c r="V6" s="18"/>
      <c r="W6" s="20"/>
    </row>
    <row r="7" spans="1:41" s="3" customFormat="1" ht="15.75" thickBot="1" x14ac:dyDescent="0.3">
      <c r="B7" s="21"/>
      <c r="C7" s="22"/>
      <c r="D7" s="369"/>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row>
    <row r="8" spans="1:41" ht="15.75" thickBot="1" x14ac:dyDescent="0.3">
      <c r="B8" s="27"/>
      <c r="C8" s="370">
        <v>44203</v>
      </c>
      <c r="D8" s="244">
        <v>44210</v>
      </c>
      <c r="E8" s="244">
        <v>44217</v>
      </c>
      <c r="F8" s="244">
        <v>44224</v>
      </c>
      <c r="G8" s="244">
        <v>44231</v>
      </c>
      <c r="H8" s="244">
        <v>44238</v>
      </c>
      <c r="I8" s="244">
        <v>44245</v>
      </c>
      <c r="J8" s="206">
        <v>44252</v>
      </c>
      <c r="K8" s="244">
        <v>44259</v>
      </c>
      <c r="L8" s="522">
        <v>44266</v>
      </c>
      <c r="M8" s="208"/>
      <c r="N8" s="209"/>
      <c r="O8" s="208"/>
      <c r="P8" s="206"/>
      <c r="Q8" s="206"/>
      <c r="R8" s="206"/>
      <c r="S8" s="206"/>
      <c r="T8" s="206"/>
      <c r="U8" s="210"/>
      <c r="V8" s="205"/>
      <c r="W8" s="244"/>
      <c r="X8" s="244"/>
      <c r="Y8" s="244"/>
      <c r="Z8" s="244"/>
      <c r="AA8" s="244"/>
      <c r="AB8" s="248"/>
      <c r="AC8" s="279"/>
      <c r="AD8" s="282"/>
      <c r="AE8" s="308"/>
      <c r="AF8" s="308"/>
      <c r="AG8" s="331"/>
      <c r="AH8" s="331"/>
      <c r="AI8" s="331"/>
      <c r="AJ8" s="331"/>
      <c r="AK8" s="331"/>
      <c r="AL8" s="331"/>
      <c r="AM8" s="331"/>
      <c r="AN8" s="331"/>
      <c r="AO8" s="331"/>
    </row>
    <row r="9" spans="1:41" x14ac:dyDescent="0.25">
      <c r="A9" s="4">
        <v>1</v>
      </c>
      <c r="B9" s="41" t="s">
        <v>18</v>
      </c>
      <c r="C9" s="61"/>
      <c r="D9" s="56"/>
      <c r="E9" s="62"/>
      <c r="F9" s="62"/>
      <c r="G9" s="417"/>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row>
    <row r="10" spans="1:41" x14ac:dyDescent="0.25">
      <c r="A10" s="4"/>
      <c r="B10" s="35" t="s">
        <v>36</v>
      </c>
      <c r="C10" s="131">
        <v>841</v>
      </c>
      <c r="D10" s="69">
        <v>858</v>
      </c>
      <c r="E10" s="69">
        <v>739</v>
      </c>
      <c r="F10" s="69">
        <v>707</v>
      </c>
      <c r="G10" s="69">
        <v>962</v>
      </c>
      <c r="H10" s="69">
        <v>821</v>
      </c>
      <c r="I10" s="69">
        <v>781</v>
      </c>
      <c r="J10" s="69">
        <v>728</v>
      </c>
      <c r="K10" s="69">
        <v>1082</v>
      </c>
      <c r="L10" s="242">
        <v>1018</v>
      </c>
      <c r="M10" s="68"/>
      <c r="N10" s="68"/>
      <c r="O10" s="68"/>
      <c r="P10" s="68"/>
      <c r="Q10" s="68"/>
      <c r="R10" s="68"/>
      <c r="S10" s="68"/>
      <c r="T10" s="68"/>
      <c r="U10" s="68"/>
      <c r="V10" s="68"/>
      <c r="W10" s="68"/>
      <c r="X10" s="68"/>
      <c r="Y10" s="68"/>
      <c r="Z10" s="68"/>
      <c r="AA10" s="68"/>
      <c r="AB10" s="131"/>
      <c r="AC10" s="131"/>
      <c r="AD10" s="131"/>
      <c r="AE10" s="131"/>
      <c r="AF10" s="131"/>
      <c r="AG10" s="131"/>
      <c r="AH10" s="131"/>
      <c r="AI10" s="131"/>
      <c r="AJ10" s="131"/>
      <c r="AK10" s="131"/>
      <c r="AL10" s="131"/>
      <c r="AM10" s="131"/>
      <c r="AN10" s="131"/>
      <c r="AO10" s="131"/>
    </row>
    <row r="11" spans="1:41" x14ac:dyDescent="0.25">
      <c r="A11" s="4"/>
      <c r="B11" s="35" t="s">
        <v>37</v>
      </c>
      <c r="C11" s="131">
        <v>186</v>
      </c>
      <c r="D11" s="69">
        <v>185</v>
      </c>
      <c r="E11" s="69">
        <v>179</v>
      </c>
      <c r="F11" s="69">
        <v>169</v>
      </c>
      <c r="G11" s="69">
        <v>226</v>
      </c>
      <c r="H11" s="69">
        <v>220</v>
      </c>
      <c r="I11" s="69">
        <v>223</v>
      </c>
      <c r="J11" s="69">
        <v>223</v>
      </c>
      <c r="K11" s="69">
        <v>306</v>
      </c>
      <c r="L11" s="242">
        <v>301</v>
      </c>
      <c r="M11" s="68"/>
      <c r="N11" s="68"/>
      <c r="O11" s="68"/>
      <c r="P11" s="68"/>
      <c r="Q11" s="68"/>
      <c r="R11" s="68"/>
      <c r="S11" s="68"/>
      <c r="T11" s="68"/>
      <c r="U11" s="68"/>
      <c r="V11" s="68"/>
      <c r="W11" s="68"/>
      <c r="X11" s="68"/>
      <c r="Y11" s="68"/>
      <c r="Z11" s="68"/>
      <c r="AA11" s="68"/>
      <c r="AB11" s="131"/>
      <c r="AC11" s="131"/>
      <c r="AD11" s="131"/>
      <c r="AE11" s="131"/>
      <c r="AF11" s="131"/>
      <c r="AG11" s="131"/>
      <c r="AH11" s="131"/>
      <c r="AI11" s="131"/>
      <c r="AJ11" s="131"/>
      <c r="AK11" s="131"/>
      <c r="AL11" s="131"/>
      <c r="AM11" s="131"/>
      <c r="AN11" s="131"/>
      <c r="AO11" s="131"/>
    </row>
    <row r="12" spans="1:41" x14ac:dyDescent="0.25">
      <c r="A12" s="4"/>
      <c r="B12" s="35" t="s">
        <v>38</v>
      </c>
      <c r="C12" s="131">
        <v>62</v>
      </c>
      <c r="D12" s="69">
        <v>59</v>
      </c>
      <c r="E12" s="69">
        <v>47</v>
      </c>
      <c r="F12" s="69">
        <v>41</v>
      </c>
      <c r="G12" s="69">
        <v>88</v>
      </c>
      <c r="H12" s="69">
        <v>54</v>
      </c>
      <c r="I12" s="69">
        <v>51</v>
      </c>
      <c r="J12" s="69">
        <v>46</v>
      </c>
      <c r="K12" s="69">
        <v>120</v>
      </c>
      <c r="L12" s="242">
        <v>101</v>
      </c>
      <c r="M12" s="68"/>
      <c r="N12" s="68"/>
      <c r="O12" s="68"/>
      <c r="P12" s="68"/>
      <c r="Q12" s="68"/>
      <c r="R12" s="68"/>
      <c r="S12" s="68"/>
      <c r="T12" s="68"/>
      <c r="U12" s="68"/>
      <c r="V12" s="68"/>
      <c r="W12" s="68"/>
      <c r="X12" s="68"/>
      <c r="Y12" s="68"/>
      <c r="Z12" s="68"/>
      <c r="AA12" s="68"/>
      <c r="AB12" s="131"/>
      <c r="AC12" s="131"/>
      <c r="AD12" s="131"/>
      <c r="AE12" s="131"/>
      <c r="AF12" s="131"/>
      <c r="AG12" s="131"/>
      <c r="AH12" s="131"/>
      <c r="AI12" s="131"/>
      <c r="AJ12" s="131"/>
      <c r="AK12" s="131"/>
      <c r="AL12" s="131"/>
      <c r="AM12" s="131"/>
      <c r="AN12" s="131"/>
      <c r="AO12" s="131"/>
    </row>
    <row r="13" spans="1:41" x14ac:dyDescent="0.25">
      <c r="A13" s="4"/>
      <c r="B13" s="35" t="s">
        <v>39</v>
      </c>
      <c r="C13" s="131"/>
      <c r="D13" s="69"/>
      <c r="E13" s="69"/>
      <c r="F13" s="69"/>
      <c r="G13" s="418"/>
      <c r="H13" s="69"/>
      <c r="I13" s="69"/>
      <c r="J13" s="69"/>
      <c r="K13" s="69"/>
      <c r="L13" s="242"/>
      <c r="M13" s="68"/>
      <c r="N13" s="68"/>
      <c r="O13" s="68"/>
      <c r="P13" s="68"/>
      <c r="Q13" s="68"/>
      <c r="R13" s="68"/>
      <c r="S13" s="68"/>
      <c r="T13" s="68"/>
      <c r="U13" s="68"/>
      <c r="V13" s="68"/>
      <c r="W13" s="68"/>
      <c r="X13" s="68"/>
      <c r="Y13" s="68"/>
      <c r="Z13" s="68"/>
      <c r="AA13" s="68"/>
      <c r="AB13" s="131"/>
      <c r="AC13" s="131"/>
      <c r="AD13" s="131"/>
      <c r="AE13" s="131"/>
      <c r="AF13" s="131"/>
      <c r="AG13" s="131"/>
      <c r="AH13" s="131"/>
      <c r="AI13" s="131"/>
      <c r="AJ13" s="131"/>
      <c r="AK13" s="131"/>
      <c r="AL13" s="131"/>
      <c r="AM13" s="131"/>
      <c r="AN13" s="131"/>
      <c r="AO13" s="131"/>
    </row>
    <row r="14" spans="1:41" x14ac:dyDescent="0.25">
      <c r="A14" s="4"/>
      <c r="B14" s="35" t="s">
        <v>66</v>
      </c>
      <c r="C14" s="131">
        <v>0</v>
      </c>
      <c r="D14" s="69"/>
      <c r="E14" s="69"/>
      <c r="F14" s="69"/>
      <c r="G14" s="418"/>
      <c r="H14" s="69"/>
      <c r="I14" s="69"/>
      <c r="J14" s="69"/>
      <c r="K14" s="69"/>
      <c r="L14" s="242"/>
      <c r="M14" s="68"/>
      <c r="N14" s="68"/>
      <c r="O14" s="68"/>
      <c r="P14" s="68"/>
      <c r="Q14" s="68"/>
      <c r="R14" s="68"/>
      <c r="S14" s="68"/>
      <c r="T14" s="68"/>
      <c r="U14" s="68"/>
      <c r="V14" s="68"/>
      <c r="W14" s="68"/>
      <c r="X14" s="68"/>
      <c r="Y14" s="68"/>
      <c r="Z14" s="68"/>
      <c r="AA14" s="68"/>
      <c r="AB14" s="131"/>
      <c r="AC14" s="131"/>
      <c r="AD14" s="131"/>
      <c r="AE14" s="131"/>
      <c r="AF14" s="131"/>
      <c r="AG14" s="131"/>
      <c r="AH14" s="131"/>
      <c r="AI14" s="131"/>
      <c r="AJ14" s="131"/>
      <c r="AK14" s="131"/>
      <c r="AL14" s="131"/>
      <c r="AM14" s="131"/>
      <c r="AN14" s="131"/>
      <c r="AO14" s="131"/>
    </row>
    <row r="15" spans="1:41" x14ac:dyDescent="0.25">
      <c r="B15" s="35" t="s">
        <v>41</v>
      </c>
      <c r="C15" s="131">
        <f>SUM(C10:C14)</f>
        <v>1089</v>
      </c>
      <c r="D15" s="131">
        <f t="shared" ref="D15:E15" si="0">SUM(D10:D14)</f>
        <v>1102</v>
      </c>
      <c r="E15" s="131">
        <f t="shared" si="0"/>
        <v>965</v>
      </c>
      <c r="F15" s="131">
        <f t="shared" ref="F15:H15" si="1">SUM(F10:F14)</f>
        <v>917</v>
      </c>
      <c r="G15" s="131">
        <f t="shared" si="1"/>
        <v>1276</v>
      </c>
      <c r="H15" s="131">
        <f t="shared" si="1"/>
        <v>1095</v>
      </c>
      <c r="I15" s="131">
        <f t="shared" ref="I15" si="2">SUM(I10:I14)</f>
        <v>1055</v>
      </c>
      <c r="J15" s="71">
        <v>997</v>
      </c>
      <c r="K15" s="131">
        <f t="shared" ref="K15" si="3">SUM(K10:K14)</f>
        <v>1508</v>
      </c>
      <c r="L15" s="131">
        <f t="shared" ref="L15" si="4">SUM(L10:L14)</f>
        <v>1420</v>
      </c>
      <c r="M15" s="71"/>
      <c r="N15" s="69"/>
      <c r="O15" s="71"/>
      <c r="P15" s="71"/>
      <c r="Q15" s="71"/>
      <c r="R15" s="71"/>
      <c r="S15" s="71"/>
      <c r="T15" s="71"/>
      <c r="U15" s="171"/>
      <c r="V15" s="171"/>
      <c r="W15" s="171"/>
      <c r="X15" s="171"/>
      <c r="Y15" s="171"/>
      <c r="Z15" s="171"/>
      <c r="AA15" s="171"/>
      <c r="AB15" s="242"/>
      <c r="AC15" s="242"/>
      <c r="AD15" s="242"/>
      <c r="AE15" s="242"/>
      <c r="AF15" s="242"/>
      <c r="AG15" s="242"/>
      <c r="AH15" s="242"/>
      <c r="AI15" s="242"/>
      <c r="AJ15" s="242"/>
      <c r="AK15" s="242"/>
      <c r="AL15" s="242"/>
      <c r="AM15" s="242"/>
      <c r="AN15" s="242"/>
      <c r="AO15" s="242"/>
    </row>
    <row r="16" spans="1:41"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row>
    <row r="17" spans="1:41" x14ac:dyDescent="0.25">
      <c r="B17" s="35" t="s">
        <v>36</v>
      </c>
      <c r="C17" s="68">
        <v>338</v>
      </c>
      <c r="D17" s="69">
        <v>350</v>
      </c>
      <c r="E17" s="69">
        <v>282</v>
      </c>
      <c r="F17" s="69">
        <v>265</v>
      </c>
      <c r="G17" s="69">
        <v>437</v>
      </c>
      <c r="H17" s="69">
        <v>333</v>
      </c>
      <c r="I17" s="69">
        <v>308</v>
      </c>
      <c r="J17" s="69">
        <v>280</v>
      </c>
      <c r="K17" s="69">
        <v>568</v>
      </c>
      <c r="L17" s="70">
        <v>527</v>
      </c>
      <c r="M17" s="71"/>
      <c r="N17" s="69"/>
      <c r="O17" s="71"/>
      <c r="P17" s="69"/>
      <c r="Q17" s="69"/>
      <c r="R17" s="69"/>
      <c r="S17" s="69"/>
      <c r="T17" s="69"/>
      <c r="U17" s="171"/>
      <c r="V17" s="71"/>
      <c r="W17" s="71"/>
      <c r="X17" s="71"/>
      <c r="Y17" s="71"/>
      <c r="Z17" s="71"/>
      <c r="AA17" s="71"/>
      <c r="AB17" s="242"/>
      <c r="AC17" s="285"/>
      <c r="AD17" s="303"/>
      <c r="AE17" s="212"/>
      <c r="AF17" s="212"/>
      <c r="AG17" s="224"/>
      <c r="AH17" s="224"/>
      <c r="AI17" s="224"/>
      <c r="AJ17" s="224"/>
      <c r="AK17" s="224"/>
      <c r="AL17" s="224"/>
      <c r="AM17" s="224"/>
      <c r="AN17" s="224"/>
      <c r="AO17" s="224"/>
    </row>
    <row r="18" spans="1:41" x14ac:dyDescent="0.25">
      <c r="B18" s="35" t="s">
        <v>37</v>
      </c>
      <c r="C18" s="68">
        <v>72</v>
      </c>
      <c r="D18" s="69">
        <v>72</v>
      </c>
      <c r="E18" s="69">
        <v>68</v>
      </c>
      <c r="F18" s="69">
        <v>66</v>
      </c>
      <c r="G18" s="69">
        <v>87</v>
      </c>
      <c r="H18" s="69">
        <v>83</v>
      </c>
      <c r="I18" s="69">
        <v>85</v>
      </c>
      <c r="J18" s="69">
        <v>83</v>
      </c>
      <c r="K18" s="69">
        <v>132</v>
      </c>
      <c r="L18" s="70">
        <v>130</v>
      </c>
      <c r="M18" s="71"/>
      <c r="N18" s="69"/>
      <c r="O18" s="71"/>
      <c r="P18" s="69"/>
      <c r="Q18" s="69"/>
      <c r="R18" s="69"/>
      <c r="S18" s="69"/>
      <c r="T18" s="69"/>
      <c r="U18" s="171"/>
      <c r="V18" s="71"/>
      <c r="W18" s="71"/>
      <c r="X18" s="71"/>
      <c r="Y18" s="71"/>
      <c r="Z18" s="71"/>
      <c r="AA18" s="71"/>
      <c r="AB18" s="242"/>
      <c r="AC18" s="285"/>
      <c r="AD18" s="303"/>
      <c r="AE18" s="212"/>
      <c r="AF18" s="212"/>
      <c r="AG18" s="224"/>
      <c r="AH18" s="224"/>
      <c r="AI18" s="224"/>
      <c r="AJ18" s="224"/>
      <c r="AK18" s="224"/>
      <c r="AL18" s="224"/>
      <c r="AM18" s="224"/>
      <c r="AN18" s="224"/>
      <c r="AO18" s="224"/>
    </row>
    <row r="19" spans="1:41" x14ac:dyDescent="0.25">
      <c r="B19" s="35" t="s">
        <v>38</v>
      </c>
      <c r="C19" s="131">
        <v>30</v>
      </c>
      <c r="D19" s="69">
        <v>29</v>
      </c>
      <c r="E19" s="69">
        <v>20</v>
      </c>
      <c r="F19" s="69">
        <v>16</v>
      </c>
      <c r="G19" s="69">
        <v>54</v>
      </c>
      <c r="H19" s="69">
        <v>24</v>
      </c>
      <c r="I19" s="69">
        <v>22</v>
      </c>
      <c r="J19" s="69">
        <v>21</v>
      </c>
      <c r="K19" s="69">
        <v>86</v>
      </c>
      <c r="L19" s="70">
        <v>70</v>
      </c>
      <c r="M19" s="71"/>
      <c r="N19" s="69"/>
      <c r="O19" s="71"/>
      <c r="P19" s="69"/>
      <c r="Q19" s="69"/>
      <c r="R19" s="69"/>
      <c r="S19" s="69"/>
      <c r="T19" s="69"/>
      <c r="U19" s="171"/>
      <c r="V19" s="71"/>
      <c r="W19" s="71"/>
      <c r="X19" s="71"/>
      <c r="Y19" s="71"/>
      <c r="Z19" s="71"/>
      <c r="AA19" s="71"/>
      <c r="AB19" s="242"/>
      <c r="AC19" s="285"/>
      <c r="AD19" s="303"/>
      <c r="AE19" s="212"/>
      <c r="AF19" s="212"/>
      <c r="AG19" s="224"/>
      <c r="AH19" s="224"/>
      <c r="AI19" s="224"/>
      <c r="AJ19" s="224"/>
      <c r="AK19" s="224"/>
      <c r="AL19" s="224"/>
      <c r="AM19" s="224"/>
      <c r="AN19" s="224"/>
      <c r="AO19" s="224"/>
    </row>
    <row r="20" spans="1:41" x14ac:dyDescent="0.25">
      <c r="B20" s="35" t="s">
        <v>39</v>
      </c>
      <c r="C20" s="131"/>
      <c r="D20" s="69"/>
      <c r="E20" s="69"/>
      <c r="F20" s="69"/>
      <c r="G20" s="418"/>
      <c r="H20" s="69"/>
      <c r="I20" s="69"/>
      <c r="J20" s="69"/>
      <c r="K20" s="69"/>
      <c r="L20" s="70"/>
      <c r="M20" s="71"/>
      <c r="N20" s="69"/>
      <c r="O20" s="71"/>
      <c r="P20" s="69"/>
      <c r="Q20" s="69"/>
      <c r="R20" s="69"/>
      <c r="S20" s="69"/>
      <c r="T20" s="69"/>
      <c r="U20" s="171"/>
      <c r="V20" s="71"/>
      <c r="W20" s="71"/>
      <c r="X20" s="71"/>
      <c r="Y20" s="71"/>
      <c r="Z20" s="71"/>
      <c r="AA20" s="71"/>
      <c r="AB20" s="242"/>
      <c r="AC20" s="285"/>
      <c r="AD20" s="303"/>
      <c r="AE20" s="212"/>
      <c r="AF20" s="212"/>
      <c r="AG20" s="224"/>
      <c r="AH20" s="224"/>
      <c r="AI20" s="224"/>
      <c r="AJ20" s="224"/>
      <c r="AK20" s="224"/>
      <c r="AL20" s="224"/>
      <c r="AM20" s="224"/>
      <c r="AN20" s="224"/>
      <c r="AO20" s="224"/>
    </row>
    <row r="21" spans="1:41" x14ac:dyDescent="0.25">
      <c r="B21" s="35" t="s">
        <v>66</v>
      </c>
      <c r="C21" s="68">
        <v>0</v>
      </c>
      <c r="D21" s="69"/>
      <c r="E21" s="69"/>
      <c r="F21" s="69"/>
      <c r="G21" s="418"/>
      <c r="H21" s="69"/>
      <c r="I21" s="69"/>
      <c r="J21" s="69"/>
      <c r="K21" s="69"/>
      <c r="L21" s="70"/>
      <c r="M21" s="71"/>
      <c r="N21" s="69"/>
      <c r="O21" s="71"/>
      <c r="P21" s="69"/>
      <c r="Q21" s="69"/>
      <c r="R21" s="69"/>
      <c r="S21" s="69"/>
      <c r="T21" s="69"/>
      <c r="U21" s="171"/>
      <c r="V21" s="71"/>
      <c r="W21" s="71"/>
      <c r="X21" s="71"/>
      <c r="Y21" s="71"/>
      <c r="Z21" s="71"/>
      <c r="AA21" s="71"/>
      <c r="AB21" s="242"/>
      <c r="AC21" s="285"/>
      <c r="AD21" s="303"/>
      <c r="AE21" s="212"/>
      <c r="AF21" s="212"/>
      <c r="AG21" s="224"/>
      <c r="AH21" s="224"/>
      <c r="AI21" s="224"/>
      <c r="AJ21" s="224"/>
      <c r="AK21" s="224"/>
      <c r="AL21" s="224"/>
      <c r="AM21" s="224"/>
      <c r="AN21" s="224"/>
      <c r="AO21" s="224"/>
    </row>
    <row r="22" spans="1:41" x14ac:dyDescent="0.25">
      <c r="B22" s="35" t="s">
        <v>41</v>
      </c>
      <c r="C22" s="131">
        <f>SUM(C17:C21)</f>
        <v>440</v>
      </c>
      <c r="D22" s="131">
        <f t="shared" ref="D22:E22" si="5">SUM(D17:D21)</f>
        <v>451</v>
      </c>
      <c r="E22" s="131">
        <f t="shared" si="5"/>
        <v>370</v>
      </c>
      <c r="F22" s="131">
        <f t="shared" ref="F22:H22" si="6">SUM(F17:F21)</f>
        <v>347</v>
      </c>
      <c r="G22" s="131">
        <f t="shared" si="6"/>
        <v>578</v>
      </c>
      <c r="H22" s="131">
        <f t="shared" si="6"/>
        <v>440</v>
      </c>
      <c r="I22" s="131">
        <f t="shared" ref="I22" si="7">SUM(I17:I21)</f>
        <v>415</v>
      </c>
      <c r="J22" s="71">
        <v>384</v>
      </c>
      <c r="K22" s="131">
        <f t="shared" ref="K22" si="8">SUM(K17:K21)</f>
        <v>786</v>
      </c>
      <c r="L22" s="131">
        <f t="shared" ref="L22" si="9">SUM(L17:L21)</f>
        <v>727</v>
      </c>
      <c r="M22" s="71"/>
      <c r="N22" s="71"/>
      <c r="O22" s="71"/>
      <c r="P22" s="71"/>
      <c r="Q22" s="71"/>
      <c r="R22" s="71"/>
      <c r="S22" s="71"/>
      <c r="T22" s="71"/>
      <c r="U22" s="172"/>
      <c r="V22" s="172"/>
      <c r="W22" s="172"/>
      <c r="X22" s="172"/>
      <c r="Y22" s="172"/>
      <c r="Z22" s="172"/>
      <c r="AA22" s="172"/>
      <c r="AB22" s="251"/>
      <c r="AC22" s="251"/>
      <c r="AD22" s="251"/>
      <c r="AE22" s="251"/>
      <c r="AF22" s="251"/>
      <c r="AG22" s="251"/>
      <c r="AH22" s="251"/>
      <c r="AI22" s="251"/>
      <c r="AJ22" s="251"/>
      <c r="AK22" s="251"/>
      <c r="AL22" s="251"/>
      <c r="AM22" s="251"/>
      <c r="AN22" s="251"/>
      <c r="AO22" s="251"/>
    </row>
    <row r="23" spans="1:41" x14ac:dyDescent="0.25">
      <c r="A23" s="4">
        <f>+A16+1</f>
        <v>3</v>
      </c>
      <c r="B23" s="42" t="s">
        <v>22</v>
      </c>
      <c r="C23" s="131"/>
      <c r="D23" s="71"/>
      <c r="E23" s="71"/>
      <c r="F23" s="71"/>
      <c r="G23" s="419"/>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row>
    <row r="24" spans="1:41" x14ac:dyDescent="0.25">
      <c r="A24" s="4"/>
      <c r="B24" s="35" t="s">
        <v>36</v>
      </c>
      <c r="C24" s="225">
        <v>209</v>
      </c>
      <c r="D24" s="71">
        <v>207</v>
      </c>
      <c r="E24" s="71">
        <v>180</v>
      </c>
      <c r="F24" s="71">
        <v>176</v>
      </c>
      <c r="G24" s="71">
        <v>221</v>
      </c>
      <c r="H24" s="71">
        <v>200</v>
      </c>
      <c r="I24" s="71">
        <v>194</v>
      </c>
      <c r="J24" s="71">
        <v>181</v>
      </c>
      <c r="K24" s="71">
        <v>224</v>
      </c>
      <c r="L24" s="162">
        <v>211</v>
      </c>
      <c r="M24" s="71"/>
      <c r="N24" s="71"/>
      <c r="O24" s="71"/>
      <c r="P24" s="71"/>
      <c r="Q24" s="71"/>
      <c r="R24" s="71"/>
      <c r="S24" s="71"/>
      <c r="T24" s="71"/>
      <c r="U24" s="172"/>
      <c r="V24" s="71"/>
      <c r="W24" s="71"/>
      <c r="X24" s="71"/>
      <c r="Y24" s="71"/>
      <c r="Z24" s="71"/>
      <c r="AA24" s="71"/>
      <c r="AB24" s="242"/>
      <c r="AC24" s="285"/>
      <c r="AD24" s="303"/>
      <c r="AE24" s="212"/>
      <c r="AF24" s="212"/>
      <c r="AG24" s="224"/>
      <c r="AH24" s="224"/>
      <c r="AI24" s="224"/>
      <c r="AJ24" s="224"/>
      <c r="AK24" s="224"/>
      <c r="AL24" s="224"/>
      <c r="AM24" s="224"/>
      <c r="AN24" s="224"/>
      <c r="AO24" s="224"/>
    </row>
    <row r="25" spans="1:41" x14ac:dyDescent="0.25">
      <c r="A25" s="4"/>
      <c r="B25" s="35" t="s">
        <v>37</v>
      </c>
      <c r="C25" s="225">
        <v>49</v>
      </c>
      <c r="D25" s="71">
        <v>48</v>
      </c>
      <c r="E25" s="71">
        <v>48</v>
      </c>
      <c r="F25" s="71">
        <v>46</v>
      </c>
      <c r="G25" s="71">
        <v>64</v>
      </c>
      <c r="H25" s="71">
        <v>63</v>
      </c>
      <c r="I25" s="71">
        <v>64</v>
      </c>
      <c r="J25" s="71">
        <v>65</v>
      </c>
      <c r="K25" s="71">
        <v>78</v>
      </c>
      <c r="L25" s="162">
        <v>76</v>
      </c>
      <c r="M25" s="71"/>
      <c r="N25" s="71"/>
      <c r="O25" s="71"/>
      <c r="P25" s="71"/>
      <c r="Q25" s="71"/>
      <c r="R25" s="71"/>
      <c r="S25" s="71"/>
      <c r="T25" s="71"/>
      <c r="U25" s="172"/>
      <c r="V25" s="71"/>
      <c r="W25" s="71"/>
      <c r="X25" s="71"/>
      <c r="Y25" s="71"/>
      <c r="Z25" s="71"/>
      <c r="AA25" s="71"/>
      <c r="AB25" s="242"/>
      <c r="AC25" s="285"/>
      <c r="AD25" s="303"/>
      <c r="AE25" s="212"/>
      <c r="AF25" s="212"/>
      <c r="AG25" s="224"/>
      <c r="AH25" s="224"/>
      <c r="AI25" s="224"/>
      <c r="AJ25" s="224"/>
      <c r="AK25" s="224"/>
      <c r="AL25" s="224"/>
      <c r="AM25" s="224"/>
      <c r="AN25" s="224"/>
      <c r="AO25" s="224"/>
    </row>
    <row r="26" spans="1:41" x14ac:dyDescent="0.25">
      <c r="A26" s="4"/>
      <c r="B26" s="35" t="s">
        <v>38</v>
      </c>
      <c r="C26" s="225">
        <v>13</v>
      </c>
      <c r="D26" s="71">
        <v>12</v>
      </c>
      <c r="E26" s="71">
        <v>11</v>
      </c>
      <c r="F26" s="71">
        <v>10</v>
      </c>
      <c r="G26" s="71">
        <v>15</v>
      </c>
      <c r="H26" s="71">
        <v>12</v>
      </c>
      <c r="I26" s="71">
        <v>11</v>
      </c>
      <c r="J26" s="71">
        <v>9</v>
      </c>
      <c r="K26" s="71">
        <v>17</v>
      </c>
      <c r="L26" s="162">
        <v>14</v>
      </c>
      <c r="M26" s="71"/>
      <c r="N26" s="71"/>
      <c r="O26" s="71"/>
      <c r="P26" s="71"/>
      <c r="Q26" s="71"/>
      <c r="R26" s="71"/>
      <c r="S26" s="71"/>
      <c r="T26" s="71"/>
      <c r="U26" s="172"/>
      <c r="V26" s="71"/>
      <c r="W26" s="71"/>
      <c r="X26" s="71"/>
      <c r="Y26" s="71"/>
      <c r="Z26" s="71"/>
      <c r="AA26" s="71"/>
      <c r="AB26" s="242"/>
      <c r="AC26" s="285"/>
      <c r="AD26" s="303"/>
      <c r="AE26" s="212"/>
      <c r="AF26" s="212"/>
      <c r="AG26" s="224"/>
      <c r="AH26" s="224"/>
      <c r="AI26" s="224"/>
      <c r="AJ26" s="224"/>
      <c r="AK26" s="224"/>
      <c r="AL26" s="224"/>
      <c r="AM26" s="224"/>
      <c r="AN26" s="224"/>
      <c r="AO26" s="224"/>
    </row>
    <row r="27" spans="1:41" x14ac:dyDescent="0.25">
      <c r="A27" s="4"/>
      <c r="B27" s="35" t="s">
        <v>39</v>
      </c>
      <c r="C27" s="225"/>
      <c r="D27" s="71"/>
      <c r="E27" s="71"/>
      <c r="F27" s="71"/>
      <c r="G27" s="419"/>
      <c r="H27" s="71"/>
      <c r="I27" s="71"/>
      <c r="J27" s="71"/>
      <c r="K27" s="71"/>
      <c r="L27" s="162"/>
      <c r="M27" s="71"/>
      <c r="N27" s="71"/>
      <c r="O27" s="71"/>
      <c r="P27" s="71"/>
      <c r="Q27" s="71"/>
      <c r="R27" s="71"/>
      <c r="S27" s="71"/>
      <c r="T27" s="71"/>
      <c r="U27" s="172"/>
      <c r="V27" s="71"/>
      <c r="W27" s="71"/>
      <c r="X27" s="71"/>
      <c r="Y27" s="71"/>
      <c r="Z27" s="71"/>
      <c r="AA27" s="71"/>
      <c r="AB27" s="242"/>
      <c r="AC27" s="285"/>
      <c r="AD27" s="303"/>
      <c r="AE27" s="212"/>
      <c r="AF27" s="212"/>
      <c r="AG27" s="224"/>
      <c r="AH27" s="224"/>
      <c r="AI27" s="224"/>
      <c r="AJ27" s="224"/>
      <c r="AK27" s="224"/>
      <c r="AL27" s="224"/>
      <c r="AM27" s="224"/>
      <c r="AN27" s="224"/>
      <c r="AO27" s="224"/>
    </row>
    <row r="28" spans="1:41" x14ac:dyDescent="0.25">
      <c r="A28" s="4"/>
      <c r="B28" s="35" t="s">
        <v>66</v>
      </c>
      <c r="C28" s="225">
        <v>0</v>
      </c>
      <c r="D28" s="71"/>
      <c r="E28" s="71"/>
      <c r="F28" s="71"/>
      <c r="G28" s="419"/>
      <c r="H28" s="71"/>
      <c r="I28" s="71"/>
      <c r="J28" s="71"/>
      <c r="K28" s="71"/>
      <c r="L28" s="162"/>
      <c r="M28" s="71"/>
      <c r="N28" s="71"/>
      <c r="O28" s="71"/>
      <c r="P28" s="71"/>
      <c r="Q28" s="71"/>
      <c r="R28" s="71"/>
      <c r="S28" s="71"/>
      <c r="T28" s="71"/>
      <c r="U28" s="172"/>
      <c r="V28" s="71"/>
      <c r="W28" s="71"/>
      <c r="X28" s="71"/>
      <c r="Y28" s="71"/>
      <c r="Z28" s="71"/>
      <c r="AA28" s="71"/>
      <c r="AB28" s="242"/>
      <c r="AC28" s="285"/>
      <c r="AD28" s="303"/>
      <c r="AE28" s="212"/>
      <c r="AF28" s="212"/>
      <c r="AG28" s="224"/>
      <c r="AH28" s="224"/>
      <c r="AI28" s="224"/>
      <c r="AJ28" s="224"/>
      <c r="AK28" s="224"/>
      <c r="AL28" s="224"/>
      <c r="AM28" s="224"/>
      <c r="AN28" s="224"/>
      <c r="AO28" s="224"/>
    </row>
    <row r="29" spans="1:41" x14ac:dyDescent="0.25">
      <c r="A29" s="4"/>
      <c r="B29" s="35" t="s">
        <v>41</v>
      </c>
      <c r="C29" s="131">
        <f>SUM(C24:C28)</f>
        <v>271</v>
      </c>
      <c r="D29" s="131">
        <f t="shared" ref="D29:E29" si="10">SUM(D24:D28)</f>
        <v>267</v>
      </c>
      <c r="E29" s="131">
        <f t="shared" si="10"/>
        <v>239</v>
      </c>
      <c r="F29" s="131">
        <f t="shared" ref="F29:H29" si="11">SUM(F24:F28)</f>
        <v>232</v>
      </c>
      <c r="G29" s="420">
        <f t="shared" si="11"/>
        <v>300</v>
      </c>
      <c r="H29" s="131">
        <f t="shared" si="11"/>
        <v>275</v>
      </c>
      <c r="I29" s="131">
        <f t="shared" ref="I29" si="12">SUM(I24:I28)</f>
        <v>269</v>
      </c>
      <c r="J29" s="71">
        <v>255</v>
      </c>
      <c r="K29" s="131">
        <f t="shared" ref="K29" si="13">SUM(K24:K28)</f>
        <v>319</v>
      </c>
      <c r="L29" s="131">
        <f t="shared" ref="L29" si="14">SUM(L24:L28)</f>
        <v>301</v>
      </c>
      <c r="M29" s="71"/>
      <c r="N29" s="71"/>
      <c r="O29" s="71"/>
      <c r="P29" s="71"/>
      <c r="Q29" s="71"/>
      <c r="R29" s="71"/>
      <c r="S29" s="71"/>
      <c r="T29" s="71"/>
      <c r="U29" s="172"/>
      <c r="V29" s="172"/>
      <c r="W29" s="172"/>
      <c r="X29" s="172"/>
      <c r="Y29" s="172"/>
      <c r="Z29" s="172"/>
      <c r="AA29" s="172"/>
      <c r="AB29" s="251"/>
      <c r="AC29" s="251"/>
      <c r="AD29" s="251"/>
      <c r="AE29" s="251"/>
      <c r="AF29" s="251"/>
      <c r="AG29" s="251"/>
      <c r="AH29" s="251"/>
      <c r="AI29" s="251"/>
      <c r="AJ29" s="251"/>
      <c r="AK29" s="251"/>
      <c r="AL29" s="251"/>
      <c r="AM29" s="251"/>
      <c r="AN29" s="251"/>
      <c r="AO29" s="251"/>
    </row>
    <row r="30" spans="1:41" x14ac:dyDescent="0.25">
      <c r="A30" s="4">
        <f>+A23+1</f>
        <v>4</v>
      </c>
      <c r="B30" s="42" t="s">
        <v>23</v>
      </c>
      <c r="C30" s="131"/>
      <c r="D30" s="71"/>
      <c r="E30" s="71"/>
      <c r="F30" s="71"/>
      <c r="G30" s="419"/>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row>
    <row r="31" spans="1:41" x14ac:dyDescent="0.25">
      <c r="A31" s="4"/>
      <c r="B31" s="35" t="s">
        <v>36</v>
      </c>
      <c r="C31" s="223">
        <v>293</v>
      </c>
      <c r="D31" s="71">
        <v>301</v>
      </c>
      <c r="E31" s="71">
        <v>277</v>
      </c>
      <c r="F31" s="71">
        <v>266</v>
      </c>
      <c r="G31" s="71">
        <v>304</v>
      </c>
      <c r="H31" s="71">
        <v>288</v>
      </c>
      <c r="I31" s="71">
        <v>279</v>
      </c>
      <c r="J31" s="71">
        <v>267</v>
      </c>
      <c r="K31" s="71">
        <v>290</v>
      </c>
      <c r="L31" s="162">
        <v>280</v>
      </c>
      <c r="M31" s="71"/>
      <c r="N31" s="71"/>
      <c r="O31" s="71"/>
      <c r="P31" s="71"/>
      <c r="Q31" s="71"/>
      <c r="R31" s="71"/>
      <c r="S31" s="71"/>
      <c r="T31" s="71"/>
      <c r="U31" s="172"/>
      <c r="V31" s="71"/>
      <c r="W31" s="71"/>
      <c r="X31" s="71"/>
      <c r="Y31" s="71"/>
      <c r="Z31" s="71"/>
      <c r="AA31" s="71"/>
      <c r="AB31" s="242"/>
      <c r="AC31" s="285"/>
      <c r="AD31" s="303"/>
      <c r="AE31" s="212"/>
      <c r="AF31" s="212"/>
      <c r="AG31" s="224"/>
      <c r="AH31" s="224"/>
      <c r="AI31" s="224"/>
      <c r="AJ31" s="224"/>
      <c r="AK31" s="224"/>
      <c r="AL31" s="224"/>
      <c r="AM31" s="224"/>
      <c r="AN31" s="224"/>
      <c r="AO31" s="224"/>
    </row>
    <row r="32" spans="1:41" x14ac:dyDescent="0.25">
      <c r="A32" s="4"/>
      <c r="B32" s="35" t="s">
        <v>37</v>
      </c>
      <c r="C32" s="223">
        <v>65</v>
      </c>
      <c r="D32" s="71">
        <v>65</v>
      </c>
      <c r="E32" s="71">
        <v>63</v>
      </c>
      <c r="F32" s="71">
        <v>57</v>
      </c>
      <c r="G32" s="71">
        <v>75</v>
      </c>
      <c r="H32" s="71">
        <v>74</v>
      </c>
      <c r="I32" s="71">
        <v>74</v>
      </c>
      <c r="J32" s="71">
        <v>75</v>
      </c>
      <c r="K32" s="71">
        <v>96</v>
      </c>
      <c r="L32" s="162">
        <v>95</v>
      </c>
      <c r="M32" s="71"/>
      <c r="N32" s="71"/>
      <c r="O32" s="71"/>
      <c r="P32" s="71"/>
      <c r="Q32" s="71"/>
      <c r="R32" s="71"/>
      <c r="S32" s="71"/>
      <c r="T32" s="71"/>
      <c r="U32" s="172"/>
      <c r="V32" s="71"/>
      <c r="W32" s="71"/>
      <c r="X32" s="71"/>
      <c r="Y32" s="71"/>
      <c r="Z32" s="71"/>
      <c r="AA32" s="71"/>
      <c r="AB32" s="242"/>
      <c r="AC32" s="285"/>
      <c r="AD32" s="303"/>
      <c r="AE32" s="212"/>
      <c r="AF32" s="212"/>
      <c r="AG32" s="224"/>
      <c r="AH32" s="224"/>
      <c r="AI32" s="224"/>
      <c r="AJ32" s="224"/>
      <c r="AK32" s="224"/>
      <c r="AL32" s="224"/>
      <c r="AM32" s="224"/>
      <c r="AN32" s="224"/>
      <c r="AO32" s="224"/>
    </row>
    <row r="33" spans="1:41" x14ac:dyDescent="0.25">
      <c r="A33" s="4"/>
      <c r="B33" s="35" t="s">
        <v>38</v>
      </c>
      <c r="C33" s="226">
        <v>18</v>
      </c>
      <c r="D33" s="71">
        <v>18</v>
      </c>
      <c r="E33" s="71">
        <v>16</v>
      </c>
      <c r="F33" s="71">
        <v>15</v>
      </c>
      <c r="G33" s="71">
        <v>19</v>
      </c>
      <c r="H33" s="71">
        <v>18</v>
      </c>
      <c r="I33" s="71">
        <v>18</v>
      </c>
      <c r="J33" s="71">
        <v>16</v>
      </c>
      <c r="K33" s="71">
        <v>17</v>
      </c>
      <c r="L33" s="162">
        <v>17</v>
      </c>
      <c r="M33" s="71"/>
      <c r="N33" s="71"/>
      <c r="O33" s="71"/>
      <c r="P33" s="71"/>
      <c r="Q33" s="71"/>
      <c r="R33" s="71"/>
      <c r="S33" s="71"/>
      <c r="T33" s="71"/>
      <c r="U33" s="172"/>
      <c r="V33" s="71"/>
      <c r="W33" s="71"/>
      <c r="X33" s="71"/>
      <c r="Y33" s="71"/>
      <c r="Z33" s="71"/>
      <c r="AA33" s="71"/>
      <c r="AB33" s="242"/>
      <c r="AC33" s="285"/>
      <c r="AD33" s="303"/>
      <c r="AE33" s="212"/>
      <c r="AF33" s="212"/>
      <c r="AG33" s="224"/>
      <c r="AH33" s="224"/>
      <c r="AI33" s="224"/>
      <c r="AJ33" s="224"/>
      <c r="AK33" s="224"/>
      <c r="AL33" s="224"/>
      <c r="AM33" s="224"/>
      <c r="AN33" s="224"/>
      <c r="AO33" s="224"/>
    </row>
    <row r="34" spans="1:41" x14ac:dyDescent="0.25">
      <c r="A34" s="4"/>
      <c r="B34" s="35" t="s">
        <v>39</v>
      </c>
      <c r="C34" s="226"/>
      <c r="D34" s="71"/>
      <c r="E34" s="71"/>
      <c r="F34" s="71"/>
      <c r="G34" s="419"/>
      <c r="H34" s="71"/>
      <c r="I34" s="71"/>
      <c r="J34" s="71"/>
      <c r="K34" s="71"/>
      <c r="L34" s="162"/>
      <c r="M34" s="71"/>
      <c r="N34" s="71"/>
      <c r="O34" s="71"/>
      <c r="P34" s="71"/>
      <c r="Q34" s="71"/>
      <c r="R34" s="71"/>
      <c r="S34" s="71"/>
      <c r="T34" s="71"/>
      <c r="U34" s="172"/>
      <c r="V34" s="71"/>
      <c r="W34" s="71"/>
      <c r="X34" s="71"/>
      <c r="Y34" s="71"/>
      <c r="Z34" s="71"/>
      <c r="AA34" s="71"/>
      <c r="AB34" s="242"/>
      <c r="AC34" s="285"/>
      <c r="AD34" s="303"/>
      <c r="AE34" s="212"/>
      <c r="AF34" s="212"/>
      <c r="AG34" s="224"/>
      <c r="AH34" s="224"/>
      <c r="AI34" s="224"/>
      <c r="AJ34" s="224"/>
      <c r="AK34" s="224"/>
      <c r="AL34" s="224"/>
      <c r="AM34" s="224"/>
      <c r="AN34" s="224"/>
      <c r="AO34" s="224"/>
    </row>
    <row r="35" spans="1:41" x14ac:dyDescent="0.25">
      <c r="A35" s="4"/>
      <c r="B35" s="35" t="s">
        <v>66</v>
      </c>
      <c r="C35" s="131">
        <v>0</v>
      </c>
      <c r="D35" s="71"/>
      <c r="E35" s="71"/>
      <c r="F35" s="71"/>
      <c r="G35" s="419"/>
      <c r="H35" s="71"/>
      <c r="I35" s="71"/>
      <c r="J35" s="71"/>
      <c r="K35" s="71"/>
      <c r="L35" s="162"/>
      <c r="M35" s="71"/>
      <c r="N35" s="71"/>
      <c r="O35" s="71"/>
      <c r="P35" s="71"/>
      <c r="Q35" s="71"/>
      <c r="R35" s="71"/>
      <c r="S35" s="71"/>
      <c r="T35" s="71"/>
      <c r="U35" s="172"/>
      <c r="V35" s="71"/>
      <c r="W35" s="71"/>
      <c r="X35" s="71"/>
      <c r="Y35" s="71"/>
      <c r="Z35" s="71"/>
      <c r="AA35" s="71"/>
      <c r="AB35" s="242"/>
      <c r="AC35" s="285"/>
      <c r="AD35" s="303"/>
      <c r="AE35" s="212"/>
      <c r="AF35" s="212"/>
      <c r="AG35" s="224"/>
      <c r="AH35" s="224"/>
      <c r="AI35" s="224"/>
      <c r="AJ35" s="224"/>
      <c r="AK35" s="224"/>
      <c r="AL35" s="224"/>
      <c r="AM35" s="224"/>
      <c r="AN35" s="224"/>
      <c r="AO35" s="224"/>
    </row>
    <row r="36" spans="1:41" ht="15.75" thickBot="1" x14ac:dyDescent="0.3">
      <c r="A36" s="4"/>
      <c r="B36" s="37" t="s">
        <v>41</v>
      </c>
      <c r="C36" s="122">
        <f>SUM(C31:C35)</f>
        <v>376</v>
      </c>
      <c r="D36" s="122">
        <f t="shared" ref="D36:E36" si="15">SUM(D31:D35)</f>
        <v>384</v>
      </c>
      <c r="E36" s="122">
        <f t="shared" si="15"/>
        <v>356</v>
      </c>
      <c r="F36" s="122">
        <f t="shared" ref="F36:H36" si="16">SUM(F31:F35)</f>
        <v>338</v>
      </c>
      <c r="G36" s="421">
        <f t="shared" si="16"/>
        <v>398</v>
      </c>
      <c r="H36" s="122">
        <f t="shared" si="16"/>
        <v>380</v>
      </c>
      <c r="I36" s="122">
        <f t="shared" ref="I36" si="17">SUM(I31:I35)</f>
        <v>371</v>
      </c>
      <c r="J36" s="60">
        <v>358</v>
      </c>
      <c r="K36" s="122">
        <f t="shared" ref="K36" si="18">SUM(K31:K35)</f>
        <v>403</v>
      </c>
      <c r="L36" s="122">
        <f t="shared" ref="L36" si="19">SUM(L31:L35)</f>
        <v>392</v>
      </c>
      <c r="M36" s="60"/>
      <c r="N36" s="60"/>
      <c r="O36" s="60"/>
      <c r="P36" s="60"/>
      <c r="Q36" s="60"/>
      <c r="R36" s="60"/>
      <c r="S36" s="60"/>
      <c r="T36" s="60"/>
      <c r="U36" s="173"/>
      <c r="V36" s="173"/>
      <c r="W36" s="173"/>
      <c r="X36" s="173"/>
      <c r="Y36" s="173"/>
      <c r="Z36" s="173"/>
      <c r="AA36" s="173"/>
      <c r="AB36" s="252"/>
      <c r="AC36" s="252"/>
      <c r="AD36" s="252"/>
      <c r="AE36" s="252"/>
      <c r="AF36" s="252"/>
      <c r="AG36" s="252"/>
      <c r="AH36" s="252"/>
      <c r="AI36" s="252"/>
      <c r="AJ36" s="252"/>
      <c r="AK36" s="252"/>
      <c r="AL36" s="252"/>
      <c r="AM36" s="252"/>
      <c r="AN36" s="252"/>
      <c r="AO36" s="252"/>
    </row>
    <row r="37" spans="1:41" x14ac:dyDescent="0.25">
      <c r="A37" s="4">
        <f>+A30+1</f>
        <v>5</v>
      </c>
      <c r="B37" s="41" t="s">
        <v>29</v>
      </c>
      <c r="C37" s="371"/>
      <c r="D37" s="372"/>
      <c r="E37" s="76"/>
      <c r="F37" s="76"/>
      <c r="G37" s="372"/>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row>
    <row r="38" spans="1:41" x14ac:dyDescent="0.25">
      <c r="A38" s="4"/>
      <c r="B38" s="35" t="s">
        <v>36</v>
      </c>
      <c r="C38" s="373">
        <v>19304.07</v>
      </c>
      <c r="D38" s="374">
        <v>18824.18</v>
      </c>
      <c r="E38" s="342">
        <v>8213.06</v>
      </c>
      <c r="F38" s="342">
        <v>5214.4799999999996</v>
      </c>
      <c r="G38" s="419">
        <v>47665.71</v>
      </c>
      <c r="H38" s="456">
        <v>34536.25</v>
      </c>
      <c r="I38" s="342">
        <v>27356.81</v>
      </c>
      <c r="J38" s="79">
        <v>22276.16</v>
      </c>
      <c r="K38" s="342">
        <v>56706.46</v>
      </c>
      <c r="L38" s="344">
        <v>48075.87</v>
      </c>
      <c r="M38" s="79"/>
      <c r="N38" s="79"/>
      <c r="O38" s="79"/>
      <c r="P38" s="79"/>
      <c r="Q38" s="79"/>
      <c r="R38" s="79"/>
      <c r="S38" s="79"/>
      <c r="T38" s="79"/>
      <c r="U38" s="175"/>
      <c r="V38" s="79"/>
      <c r="W38" s="79"/>
      <c r="X38" s="79"/>
      <c r="Y38" s="79"/>
      <c r="Z38" s="79"/>
      <c r="AA38" s="79"/>
      <c r="AB38" s="254"/>
      <c r="AC38" s="287"/>
      <c r="AD38" s="299"/>
      <c r="AE38" s="310"/>
      <c r="AF38" s="329"/>
      <c r="AG38" s="333"/>
      <c r="AH38" s="333"/>
      <c r="AI38" s="333"/>
      <c r="AJ38" s="333"/>
      <c r="AK38" s="333"/>
      <c r="AL38" s="333"/>
      <c r="AM38" s="333"/>
      <c r="AN38" s="333"/>
      <c r="AO38" s="333"/>
    </row>
    <row r="39" spans="1:41" x14ac:dyDescent="0.25">
      <c r="A39" s="4"/>
      <c r="B39" s="35" t="s">
        <v>37</v>
      </c>
      <c r="C39" s="373">
        <v>3928.38</v>
      </c>
      <c r="D39" s="374">
        <v>3864.12</v>
      </c>
      <c r="E39" s="342">
        <v>3699.21</v>
      </c>
      <c r="F39" s="342">
        <v>3449.13</v>
      </c>
      <c r="G39" s="419">
        <v>9596.4500000000007</v>
      </c>
      <c r="H39" s="456">
        <v>9195.4599999999991</v>
      </c>
      <c r="I39" s="342">
        <v>9180.9699999999993</v>
      </c>
      <c r="J39" s="79">
        <v>8951.5400000000009</v>
      </c>
      <c r="K39" s="342">
        <v>6196.21</v>
      </c>
      <c r="L39" s="344">
        <v>6166.33</v>
      </c>
      <c r="M39" s="79"/>
      <c r="N39" s="79"/>
      <c r="O39" s="79"/>
      <c r="P39" s="79"/>
      <c r="Q39" s="79"/>
      <c r="R39" s="79"/>
      <c r="S39" s="79"/>
      <c r="T39" s="79"/>
      <c r="U39" s="175"/>
      <c r="V39" s="79"/>
      <c r="W39" s="79"/>
      <c r="X39" s="79"/>
      <c r="Y39" s="79"/>
      <c r="Z39" s="79"/>
      <c r="AA39" s="79"/>
      <c r="AB39" s="254"/>
      <c r="AC39" s="287"/>
      <c r="AD39" s="299"/>
      <c r="AE39" s="310"/>
      <c r="AF39" s="329"/>
      <c r="AG39" s="333"/>
      <c r="AH39" s="333"/>
      <c r="AI39" s="333"/>
      <c r="AJ39" s="333"/>
      <c r="AK39" s="333"/>
      <c r="AL39" s="333"/>
      <c r="AM39" s="333"/>
      <c r="AN39" s="333"/>
      <c r="AO39" s="333"/>
    </row>
    <row r="40" spans="1:41" x14ac:dyDescent="0.25">
      <c r="A40" s="4"/>
      <c r="B40" s="35" t="s">
        <v>38</v>
      </c>
      <c r="C40" s="373">
        <v>5019.6499999999996</v>
      </c>
      <c r="D40" s="374">
        <v>5000.75</v>
      </c>
      <c r="E40" s="342">
        <v>2749.3</v>
      </c>
      <c r="F40" s="342">
        <v>668.01</v>
      </c>
      <c r="G40" s="419">
        <v>16945.330000000002</v>
      </c>
      <c r="H40" s="456">
        <v>5618.09</v>
      </c>
      <c r="I40" s="342">
        <v>3974.31</v>
      </c>
      <c r="J40" s="79">
        <v>3016.67</v>
      </c>
      <c r="K40" s="342">
        <v>68999.75</v>
      </c>
      <c r="L40" s="344">
        <v>65409.99</v>
      </c>
      <c r="M40" s="79"/>
      <c r="N40" s="79"/>
      <c r="O40" s="79"/>
      <c r="P40" s="79"/>
      <c r="Q40" s="79"/>
      <c r="R40" s="79"/>
      <c r="S40" s="79"/>
      <c r="T40" s="79"/>
      <c r="U40" s="175"/>
      <c r="V40" s="79"/>
      <c r="W40" s="79"/>
      <c r="X40" s="79"/>
      <c r="Y40" s="79"/>
      <c r="Z40" s="79"/>
      <c r="AA40" s="79"/>
      <c r="AB40" s="254"/>
      <c r="AC40" s="287"/>
      <c r="AD40" s="299"/>
      <c r="AE40" s="310"/>
      <c r="AF40" s="329"/>
      <c r="AG40" s="333"/>
      <c r="AH40" s="333"/>
      <c r="AI40" s="333"/>
      <c r="AJ40" s="333"/>
      <c r="AK40" s="333"/>
      <c r="AL40" s="333"/>
      <c r="AM40" s="333"/>
      <c r="AN40" s="333"/>
      <c r="AO40" s="333"/>
    </row>
    <row r="41" spans="1:41" x14ac:dyDescent="0.25">
      <c r="A41" s="4"/>
      <c r="B41" s="35" t="s">
        <v>39</v>
      </c>
      <c r="C41" s="373"/>
      <c r="D41" s="374"/>
      <c r="E41" s="342"/>
      <c r="F41" s="342"/>
      <c r="G41" s="419"/>
      <c r="H41" s="456"/>
      <c r="I41" s="342"/>
      <c r="J41" s="79"/>
      <c r="K41" s="342"/>
      <c r="L41" s="344"/>
      <c r="M41" s="79"/>
      <c r="N41" s="79"/>
      <c r="O41" s="79"/>
      <c r="P41" s="79"/>
      <c r="Q41" s="79"/>
      <c r="R41" s="79"/>
      <c r="S41" s="79"/>
      <c r="T41" s="79"/>
      <c r="U41" s="175"/>
      <c r="V41" s="79"/>
      <c r="W41" s="79"/>
      <c r="X41" s="79"/>
      <c r="Y41" s="79"/>
      <c r="Z41" s="79"/>
      <c r="AA41" s="79"/>
      <c r="AB41" s="254"/>
      <c r="AC41" s="287"/>
      <c r="AD41" s="299"/>
      <c r="AE41" s="310"/>
      <c r="AF41" s="329"/>
      <c r="AG41" s="333"/>
      <c r="AH41" s="333"/>
      <c r="AI41" s="333"/>
      <c r="AJ41" s="333"/>
      <c r="AK41" s="333"/>
      <c r="AL41" s="333"/>
      <c r="AM41" s="333"/>
      <c r="AN41" s="333"/>
      <c r="AO41" s="333"/>
    </row>
    <row r="42" spans="1:41" x14ac:dyDescent="0.25">
      <c r="A42" s="4"/>
      <c r="B42" s="35" t="s">
        <v>66</v>
      </c>
      <c r="C42" s="373">
        <v>0</v>
      </c>
      <c r="D42" s="374"/>
      <c r="E42" s="342"/>
      <c r="F42" s="342"/>
      <c r="G42" s="419"/>
      <c r="H42" s="456"/>
      <c r="I42" s="342"/>
      <c r="J42" s="79"/>
      <c r="K42" s="342"/>
      <c r="L42" s="344"/>
      <c r="M42" s="79"/>
      <c r="N42" s="79"/>
      <c r="O42" s="79"/>
      <c r="P42" s="79"/>
      <c r="Q42" s="79"/>
      <c r="R42" s="79"/>
      <c r="S42" s="79"/>
      <c r="T42" s="79"/>
      <c r="U42" s="175"/>
      <c r="V42" s="79"/>
      <c r="W42" s="79"/>
      <c r="X42" s="79"/>
      <c r="Y42" s="79"/>
      <c r="Z42" s="79"/>
      <c r="AA42" s="79"/>
      <c r="AB42" s="254"/>
      <c r="AC42" s="287"/>
      <c r="AD42" s="299"/>
      <c r="AE42" s="310"/>
      <c r="AF42" s="329"/>
      <c r="AG42" s="333"/>
      <c r="AH42" s="333"/>
      <c r="AI42" s="333"/>
      <c r="AJ42" s="333"/>
      <c r="AK42" s="333"/>
      <c r="AL42" s="333"/>
      <c r="AM42" s="333"/>
      <c r="AN42" s="333"/>
      <c r="AO42" s="333"/>
    </row>
    <row r="43" spans="1:41" x14ac:dyDescent="0.25">
      <c r="A43" s="4"/>
      <c r="B43" s="35" t="s">
        <v>41</v>
      </c>
      <c r="C43" s="373">
        <f>SUM(C38:C42)</f>
        <v>28252.1</v>
      </c>
      <c r="D43" s="373">
        <f t="shared" ref="D43:E43" si="20">SUM(D38:D42)</f>
        <v>27689.05</v>
      </c>
      <c r="E43" s="373">
        <f t="shared" si="20"/>
        <v>14661.57</v>
      </c>
      <c r="F43" s="373">
        <f t="shared" ref="F43:H43" si="21">SUM(F38:F42)</f>
        <v>9331.6200000000008</v>
      </c>
      <c r="G43" s="422">
        <f t="shared" si="21"/>
        <v>74207.490000000005</v>
      </c>
      <c r="H43" s="373">
        <f t="shared" si="21"/>
        <v>49349.8</v>
      </c>
      <c r="I43" s="373">
        <f t="shared" ref="I43" si="22">SUM(I38:I42)</f>
        <v>40512.089999999997</v>
      </c>
      <c r="J43" s="79">
        <v>34244.370000000003</v>
      </c>
      <c r="K43" s="373">
        <f t="shared" ref="K43" si="23">SUM(K38:K42)</f>
        <v>131902.41999999998</v>
      </c>
      <c r="L43" s="373">
        <f t="shared" ref="L43" si="24">SUM(L38:L42)</f>
        <v>119652.19</v>
      </c>
      <c r="M43" s="79"/>
      <c r="N43" s="79"/>
      <c r="O43" s="79"/>
      <c r="P43" s="79"/>
      <c r="Q43" s="79"/>
      <c r="R43" s="79"/>
      <c r="S43" s="79"/>
      <c r="T43" s="79"/>
      <c r="U43" s="175"/>
      <c r="V43" s="175"/>
      <c r="W43" s="175"/>
      <c r="X43" s="175"/>
      <c r="Y43" s="175"/>
      <c r="Z43" s="175"/>
      <c r="AA43" s="175"/>
      <c r="AB43" s="109"/>
      <c r="AC43" s="273"/>
      <c r="AD43" s="273"/>
      <c r="AE43" s="273"/>
      <c r="AF43" s="273"/>
      <c r="AG43" s="334"/>
      <c r="AH43" s="334"/>
      <c r="AI43" s="334"/>
      <c r="AJ43" s="334"/>
      <c r="AK43" s="334"/>
      <c r="AL43" s="334"/>
      <c r="AM43" s="334"/>
      <c r="AN43" s="334"/>
      <c r="AO43" s="334"/>
    </row>
    <row r="44" spans="1:41" x14ac:dyDescent="0.25">
      <c r="A44" s="4">
        <f>+A37+1</f>
        <v>6</v>
      </c>
      <c r="B44" s="42" t="s">
        <v>30</v>
      </c>
      <c r="C44" s="373"/>
      <c r="D44" s="374"/>
      <c r="E44" s="342"/>
      <c r="F44" s="342"/>
      <c r="G44" s="419"/>
      <c r="H44" s="456"/>
      <c r="I44" s="342"/>
      <c r="J44" s="79"/>
      <c r="K44" s="342"/>
      <c r="L44" s="344"/>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row>
    <row r="45" spans="1:41" x14ac:dyDescent="0.25">
      <c r="A45" s="4"/>
      <c r="B45" s="35" t="s">
        <v>36</v>
      </c>
      <c r="C45" s="373">
        <v>3557.97</v>
      </c>
      <c r="D45" s="374">
        <v>691.08</v>
      </c>
      <c r="E45" s="343">
        <v>-340.24</v>
      </c>
      <c r="F45" s="343">
        <v>-708.02</v>
      </c>
      <c r="G45" s="419">
        <v>9093.5</v>
      </c>
      <c r="H45" s="457">
        <v>8953.89</v>
      </c>
      <c r="I45" s="342">
        <v>6943.64</v>
      </c>
      <c r="J45" s="79">
        <v>5645.62</v>
      </c>
      <c r="K45" s="342">
        <v>23679.65</v>
      </c>
      <c r="L45" s="344">
        <v>21818.27</v>
      </c>
      <c r="M45" s="79"/>
      <c r="N45" s="79"/>
      <c r="O45" s="79"/>
      <c r="P45" s="79"/>
      <c r="Q45" s="79"/>
      <c r="R45" s="79"/>
      <c r="S45" s="79"/>
      <c r="T45" s="79"/>
      <c r="U45" s="175"/>
      <c r="V45" s="79"/>
      <c r="W45" s="79"/>
      <c r="X45" s="79"/>
      <c r="Y45" s="79"/>
      <c r="Z45" s="79"/>
      <c r="AA45" s="79"/>
      <c r="AB45" s="254"/>
      <c r="AC45" s="287"/>
      <c r="AD45" s="304"/>
      <c r="AE45" s="310"/>
      <c r="AF45" s="329"/>
      <c r="AG45" s="333"/>
      <c r="AH45" s="333"/>
      <c r="AI45" s="333"/>
      <c r="AJ45" s="333"/>
      <c r="AK45" s="333"/>
      <c r="AL45" s="333"/>
      <c r="AM45" s="333"/>
      <c r="AN45" s="333"/>
      <c r="AO45" s="333"/>
    </row>
    <row r="46" spans="1:41" x14ac:dyDescent="0.25">
      <c r="A46" s="4"/>
      <c r="B46" s="35" t="s">
        <v>37</v>
      </c>
      <c r="C46" s="373">
        <v>1089.19</v>
      </c>
      <c r="D46" s="374">
        <v>1082.97</v>
      </c>
      <c r="E46" s="342">
        <v>1069.8599999999999</v>
      </c>
      <c r="F46" s="342">
        <v>920.31</v>
      </c>
      <c r="G46" s="419">
        <v>3457.61</v>
      </c>
      <c r="H46" s="457">
        <v>3219.81</v>
      </c>
      <c r="I46" s="342">
        <v>3245.58</v>
      </c>
      <c r="J46" s="79">
        <v>3230.96</v>
      </c>
      <c r="K46" s="342">
        <v>7667.92</v>
      </c>
      <c r="L46" s="344">
        <v>7523.09</v>
      </c>
      <c r="M46" s="79"/>
      <c r="N46" s="79"/>
      <c r="O46" s="79"/>
      <c r="P46" s="79"/>
      <c r="Q46" s="79"/>
      <c r="R46" s="79"/>
      <c r="S46" s="79"/>
      <c r="T46" s="79"/>
      <c r="U46" s="175"/>
      <c r="V46" s="79"/>
      <c r="W46" s="79"/>
      <c r="X46" s="79"/>
      <c r="Y46" s="79"/>
      <c r="Z46" s="79"/>
      <c r="AA46" s="79"/>
      <c r="AB46" s="254"/>
      <c r="AC46" s="287"/>
      <c r="AD46" s="304"/>
      <c r="AE46" s="310"/>
      <c r="AF46" s="329"/>
      <c r="AG46" s="333"/>
      <c r="AH46" s="333"/>
      <c r="AI46" s="333"/>
      <c r="AJ46" s="333"/>
      <c r="AK46" s="333"/>
      <c r="AL46" s="333"/>
      <c r="AM46" s="333"/>
      <c r="AN46" s="333"/>
      <c r="AO46" s="333"/>
    </row>
    <row r="47" spans="1:41" x14ac:dyDescent="0.25">
      <c r="A47" s="4"/>
      <c r="B47" s="35" t="s">
        <v>38</v>
      </c>
      <c r="C47" s="375">
        <v>-354.64</v>
      </c>
      <c r="D47" s="376">
        <v>-6.42</v>
      </c>
      <c r="E47" s="343">
        <v>-23.61</v>
      </c>
      <c r="F47" s="343">
        <v>-48.71</v>
      </c>
      <c r="G47" s="419">
        <v>1025.8499999999999</v>
      </c>
      <c r="H47" s="456">
        <v>968.68</v>
      </c>
      <c r="I47" s="342">
        <v>639.99</v>
      </c>
      <c r="J47" s="79">
        <v>189.85</v>
      </c>
      <c r="K47" s="342">
        <v>2427.61</v>
      </c>
      <c r="L47" s="344">
        <v>1266.71</v>
      </c>
      <c r="M47" s="79"/>
      <c r="N47" s="79"/>
      <c r="O47" s="79"/>
      <c r="P47" s="79"/>
      <c r="Q47" s="79"/>
      <c r="R47" s="79"/>
      <c r="S47" s="79"/>
      <c r="T47" s="79"/>
      <c r="U47" s="175"/>
      <c r="V47" s="79"/>
      <c r="W47" s="79"/>
      <c r="X47" s="79"/>
      <c r="Y47" s="79"/>
      <c r="Z47" s="79"/>
      <c r="AA47" s="79"/>
      <c r="AB47" s="254"/>
      <c r="AC47" s="287"/>
      <c r="AD47" s="304"/>
      <c r="AE47" s="310"/>
      <c r="AF47" s="329"/>
      <c r="AG47" s="333"/>
      <c r="AH47" s="333"/>
      <c r="AI47" s="333"/>
      <c r="AJ47" s="333"/>
      <c r="AK47" s="333"/>
      <c r="AL47" s="333"/>
      <c r="AM47" s="333"/>
      <c r="AN47" s="333"/>
      <c r="AO47" s="333"/>
    </row>
    <row r="48" spans="1:41" x14ac:dyDescent="0.25">
      <c r="A48" s="4"/>
      <c r="B48" s="35" t="s">
        <v>39</v>
      </c>
      <c r="C48" s="373"/>
      <c r="D48" s="374"/>
      <c r="E48" s="342"/>
      <c r="F48" s="342"/>
      <c r="G48" s="419"/>
      <c r="H48" s="456"/>
      <c r="I48" s="342"/>
      <c r="J48" s="79"/>
      <c r="K48" s="342"/>
      <c r="L48" s="344"/>
      <c r="M48" s="79"/>
      <c r="N48" s="79"/>
      <c r="O48" s="79"/>
      <c r="P48" s="79"/>
      <c r="Q48" s="79"/>
      <c r="R48" s="79"/>
      <c r="S48" s="79"/>
      <c r="T48" s="79"/>
      <c r="U48" s="175"/>
      <c r="V48" s="79"/>
      <c r="W48" s="79"/>
      <c r="X48" s="79"/>
      <c r="Y48" s="79"/>
      <c r="Z48" s="79"/>
      <c r="AA48" s="79"/>
      <c r="AB48" s="254"/>
      <c r="AC48" s="287"/>
      <c r="AD48" s="304"/>
      <c r="AE48" s="310"/>
      <c r="AF48" s="329"/>
      <c r="AG48" s="333"/>
      <c r="AH48" s="333"/>
      <c r="AI48" s="333"/>
      <c r="AJ48" s="333"/>
      <c r="AK48" s="333"/>
      <c r="AL48" s="333"/>
      <c r="AM48" s="333"/>
      <c r="AN48" s="333"/>
      <c r="AO48" s="333"/>
    </row>
    <row r="49" spans="1:41" x14ac:dyDescent="0.25">
      <c r="A49" s="4"/>
      <c r="B49" s="35" t="s">
        <v>66</v>
      </c>
      <c r="C49" s="373">
        <v>0</v>
      </c>
      <c r="D49" s="374"/>
      <c r="E49" s="342"/>
      <c r="F49" s="342"/>
      <c r="G49" s="419"/>
      <c r="H49" s="456"/>
      <c r="I49" s="342"/>
      <c r="J49" s="79"/>
      <c r="K49" s="342"/>
      <c r="L49" s="344"/>
      <c r="M49" s="79"/>
      <c r="N49" s="79"/>
      <c r="O49" s="79"/>
      <c r="P49" s="79"/>
      <c r="Q49" s="79"/>
      <c r="R49" s="79"/>
      <c r="S49" s="79"/>
      <c r="T49" s="79"/>
      <c r="U49" s="175"/>
      <c r="V49" s="79"/>
      <c r="W49" s="79"/>
      <c r="X49" s="79"/>
      <c r="Y49" s="79"/>
      <c r="Z49" s="79"/>
      <c r="AA49" s="79"/>
      <c r="AB49" s="254"/>
      <c r="AC49" s="287"/>
      <c r="AD49" s="304"/>
      <c r="AE49" s="310"/>
      <c r="AF49" s="329"/>
      <c r="AG49" s="333"/>
      <c r="AH49" s="333"/>
      <c r="AI49" s="333"/>
      <c r="AJ49" s="333"/>
      <c r="AK49" s="333"/>
      <c r="AL49" s="333"/>
      <c r="AM49" s="333"/>
      <c r="AN49" s="333"/>
      <c r="AO49" s="333"/>
    </row>
    <row r="50" spans="1:41" x14ac:dyDescent="0.25">
      <c r="A50" s="4"/>
      <c r="B50" s="35" t="s">
        <v>41</v>
      </c>
      <c r="C50" s="373">
        <f>SUM(C45:C49)</f>
        <v>4292.5199999999995</v>
      </c>
      <c r="D50" s="373">
        <f t="shared" ref="D50:E50" si="25">SUM(D45:D49)</f>
        <v>1767.63</v>
      </c>
      <c r="E50" s="373">
        <f t="shared" si="25"/>
        <v>706.00999999999988</v>
      </c>
      <c r="F50" s="373">
        <f t="shared" ref="F50:H50" si="26">SUM(F45:F49)</f>
        <v>163.57999999999996</v>
      </c>
      <c r="G50" s="422">
        <f t="shared" si="26"/>
        <v>13576.960000000001</v>
      </c>
      <c r="H50" s="373">
        <f t="shared" si="26"/>
        <v>13142.38</v>
      </c>
      <c r="I50" s="373">
        <f t="shared" ref="I50" si="27">SUM(I45:I49)</f>
        <v>10829.210000000001</v>
      </c>
      <c r="J50" s="79">
        <v>9066.43</v>
      </c>
      <c r="K50" s="373">
        <f t="shared" ref="K50" si="28">SUM(K45:K49)</f>
        <v>33775.18</v>
      </c>
      <c r="L50" s="373">
        <f t="shared" ref="L50" si="29">SUM(L45:L49)</f>
        <v>30608.07</v>
      </c>
      <c r="M50" s="79"/>
      <c r="N50" s="79"/>
      <c r="O50" s="79"/>
      <c r="P50" s="79"/>
      <c r="Q50" s="79"/>
      <c r="R50" s="79"/>
      <c r="S50" s="79"/>
      <c r="T50" s="79"/>
      <c r="U50" s="175"/>
      <c r="V50" s="175"/>
      <c r="W50" s="175"/>
      <c r="X50" s="175"/>
      <c r="Y50" s="175"/>
      <c r="Z50" s="175"/>
      <c r="AA50" s="175"/>
      <c r="AB50" s="109"/>
      <c r="AC50" s="273"/>
      <c r="AD50" s="273"/>
      <c r="AE50" s="273"/>
      <c r="AF50" s="273"/>
      <c r="AG50" s="334"/>
      <c r="AH50" s="334"/>
      <c r="AI50" s="334"/>
      <c r="AJ50" s="334"/>
      <c r="AK50" s="334"/>
      <c r="AL50" s="334"/>
      <c r="AM50" s="334"/>
      <c r="AN50" s="334"/>
      <c r="AO50" s="334"/>
    </row>
    <row r="51" spans="1:41" x14ac:dyDescent="0.25">
      <c r="A51" s="4">
        <f>+A44+1</f>
        <v>7</v>
      </c>
      <c r="B51" s="42" t="s">
        <v>31</v>
      </c>
      <c r="C51" s="373"/>
      <c r="D51" s="374"/>
      <c r="E51" s="342"/>
      <c r="F51" s="342"/>
      <c r="G51" s="419"/>
      <c r="H51" s="456"/>
      <c r="I51" s="342"/>
      <c r="J51" s="79"/>
      <c r="K51" s="342"/>
      <c r="L51" s="344"/>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row>
    <row r="52" spans="1:41" x14ac:dyDescent="0.25">
      <c r="A52" s="4"/>
      <c r="B52" s="35" t="s">
        <v>36</v>
      </c>
      <c r="C52" s="373">
        <v>23880.799999999999</v>
      </c>
      <c r="D52" s="374">
        <v>23594.75</v>
      </c>
      <c r="E52" s="342">
        <v>19317.2</v>
      </c>
      <c r="F52" s="342">
        <v>17714.990000000002</v>
      </c>
      <c r="G52" s="419">
        <v>22949.45</v>
      </c>
      <c r="H52" s="456">
        <v>25670.959999999999</v>
      </c>
      <c r="I52" s="342">
        <v>20445.09</v>
      </c>
      <c r="J52" s="79">
        <v>20005.25</v>
      </c>
      <c r="K52" s="342">
        <v>34185.379999999997</v>
      </c>
      <c r="L52" s="344">
        <v>31900.79</v>
      </c>
      <c r="M52" s="79"/>
      <c r="N52" s="79"/>
      <c r="O52" s="79"/>
      <c r="P52" s="79"/>
      <c r="Q52" s="79"/>
      <c r="R52" s="79"/>
      <c r="S52" s="79"/>
      <c r="T52" s="79"/>
      <c r="U52" s="175"/>
      <c r="V52" s="79"/>
      <c r="W52" s="79"/>
      <c r="X52" s="79"/>
      <c r="Y52" s="79"/>
      <c r="Z52" s="79"/>
      <c r="AA52" s="79"/>
      <c r="AB52" s="254"/>
      <c r="AC52" s="287"/>
      <c r="AD52" s="304"/>
      <c r="AE52" s="310"/>
      <c r="AF52" s="329"/>
      <c r="AG52" s="333"/>
      <c r="AH52" s="333"/>
      <c r="AI52" s="333"/>
      <c r="AJ52" s="333"/>
      <c r="AK52" s="333"/>
      <c r="AL52" s="333"/>
      <c r="AM52" s="333"/>
      <c r="AN52" s="333"/>
      <c r="AO52" s="333"/>
    </row>
    <row r="53" spans="1:41" x14ac:dyDescent="0.25">
      <c r="A53" s="4"/>
      <c r="B53" s="35" t="s">
        <v>37</v>
      </c>
      <c r="C53" s="373">
        <v>2712.63</v>
      </c>
      <c r="D53" s="374">
        <v>2712.63</v>
      </c>
      <c r="E53" s="342">
        <v>2325.7399999999998</v>
      </c>
      <c r="F53" s="342">
        <v>2068.77</v>
      </c>
      <c r="G53" s="419">
        <v>2992.68</v>
      </c>
      <c r="H53" s="456">
        <v>3249.1</v>
      </c>
      <c r="I53" s="342">
        <v>3274.06</v>
      </c>
      <c r="J53" s="79">
        <v>3159</v>
      </c>
      <c r="K53" s="342">
        <v>5259.39</v>
      </c>
      <c r="L53" s="344">
        <v>5109.3900000000003</v>
      </c>
      <c r="M53" s="79"/>
      <c r="N53" s="79"/>
      <c r="O53" s="79"/>
      <c r="P53" s="79"/>
      <c r="Q53" s="79"/>
      <c r="R53" s="79"/>
      <c r="S53" s="79"/>
      <c r="T53" s="79"/>
      <c r="U53" s="175"/>
      <c r="V53" s="79"/>
      <c r="W53" s="79"/>
      <c r="X53" s="79"/>
      <c r="Y53" s="79"/>
      <c r="Z53" s="79"/>
      <c r="AA53" s="79"/>
      <c r="AB53" s="254"/>
      <c r="AC53" s="287"/>
      <c r="AD53" s="304"/>
      <c r="AE53" s="310"/>
      <c r="AF53" s="329"/>
      <c r="AG53" s="333"/>
      <c r="AH53" s="333"/>
      <c r="AI53" s="333"/>
      <c r="AJ53" s="333"/>
      <c r="AK53" s="333"/>
      <c r="AL53" s="333"/>
      <c r="AM53" s="333"/>
      <c r="AN53" s="333"/>
      <c r="AO53" s="333"/>
    </row>
    <row r="54" spans="1:41" x14ac:dyDescent="0.25">
      <c r="A54" s="4"/>
      <c r="B54" s="35" t="s">
        <v>38</v>
      </c>
      <c r="C54" s="375">
        <v>-3523.98</v>
      </c>
      <c r="D54" s="376">
        <v>-3898.2</v>
      </c>
      <c r="E54" s="343">
        <v>-3925.59</v>
      </c>
      <c r="F54" s="343">
        <v>-3915.95</v>
      </c>
      <c r="G54" s="419">
        <v>-3964.66</v>
      </c>
      <c r="H54" s="456">
        <v>-3610.48</v>
      </c>
      <c r="I54" s="343">
        <v>-3610.48</v>
      </c>
      <c r="J54" s="79">
        <v>-4335.7700000000004</v>
      </c>
      <c r="K54" s="343">
        <v>-3343.58</v>
      </c>
      <c r="L54" s="349">
        <v>-3343.58</v>
      </c>
      <c r="M54" s="79"/>
      <c r="N54" s="79"/>
      <c r="O54" s="79"/>
      <c r="P54" s="79"/>
      <c r="Q54" s="79"/>
      <c r="R54" s="79"/>
      <c r="S54" s="79"/>
      <c r="T54" s="79"/>
      <c r="U54" s="175"/>
      <c r="V54" s="79"/>
      <c r="W54" s="79"/>
      <c r="X54" s="79"/>
      <c r="Y54" s="79"/>
      <c r="Z54" s="79"/>
      <c r="AA54" s="79"/>
      <c r="AB54" s="254"/>
      <c r="AC54" s="287"/>
      <c r="AD54" s="304"/>
      <c r="AE54" s="310"/>
      <c r="AF54" s="329"/>
      <c r="AG54" s="333"/>
      <c r="AH54" s="333"/>
      <c r="AI54" s="333"/>
      <c r="AJ54" s="333"/>
      <c r="AK54" s="333"/>
      <c r="AL54" s="333"/>
      <c r="AM54" s="333"/>
      <c r="AN54" s="333"/>
      <c r="AO54" s="333"/>
    </row>
    <row r="55" spans="1:41" x14ac:dyDescent="0.25">
      <c r="A55" s="4"/>
      <c r="B55" s="35" t="s">
        <v>39</v>
      </c>
      <c r="C55" s="373"/>
      <c r="D55" s="374"/>
      <c r="E55" s="342"/>
      <c r="F55" s="342"/>
      <c r="G55" s="419"/>
      <c r="H55" s="456"/>
      <c r="I55" s="342"/>
      <c r="J55" s="79"/>
      <c r="K55" s="342"/>
      <c r="L55" s="344"/>
      <c r="M55" s="79"/>
      <c r="N55" s="79"/>
      <c r="O55" s="79"/>
      <c r="P55" s="79"/>
      <c r="Q55" s="79"/>
      <c r="R55" s="79"/>
      <c r="S55" s="79"/>
      <c r="T55" s="79"/>
      <c r="U55" s="175"/>
      <c r="V55" s="79"/>
      <c r="W55" s="79"/>
      <c r="X55" s="79"/>
      <c r="Y55" s="79"/>
      <c r="Z55" s="79"/>
      <c r="AA55" s="79"/>
      <c r="AB55" s="254"/>
      <c r="AC55" s="287"/>
      <c r="AD55" s="304"/>
      <c r="AE55" s="310"/>
      <c r="AF55" s="329"/>
      <c r="AG55" s="333"/>
      <c r="AH55" s="333"/>
      <c r="AI55" s="333"/>
      <c r="AJ55" s="333"/>
      <c r="AK55" s="333"/>
      <c r="AL55" s="333"/>
      <c r="AM55" s="333"/>
      <c r="AN55" s="333"/>
      <c r="AO55" s="333"/>
    </row>
    <row r="56" spans="1:41" x14ac:dyDescent="0.25">
      <c r="A56" s="4"/>
      <c r="B56" s="35" t="s">
        <v>66</v>
      </c>
      <c r="C56" s="373">
        <v>0</v>
      </c>
      <c r="D56" s="374"/>
      <c r="E56" s="342"/>
      <c r="F56" s="342"/>
      <c r="G56" s="419"/>
      <c r="H56" s="456"/>
      <c r="I56" s="342"/>
      <c r="J56" s="79"/>
      <c r="K56" s="342"/>
      <c r="L56" s="344"/>
      <c r="M56" s="79"/>
      <c r="N56" s="79"/>
      <c r="O56" s="79"/>
      <c r="P56" s="79"/>
      <c r="Q56" s="79"/>
      <c r="R56" s="79"/>
      <c r="S56" s="79"/>
      <c r="T56" s="79"/>
      <c r="U56" s="175"/>
      <c r="V56" s="79"/>
      <c r="W56" s="79"/>
      <c r="X56" s="79"/>
      <c r="Y56" s="79"/>
      <c r="Z56" s="79"/>
      <c r="AA56" s="79"/>
      <c r="AB56" s="254"/>
      <c r="AC56" s="287"/>
      <c r="AD56" s="304"/>
      <c r="AE56" s="310"/>
      <c r="AF56" s="329"/>
      <c r="AG56" s="333"/>
      <c r="AH56" s="333"/>
      <c r="AI56" s="333"/>
      <c r="AJ56" s="333"/>
      <c r="AK56" s="333"/>
      <c r="AL56" s="333"/>
      <c r="AM56" s="333"/>
      <c r="AN56" s="333"/>
      <c r="AO56" s="333"/>
    </row>
    <row r="57" spans="1:41" x14ac:dyDescent="0.25">
      <c r="A57" s="4"/>
      <c r="B57" s="35" t="s">
        <v>41</v>
      </c>
      <c r="C57" s="373">
        <f>SUM(C52:C56)</f>
        <v>23069.45</v>
      </c>
      <c r="D57" s="373">
        <f t="shared" ref="D57:E57" si="30">SUM(D52:D56)</f>
        <v>22409.18</v>
      </c>
      <c r="E57" s="373">
        <f t="shared" si="30"/>
        <v>17717.350000000002</v>
      </c>
      <c r="F57" s="373">
        <f t="shared" ref="F57:H57" si="31">SUM(F52:F56)</f>
        <v>15867.810000000001</v>
      </c>
      <c r="G57" s="422">
        <f t="shared" si="31"/>
        <v>21977.47</v>
      </c>
      <c r="H57" s="373">
        <f t="shared" si="31"/>
        <v>25309.579999999998</v>
      </c>
      <c r="I57" s="373">
        <f t="shared" ref="I57" si="32">SUM(I52:I56)</f>
        <v>20108.670000000002</v>
      </c>
      <c r="J57" s="79">
        <v>18828.48</v>
      </c>
      <c r="K57" s="373">
        <f t="shared" ref="K57" si="33">SUM(K52:K56)</f>
        <v>36101.189999999995</v>
      </c>
      <c r="L57" s="373">
        <f t="shared" ref="L57" si="34">SUM(L52:L56)</f>
        <v>33666.6</v>
      </c>
      <c r="M57" s="79"/>
      <c r="N57" s="79"/>
      <c r="O57" s="79"/>
      <c r="P57" s="79"/>
      <c r="Q57" s="79"/>
      <c r="R57" s="79"/>
      <c r="S57" s="79"/>
      <c r="T57" s="79"/>
      <c r="U57" s="175"/>
      <c r="V57" s="175"/>
      <c r="W57" s="175"/>
      <c r="X57" s="175"/>
      <c r="Y57" s="175"/>
      <c r="Z57" s="175"/>
      <c r="AA57" s="175"/>
      <c r="AB57" s="109"/>
      <c r="AC57" s="273"/>
      <c r="AD57" s="273"/>
      <c r="AE57" s="273"/>
      <c r="AF57" s="273"/>
      <c r="AG57" s="334"/>
      <c r="AH57" s="334"/>
      <c r="AI57" s="334"/>
      <c r="AJ57" s="334"/>
      <c r="AK57" s="334"/>
      <c r="AL57" s="334"/>
      <c r="AM57" s="334"/>
      <c r="AN57" s="334"/>
      <c r="AO57" s="334"/>
    </row>
    <row r="58" spans="1:41" x14ac:dyDescent="0.25">
      <c r="A58" s="4">
        <f>+A51+1</f>
        <v>8</v>
      </c>
      <c r="B58" s="42" t="s">
        <v>42</v>
      </c>
      <c r="C58" s="373"/>
      <c r="D58" s="374"/>
      <c r="E58" s="342"/>
      <c r="F58" s="342"/>
      <c r="G58" s="419"/>
      <c r="H58" s="456"/>
      <c r="I58" s="342"/>
      <c r="J58" s="79"/>
      <c r="K58" s="342"/>
      <c r="L58" s="344"/>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row>
    <row r="59" spans="1:41" x14ac:dyDescent="0.25">
      <c r="A59" s="4"/>
      <c r="B59" s="35" t="s">
        <v>36</v>
      </c>
      <c r="C59" s="373">
        <v>46742.84</v>
      </c>
      <c r="D59" s="377">
        <v>43110.01</v>
      </c>
      <c r="E59" s="350">
        <v>27190.02</v>
      </c>
      <c r="F59" s="350">
        <v>22221.45</v>
      </c>
      <c r="G59" s="418">
        <v>79708.86</v>
      </c>
      <c r="H59" s="458">
        <v>69161.100000000006</v>
      </c>
      <c r="I59" s="350">
        <v>54745.54</v>
      </c>
      <c r="J59" s="77">
        <v>47927.03</v>
      </c>
      <c r="K59" s="350">
        <v>114571.49</v>
      </c>
      <c r="L59" s="351">
        <v>101794.93</v>
      </c>
      <c r="M59" s="79"/>
      <c r="N59" s="79"/>
      <c r="O59" s="79"/>
      <c r="P59" s="79"/>
      <c r="Q59" s="79"/>
      <c r="R59" s="79"/>
      <c r="S59" s="79"/>
      <c r="T59" s="79"/>
      <c r="U59" s="189"/>
      <c r="V59" s="189"/>
      <c r="W59" s="189"/>
      <c r="X59" s="189"/>
      <c r="Y59" s="189"/>
      <c r="Z59" s="189"/>
      <c r="AA59" s="189"/>
      <c r="AB59" s="254"/>
      <c r="AC59" s="254"/>
      <c r="AD59" s="254"/>
      <c r="AE59" s="254"/>
      <c r="AF59" s="254"/>
      <c r="AG59" s="335"/>
      <c r="AH59" s="335"/>
      <c r="AI59" s="335"/>
      <c r="AJ59" s="335"/>
      <c r="AK59" s="335"/>
      <c r="AL59" s="335"/>
      <c r="AM59" s="335"/>
      <c r="AN59" s="335"/>
      <c r="AO59" s="335"/>
    </row>
    <row r="60" spans="1:41" x14ac:dyDescent="0.25">
      <c r="A60" s="4"/>
      <c r="B60" s="35" t="s">
        <v>37</v>
      </c>
      <c r="C60" s="373">
        <v>7730.2</v>
      </c>
      <c r="D60" s="377">
        <v>7659.72</v>
      </c>
      <c r="E60" s="350">
        <v>7094.81</v>
      </c>
      <c r="F60" s="350">
        <v>6438.21</v>
      </c>
      <c r="G60" s="418">
        <v>16046.74</v>
      </c>
      <c r="H60" s="458">
        <v>15664.37</v>
      </c>
      <c r="I60" s="350">
        <v>15700.61</v>
      </c>
      <c r="J60" s="77">
        <v>15341.5</v>
      </c>
      <c r="K60" s="350">
        <v>19123.52</v>
      </c>
      <c r="L60" s="346">
        <v>18798.810000000001</v>
      </c>
      <c r="M60" s="108"/>
      <c r="N60" s="77"/>
      <c r="O60" s="77"/>
      <c r="P60" s="77"/>
      <c r="Q60" s="77"/>
      <c r="R60" s="77"/>
      <c r="S60" s="77"/>
      <c r="T60" s="77"/>
      <c r="U60" s="189"/>
      <c r="V60" s="189"/>
      <c r="W60" s="189"/>
      <c r="X60" s="189"/>
      <c r="Y60" s="189"/>
      <c r="Z60" s="189"/>
      <c r="AA60" s="189"/>
      <c r="AB60" s="254"/>
      <c r="AC60" s="254"/>
      <c r="AD60" s="254"/>
      <c r="AE60" s="254"/>
      <c r="AF60" s="254"/>
      <c r="AG60" s="335"/>
      <c r="AH60" s="335"/>
      <c r="AI60" s="335"/>
      <c r="AJ60" s="335"/>
      <c r="AK60" s="335"/>
      <c r="AL60" s="335"/>
      <c r="AM60" s="335"/>
      <c r="AN60" s="335"/>
      <c r="AO60" s="335"/>
    </row>
    <row r="61" spans="1:41" x14ac:dyDescent="0.25">
      <c r="A61" s="4"/>
      <c r="B61" s="35" t="s">
        <v>38</v>
      </c>
      <c r="C61" s="373">
        <v>1141.03</v>
      </c>
      <c r="D61" s="377">
        <v>1096.1300000000001</v>
      </c>
      <c r="E61" s="352">
        <v>-1199.9000000000001</v>
      </c>
      <c r="F61" s="352">
        <v>-3296.65</v>
      </c>
      <c r="G61" s="418">
        <v>6138</v>
      </c>
      <c r="H61" s="458">
        <v>2976.29</v>
      </c>
      <c r="I61" s="350">
        <v>1003.82</v>
      </c>
      <c r="J61" s="77">
        <v>-1129.25</v>
      </c>
      <c r="K61" s="350">
        <v>68083.78</v>
      </c>
      <c r="L61" s="346">
        <v>63333.120000000003</v>
      </c>
      <c r="M61" s="108"/>
      <c r="N61" s="77"/>
      <c r="O61" s="77"/>
      <c r="P61" s="77"/>
      <c r="Q61" s="77"/>
      <c r="R61" s="77"/>
      <c r="S61" s="77"/>
      <c r="T61" s="77"/>
      <c r="U61" s="189"/>
      <c r="V61" s="189"/>
      <c r="W61" s="189"/>
      <c r="X61" s="189"/>
      <c r="Y61" s="189"/>
      <c r="Z61" s="189"/>
      <c r="AA61" s="189"/>
      <c r="AB61" s="254"/>
      <c r="AC61" s="254"/>
      <c r="AD61" s="254"/>
      <c r="AE61" s="254"/>
      <c r="AF61" s="254"/>
      <c r="AG61" s="335"/>
      <c r="AH61" s="335"/>
      <c r="AI61" s="335"/>
      <c r="AJ61" s="335"/>
      <c r="AK61" s="335"/>
      <c r="AL61" s="335"/>
      <c r="AM61" s="335"/>
      <c r="AN61" s="335"/>
      <c r="AO61" s="335"/>
    </row>
    <row r="62" spans="1:41" x14ac:dyDescent="0.25">
      <c r="A62" s="4"/>
      <c r="B62" s="35" t="s">
        <v>39</v>
      </c>
      <c r="C62" s="373"/>
      <c r="D62" s="377"/>
      <c r="E62" s="350"/>
      <c r="F62" s="350"/>
      <c r="G62" s="418"/>
      <c r="H62" s="458"/>
      <c r="I62" s="350"/>
      <c r="J62" s="77"/>
      <c r="K62" s="350"/>
      <c r="L62" s="346"/>
      <c r="M62" s="108"/>
      <c r="N62" s="77"/>
      <c r="O62" s="77"/>
      <c r="P62" s="77"/>
      <c r="Q62" s="77"/>
      <c r="R62" s="77"/>
      <c r="S62" s="77"/>
      <c r="T62" s="77"/>
      <c r="U62" s="189"/>
      <c r="V62" s="189"/>
      <c r="W62" s="189"/>
      <c r="X62" s="189"/>
      <c r="Y62" s="189"/>
      <c r="Z62" s="189"/>
      <c r="AA62" s="189"/>
      <c r="AB62" s="254"/>
      <c r="AC62" s="254"/>
      <c r="AD62" s="254"/>
      <c r="AE62" s="254"/>
      <c r="AF62" s="254"/>
      <c r="AG62" s="335"/>
      <c r="AH62" s="335"/>
      <c r="AI62" s="335"/>
      <c r="AJ62" s="335"/>
      <c r="AK62" s="335"/>
      <c r="AL62" s="335"/>
      <c r="AM62" s="335"/>
      <c r="AN62" s="335"/>
      <c r="AO62" s="335"/>
    </row>
    <row r="63" spans="1:41" x14ac:dyDescent="0.25">
      <c r="A63" s="4"/>
      <c r="B63" s="35" t="s">
        <v>66</v>
      </c>
      <c r="C63" s="373">
        <v>0</v>
      </c>
      <c r="D63" s="377"/>
      <c r="E63" s="350"/>
      <c r="F63" s="350"/>
      <c r="G63" s="418"/>
      <c r="H63" s="458"/>
      <c r="I63" s="350"/>
      <c r="J63" s="77"/>
      <c r="K63" s="350"/>
      <c r="L63" s="346"/>
      <c r="M63" s="108"/>
      <c r="N63" s="77"/>
      <c r="O63" s="77"/>
      <c r="P63" s="77"/>
      <c r="Q63" s="77"/>
      <c r="R63" s="77"/>
      <c r="S63" s="77"/>
      <c r="T63" s="77"/>
      <c r="U63" s="189"/>
      <c r="V63" s="189"/>
      <c r="W63" s="189"/>
      <c r="X63" s="189"/>
      <c r="Y63" s="189"/>
      <c r="Z63" s="189"/>
      <c r="AA63" s="189"/>
      <c r="AB63" s="254"/>
      <c r="AC63" s="254"/>
      <c r="AD63" s="254"/>
      <c r="AE63" s="254"/>
      <c r="AF63" s="254"/>
      <c r="AG63" s="335"/>
      <c r="AH63" s="335"/>
      <c r="AI63" s="335"/>
      <c r="AJ63" s="335"/>
      <c r="AK63" s="335"/>
      <c r="AL63" s="335"/>
      <c r="AM63" s="335"/>
      <c r="AN63" s="335"/>
      <c r="AO63" s="335"/>
    </row>
    <row r="64" spans="1:41" ht="15.75" thickBot="1" x14ac:dyDescent="0.3">
      <c r="A64" s="4"/>
      <c r="B64" s="37" t="s">
        <v>41</v>
      </c>
      <c r="C64" s="378">
        <f>SUM(C59:C63)</f>
        <v>55614.069999999992</v>
      </c>
      <c r="D64" s="378">
        <f t="shared" ref="D64:E64" si="35">SUM(D59:D63)</f>
        <v>51865.86</v>
      </c>
      <c r="E64" s="378">
        <f t="shared" si="35"/>
        <v>33084.93</v>
      </c>
      <c r="F64" s="378">
        <f t="shared" ref="F64:H64" si="36">SUM(F59:F63)</f>
        <v>25363.01</v>
      </c>
      <c r="G64" s="423">
        <f t="shared" si="36"/>
        <v>101893.6</v>
      </c>
      <c r="H64" s="378">
        <f t="shared" si="36"/>
        <v>87801.76</v>
      </c>
      <c r="I64" s="378">
        <f t="shared" ref="I64" si="37">SUM(I59:I63)</f>
        <v>71449.97</v>
      </c>
      <c r="J64" s="81">
        <v>62139.28</v>
      </c>
      <c r="K64" s="378">
        <f t="shared" ref="K64" si="38">SUM(K59:K63)</f>
        <v>201778.79</v>
      </c>
      <c r="L64" s="378">
        <f t="shared" ref="L64" si="39">SUM(L59:L63)</f>
        <v>183926.86</v>
      </c>
      <c r="M64" s="81"/>
      <c r="N64" s="81"/>
      <c r="O64" s="81"/>
      <c r="P64" s="81"/>
      <c r="Q64" s="81"/>
      <c r="R64" s="81"/>
      <c r="S64" s="81"/>
      <c r="T64" s="81"/>
      <c r="U64" s="176"/>
      <c r="V64" s="176"/>
      <c r="W64" s="189"/>
      <c r="X64" s="189"/>
      <c r="Y64" s="189"/>
      <c r="Z64" s="189"/>
      <c r="AA64" s="292"/>
      <c r="AB64" s="263"/>
      <c r="AC64" s="263"/>
      <c r="AD64" s="263"/>
      <c r="AE64" s="263"/>
      <c r="AF64" s="263"/>
      <c r="AG64" s="336"/>
      <c r="AH64" s="336"/>
      <c r="AI64" s="336"/>
      <c r="AJ64" s="336"/>
      <c r="AK64" s="336"/>
      <c r="AL64" s="336"/>
      <c r="AM64" s="336"/>
      <c r="AN64" s="336"/>
      <c r="AO64" s="336"/>
    </row>
    <row r="65" spans="1:41" x14ac:dyDescent="0.25">
      <c r="A65" s="4">
        <f>+A58+1</f>
        <v>9</v>
      </c>
      <c r="B65" s="41" t="s">
        <v>33</v>
      </c>
      <c r="C65" s="379"/>
      <c r="D65" s="380"/>
      <c r="E65" s="381"/>
      <c r="F65" s="381"/>
      <c r="G65" s="64"/>
      <c r="H65" s="459"/>
      <c r="I65" s="381"/>
      <c r="J65" s="64"/>
      <c r="K65" s="381"/>
      <c r="L65" s="523"/>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row>
    <row r="66" spans="1:41" x14ac:dyDescent="0.25">
      <c r="A66" s="4"/>
      <c r="B66" s="35" t="s">
        <v>36</v>
      </c>
      <c r="C66" s="373">
        <v>291304.71999999997</v>
      </c>
      <c r="D66" s="374"/>
      <c r="E66" s="342"/>
      <c r="F66" s="342"/>
      <c r="G66" s="83"/>
      <c r="H66" s="456"/>
      <c r="I66" s="342"/>
      <c r="J66" s="83"/>
      <c r="K66" s="342"/>
      <c r="L66" s="344"/>
      <c r="M66" s="83"/>
      <c r="N66" s="83"/>
      <c r="O66" s="83"/>
      <c r="P66" s="83"/>
      <c r="Q66" s="83"/>
      <c r="R66" s="83"/>
      <c r="S66" s="83"/>
      <c r="T66" s="83"/>
      <c r="U66" s="178"/>
      <c r="V66" s="83"/>
      <c r="W66" s="83"/>
      <c r="X66" s="83"/>
      <c r="Y66" s="83"/>
      <c r="Z66" s="83"/>
      <c r="AA66" s="83"/>
      <c r="AB66" s="256"/>
      <c r="AC66" s="288"/>
      <c r="AD66" s="305"/>
      <c r="AE66" s="311"/>
      <c r="AF66" s="311"/>
      <c r="AG66" s="224"/>
      <c r="AH66" s="224"/>
      <c r="AI66" s="224"/>
      <c r="AJ66" s="224"/>
      <c r="AK66" s="224"/>
    </row>
    <row r="67" spans="1:41" x14ac:dyDescent="0.25">
      <c r="A67" s="4"/>
      <c r="B67" s="35" t="s">
        <v>37</v>
      </c>
      <c r="C67" s="373">
        <v>17007.11</v>
      </c>
      <c r="D67" s="374"/>
      <c r="E67" s="342"/>
      <c r="F67" s="342"/>
      <c r="G67" s="83"/>
      <c r="H67" s="456"/>
      <c r="I67" s="342"/>
      <c r="J67" s="83"/>
      <c r="K67" s="342"/>
      <c r="L67" s="344"/>
      <c r="M67" s="83"/>
      <c r="N67" s="83"/>
      <c r="O67" s="83"/>
      <c r="P67" s="83"/>
      <c r="Q67" s="83"/>
      <c r="R67" s="83"/>
      <c r="S67" s="83"/>
      <c r="T67" s="83"/>
      <c r="U67" s="178"/>
      <c r="V67" s="83"/>
      <c r="W67" s="83"/>
      <c r="X67" s="83"/>
      <c r="Y67" s="83"/>
      <c r="Z67" s="83"/>
      <c r="AA67" s="83"/>
      <c r="AB67" s="256"/>
      <c r="AC67" s="288"/>
      <c r="AD67" s="305"/>
      <c r="AE67" s="311"/>
      <c r="AF67" s="311"/>
      <c r="AG67" s="224"/>
      <c r="AH67" s="224"/>
      <c r="AI67" s="224"/>
      <c r="AJ67" s="224"/>
      <c r="AK67" s="224"/>
      <c r="AL67" s="224"/>
      <c r="AM67" s="224"/>
      <c r="AN67" s="224"/>
      <c r="AO67" s="224"/>
    </row>
    <row r="68" spans="1:41" x14ac:dyDescent="0.25">
      <c r="A68" s="4"/>
      <c r="B68" s="35" t="s">
        <v>38</v>
      </c>
      <c r="C68" s="373">
        <v>85680.89</v>
      </c>
      <c r="D68" s="374"/>
      <c r="E68" s="342"/>
      <c r="F68" s="342"/>
      <c r="G68" s="83"/>
      <c r="H68" s="456"/>
      <c r="I68" s="342"/>
      <c r="J68" s="83"/>
      <c r="K68" s="342"/>
      <c r="L68" s="344"/>
      <c r="M68" s="83"/>
      <c r="N68" s="83"/>
      <c r="O68" s="83"/>
      <c r="P68" s="83"/>
      <c r="Q68" s="83"/>
      <c r="R68" s="83"/>
      <c r="S68" s="83"/>
      <c r="T68" s="83"/>
      <c r="U68" s="178"/>
      <c r="V68" s="83"/>
      <c r="W68" s="83"/>
      <c r="X68" s="83"/>
      <c r="Y68" s="83"/>
      <c r="Z68" s="83"/>
      <c r="AA68" s="83"/>
      <c r="AB68" s="256"/>
      <c r="AC68" s="288"/>
      <c r="AD68" s="305"/>
      <c r="AE68" s="311"/>
      <c r="AF68" s="311"/>
      <c r="AG68" s="224"/>
      <c r="AH68" s="224"/>
      <c r="AI68" s="224"/>
      <c r="AJ68" s="224"/>
      <c r="AK68" s="224"/>
      <c r="AL68" s="224"/>
      <c r="AM68" s="224"/>
      <c r="AN68" s="224"/>
      <c r="AO68" s="224"/>
    </row>
    <row r="69" spans="1:41" x14ac:dyDescent="0.25">
      <c r="A69" s="4"/>
      <c r="B69" s="35" t="s">
        <v>39</v>
      </c>
      <c r="C69" s="373"/>
      <c r="D69" s="374"/>
      <c r="E69" s="342"/>
      <c r="F69" s="342"/>
      <c r="G69" s="83"/>
      <c r="H69" s="456"/>
      <c r="I69" s="342"/>
      <c r="J69" s="83"/>
      <c r="K69" s="342"/>
      <c r="L69" s="344"/>
      <c r="M69" s="83"/>
      <c r="N69" s="83"/>
      <c r="O69" s="83"/>
      <c r="P69" s="83"/>
      <c r="Q69" s="83"/>
      <c r="R69" s="83"/>
      <c r="S69" s="83"/>
      <c r="T69" s="83"/>
      <c r="U69" s="178"/>
      <c r="V69" s="83"/>
      <c r="W69" s="83"/>
      <c r="X69" s="83"/>
      <c r="Y69" s="83"/>
      <c r="Z69" s="83"/>
      <c r="AA69" s="83"/>
      <c r="AB69" s="256"/>
      <c r="AC69" s="288"/>
      <c r="AD69" s="305"/>
      <c r="AE69" s="311"/>
      <c r="AF69" s="311"/>
      <c r="AG69" s="224"/>
      <c r="AH69" s="224"/>
      <c r="AI69" s="224"/>
      <c r="AJ69" s="224"/>
      <c r="AK69" s="224"/>
      <c r="AL69" s="224"/>
      <c r="AM69" s="224"/>
      <c r="AN69" s="224"/>
      <c r="AO69" s="224"/>
    </row>
    <row r="70" spans="1:41" x14ac:dyDescent="0.25">
      <c r="A70" s="4"/>
      <c r="B70" s="35" t="s">
        <v>66</v>
      </c>
      <c r="C70" s="373">
        <v>54115.040000000001</v>
      </c>
      <c r="D70" s="374"/>
      <c r="E70" s="342"/>
      <c r="F70" s="342"/>
      <c r="G70" s="83"/>
      <c r="H70" s="456"/>
      <c r="I70" s="342"/>
      <c r="J70" s="83"/>
      <c r="K70" s="342"/>
      <c r="L70" s="344"/>
      <c r="M70" s="83"/>
      <c r="N70" s="83"/>
      <c r="O70" s="83"/>
      <c r="P70" s="83"/>
      <c r="Q70" s="83"/>
      <c r="R70" s="83"/>
      <c r="S70" s="83"/>
      <c r="T70" s="83"/>
      <c r="U70" s="178"/>
      <c r="V70" s="83"/>
      <c r="W70" s="83"/>
      <c r="X70" s="83"/>
      <c r="Y70" s="83"/>
      <c r="Z70" s="83"/>
      <c r="AA70" s="83"/>
      <c r="AB70" s="256"/>
      <c r="AC70" s="288"/>
      <c r="AD70" s="305"/>
      <c r="AE70" s="311"/>
      <c r="AF70" s="311"/>
      <c r="AG70" s="224"/>
      <c r="AH70" s="224"/>
      <c r="AI70" s="224"/>
      <c r="AJ70" s="224"/>
      <c r="AK70" s="224"/>
      <c r="AL70" s="224"/>
      <c r="AM70" s="224"/>
      <c r="AN70" s="224"/>
      <c r="AO70" s="224"/>
    </row>
    <row r="71" spans="1:41" x14ac:dyDescent="0.25">
      <c r="A71" s="4"/>
      <c r="B71" s="35" t="s">
        <v>41</v>
      </c>
      <c r="C71" s="373">
        <f>SUM(C66:C70)</f>
        <v>448107.75999999995</v>
      </c>
      <c r="D71" s="374"/>
      <c r="E71" s="342"/>
      <c r="F71" s="342"/>
      <c r="G71" s="83"/>
      <c r="H71" s="456"/>
      <c r="I71" s="342"/>
      <c r="J71" s="83"/>
      <c r="K71" s="342"/>
      <c r="L71" s="344"/>
      <c r="M71" s="83"/>
      <c r="N71" s="83"/>
      <c r="O71" s="83"/>
      <c r="P71" s="83"/>
      <c r="Q71" s="83"/>
      <c r="R71" s="83"/>
      <c r="S71" s="83"/>
      <c r="T71" s="83"/>
      <c r="U71" s="178"/>
      <c r="V71" s="178"/>
      <c r="W71" s="178"/>
      <c r="X71" s="178"/>
      <c r="Y71" s="178"/>
      <c r="Z71" s="178"/>
      <c r="AA71" s="178"/>
      <c r="AB71" s="257"/>
      <c r="AC71" s="257"/>
      <c r="AD71" s="257"/>
      <c r="AE71" s="257"/>
      <c r="AF71" s="257"/>
      <c r="AG71" s="257"/>
      <c r="AH71" s="257"/>
      <c r="AI71" s="257"/>
      <c r="AJ71" s="257"/>
      <c r="AK71" s="257"/>
      <c r="AL71" s="257"/>
      <c r="AM71" s="257"/>
      <c r="AN71" s="257"/>
      <c r="AO71" s="257"/>
    </row>
    <row r="72" spans="1:41" x14ac:dyDescent="0.25">
      <c r="A72" s="4">
        <f>+A65+1</f>
        <v>10</v>
      </c>
      <c r="B72" s="42" t="s">
        <v>34</v>
      </c>
      <c r="C72" s="373"/>
      <c r="D72" s="374"/>
      <c r="E72" s="342"/>
      <c r="F72" s="342"/>
      <c r="G72" s="85"/>
      <c r="H72" s="456"/>
      <c r="I72" s="342"/>
      <c r="J72" s="85"/>
      <c r="K72" s="342"/>
      <c r="L72" s="344"/>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row>
    <row r="73" spans="1:41" x14ac:dyDescent="0.25">
      <c r="A73" s="4"/>
      <c r="B73" s="35" t="s">
        <v>36</v>
      </c>
      <c r="C73" s="382">
        <v>291304.71999999997</v>
      </c>
      <c r="D73" s="383"/>
      <c r="E73" s="357"/>
      <c r="F73" s="357"/>
      <c r="G73" s="89"/>
      <c r="H73" s="460"/>
      <c r="I73" s="357"/>
      <c r="J73" s="89"/>
      <c r="K73" s="357"/>
      <c r="L73" s="358"/>
      <c r="M73" s="89"/>
      <c r="N73" s="89"/>
      <c r="O73" s="89"/>
      <c r="P73" s="89"/>
      <c r="Q73" s="89"/>
      <c r="R73" s="89"/>
      <c r="S73" s="89"/>
      <c r="T73" s="89"/>
      <c r="U73" s="180"/>
      <c r="V73" s="79"/>
      <c r="W73" s="79"/>
      <c r="X73" s="79"/>
      <c r="Y73" s="79"/>
      <c r="Z73" s="79"/>
      <c r="AA73" s="204"/>
      <c r="AB73" s="254"/>
      <c r="AC73" s="287"/>
      <c r="AD73" s="299"/>
      <c r="AE73" s="300"/>
      <c r="AF73" s="300"/>
      <c r="AG73" s="301"/>
      <c r="AH73" s="301"/>
      <c r="AI73" s="301"/>
      <c r="AJ73" s="301"/>
      <c r="AK73" s="301"/>
      <c r="AL73" s="301"/>
      <c r="AM73" s="301"/>
      <c r="AN73" s="301"/>
      <c r="AO73" s="301"/>
    </row>
    <row r="74" spans="1:41" x14ac:dyDescent="0.25">
      <c r="A74" s="4"/>
      <c r="B74" s="35" t="s">
        <v>37</v>
      </c>
      <c r="C74" s="382">
        <v>17007.11</v>
      </c>
      <c r="D74" s="383"/>
      <c r="E74" s="357"/>
      <c r="F74" s="357"/>
      <c r="G74" s="89"/>
      <c r="H74" s="460"/>
      <c r="I74" s="357"/>
      <c r="J74" s="89"/>
      <c r="K74" s="357"/>
      <c r="L74" s="358"/>
      <c r="M74" s="89"/>
      <c r="N74" s="89"/>
      <c r="O74" s="89"/>
      <c r="P74" s="89"/>
      <c r="Q74" s="89"/>
      <c r="R74" s="89"/>
      <c r="S74" s="89"/>
      <c r="T74" s="89"/>
      <c r="U74" s="180"/>
      <c r="V74" s="79"/>
      <c r="W74" s="79"/>
      <c r="X74" s="79"/>
      <c r="Y74" s="79"/>
      <c r="Z74" s="79"/>
      <c r="AA74" s="204"/>
      <c r="AB74" s="254"/>
      <c r="AC74" s="287"/>
      <c r="AD74" s="299"/>
      <c r="AE74" s="300"/>
      <c r="AF74" s="300"/>
      <c r="AG74" s="301"/>
      <c r="AH74" s="301"/>
      <c r="AI74" s="301"/>
      <c r="AJ74" s="301"/>
      <c r="AK74" s="301"/>
      <c r="AL74" s="301"/>
      <c r="AM74" s="301"/>
      <c r="AN74" s="301"/>
      <c r="AO74" s="301"/>
    </row>
    <row r="75" spans="1:41" x14ac:dyDescent="0.25">
      <c r="A75" s="4"/>
      <c r="B75" s="35" t="s">
        <v>38</v>
      </c>
      <c r="C75" s="382">
        <v>85680.89</v>
      </c>
      <c r="D75" s="383"/>
      <c r="E75" s="357"/>
      <c r="F75" s="357"/>
      <c r="G75" s="89"/>
      <c r="H75" s="460"/>
      <c r="I75" s="357"/>
      <c r="J75" s="89"/>
      <c r="K75" s="357"/>
      <c r="L75" s="358"/>
      <c r="M75" s="89"/>
      <c r="N75" s="89"/>
      <c r="O75" s="89"/>
      <c r="P75" s="89"/>
      <c r="Q75" s="89"/>
      <c r="R75" s="89"/>
      <c r="S75" s="89"/>
      <c r="T75" s="89"/>
      <c r="U75" s="180"/>
      <c r="V75" s="79"/>
      <c r="W75" s="79"/>
      <c r="X75" s="79"/>
      <c r="Y75" s="79"/>
      <c r="Z75" s="79"/>
      <c r="AA75" s="204"/>
      <c r="AB75" s="254"/>
      <c r="AC75" s="287"/>
      <c r="AD75" s="299"/>
      <c r="AE75" s="300"/>
      <c r="AF75" s="300"/>
      <c r="AG75" s="301"/>
      <c r="AH75" s="301"/>
      <c r="AI75" s="301"/>
      <c r="AJ75" s="301"/>
      <c r="AK75" s="301"/>
      <c r="AL75" s="301"/>
      <c r="AM75" s="301"/>
      <c r="AN75" s="301"/>
      <c r="AO75" s="301"/>
    </row>
    <row r="76" spans="1:41" x14ac:dyDescent="0.25">
      <c r="A76" s="4"/>
      <c r="B76" s="35" t="s">
        <v>39</v>
      </c>
      <c r="C76" s="382"/>
      <c r="D76" s="383"/>
      <c r="E76" s="357"/>
      <c r="F76" s="357"/>
      <c r="G76" s="89"/>
      <c r="H76" s="460"/>
      <c r="I76" s="357"/>
      <c r="J76" s="89"/>
      <c r="K76" s="357"/>
      <c r="L76" s="358"/>
      <c r="M76" s="89"/>
      <c r="N76" s="89"/>
      <c r="O76" s="89"/>
      <c r="P76" s="89"/>
      <c r="Q76" s="89"/>
      <c r="R76" s="89"/>
      <c r="S76" s="89"/>
      <c r="T76" s="89"/>
      <c r="U76" s="180"/>
      <c r="V76" s="79"/>
      <c r="W76" s="79"/>
      <c r="X76" s="79"/>
      <c r="Y76" s="79"/>
      <c r="Z76" s="79"/>
      <c r="AA76" s="247"/>
      <c r="AB76" s="254"/>
      <c r="AC76" s="287"/>
      <c r="AD76" s="299"/>
      <c r="AE76" s="300"/>
      <c r="AF76" s="300"/>
      <c r="AG76" s="301"/>
      <c r="AH76" s="301"/>
      <c r="AI76" s="301"/>
      <c r="AJ76" s="301"/>
      <c r="AK76" s="301"/>
      <c r="AL76" s="301"/>
      <c r="AM76" s="301"/>
      <c r="AN76" s="301"/>
      <c r="AO76" s="301"/>
    </row>
    <row r="77" spans="1:41" x14ac:dyDescent="0.25">
      <c r="A77" s="4"/>
      <c r="B77" s="35" t="s">
        <v>40</v>
      </c>
      <c r="C77" s="382">
        <v>54115.040000000001</v>
      </c>
      <c r="D77" s="383"/>
      <c r="E77" s="357"/>
      <c r="F77" s="357"/>
      <c r="G77" s="89"/>
      <c r="H77" s="460"/>
      <c r="I77" s="357"/>
      <c r="J77" s="89"/>
      <c r="K77" s="357"/>
      <c r="L77" s="358"/>
      <c r="M77" s="89"/>
      <c r="N77" s="89"/>
      <c r="O77" s="89"/>
      <c r="P77" s="89"/>
      <c r="Q77" s="89"/>
      <c r="R77" s="89"/>
      <c r="S77" s="89"/>
      <c r="T77" s="89"/>
      <c r="U77" s="180"/>
      <c r="V77" s="79"/>
      <c r="W77" s="79"/>
      <c r="X77" s="79"/>
      <c r="Y77" s="79"/>
      <c r="Z77" s="79"/>
      <c r="AA77" s="247"/>
      <c r="AB77" s="254"/>
      <c r="AC77" s="287"/>
      <c r="AD77" s="299"/>
      <c r="AE77" s="300"/>
      <c r="AF77" s="300"/>
      <c r="AG77" s="301"/>
      <c r="AH77" s="301"/>
      <c r="AI77" s="301"/>
      <c r="AJ77" s="301"/>
      <c r="AK77" s="301"/>
      <c r="AL77" s="301"/>
      <c r="AM77" s="301"/>
      <c r="AN77" s="301"/>
      <c r="AO77" s="301"/>
    </row>
    <row r="78" spans="1:41" ht="15.75" thickBot="1" x14ac:dyDescent="0.3">
      <c r="A78" s="4"/>
      <c r="B78" s="35" t="s">
        <v>41</v>
      </c>
      <c r="C78" s="382">
        <f>SUM(C73:C77)</f>
        <v>448107.75999999995</v>
      </c>
      <c r="D78" s="383"/>
      <c r="E78" s="357"/>
      <c r="F78" s="357"/>
      <c r="G78" s="89"/>
      <c r="H78" s="460"/>
      <c r="I78" s="357"/>
      <c r="J78" s="89"/>
      <c r="K78" s="357"/>
      <c r="L78" s="358"/>
      <c r="M78" s="89"/>
      <c r="N78" s="89"/>
      <c r="O78" s="89"/>
      <c r="P78" s="89"/>
      <c r="Q78" s="89"/>
      <c r="R78" s="89"/>
      <c r="S78" s="89"/>
      <c r="T78" s="89"/>
      <c r="U78" s="180"/>
      <c r="V78" s="180"/>
      <c r="W78" s="180"/>
      <c r="X78" s="180"/>
      <c r="Y78" s="180"/>
      <c r="Z78" s="180"/>
      <c r="AA78" s="292"/>
      <c r="AB78" s="159"/>
      <c r="AC78" s="302"/>
      <c r="AD78" s="302"/>
      <c r="AE78" s="302"/>
      <c r="AF78" s="302"/>
      <c r="AG78" s="302"/>
      <c r="AH78" s="302"/>
      <c r="AI78" s="302"/>
      <c r="AJ78" s="302"/>
      <c r="AK78" s="302"/>
      <c r="AL78" s="302"/>
      <c r="AM78" s="302"/>
      <c r="AN78" s="302"/>
      <c r="AO78" s="302"/>
    </row>
    <row r="79" spans="1:41" x14ac:dyDescent="0.25">
      <c r="A79" s="4">
        <v>11</v>
      </c>
      <c r="B79" s="44" t="s">
        <v>35</v>
      </c>
      <c r="C79" s="384"/>
      <c r="D79" s="385"/>
      <c r="E79" s="386"/>
      <c r="F79" s="386"/>
      <c r="G79" s="103"/>
      <c r="H79" s="461"/>
      <c r="I79" s="386"/>
      <c r="J79" s="103"/>
      <c r="K79" s="386"/>
      <c r="L79" s="52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row>
    <row r="80" spans="1:41" x14ac:dyDescent="0.25">
      <c r="A80" s="4"/>
      <c r="B80" s="35" t="s">
        <v>36</v>
      </c>
      <c r="C80" s="387"/>
      <c r="D80" s="388"/>
      <c r="E80" s="363"/>
      <c r="F80" s="357"/>
      <c r="G80" s="87"/>
      <c r="H80" s="462"/>
      <c r="I80" s="363"/>
      <c r="J80" s="87"/>
      <c r="K80" s="363"/>
      <c r="L80" s="364"/>
      <c r="M80" s="89"/>
      <c r="N80" s="87"/>
      <c r="O80" s="89"/>
      <c r="P80" s="87"/>
      <c r="Q80" s="87"/>
      <c r="R80" s="87"/>
      <c r="S80" s="87"/>
      <c r="T80" s="87"/>
      <c r="U80" s="184"/>
      <c r="V80" s="89"/>
      <c r="W80" s="89"/>
      <c r="X80" s="89"/>
      <c r="Y80" s="89"/>
      <c r="Z80" s="89"/>
      <c r="AA80" s="89"/>
      <c r="AB80" s="259"/>
      <c r="AC80" s="289"/>
      <c r="AD80" s="304"/>
      <c r="AE80" s="300"/>
      <c r="AF80" s="329"/>
      <c r="AG80" s="333"/>
      <c r="AH80" s="333"/>
      <c r="AI80" s="333"/>
      <c r="AJ80" s="333"/>
      <c r="AK80" s="333"/>
      <c r="AL80" s="333"/>
      <c r="AM80" s="333"/>
      <c r="AN80" s="333"/>
      <c r="AO80" s="333"/>
    </row>
    <row r="81" spans="1:41" x14ac:dyDescent="0.25">
      <c r="A81" s="4"/>
      <c r="B81" s="35" t="s">
        <v>37</v>
      </c>
      <c r="C81" s="387"/>
      <c r="D81" s="388"/>
      <c r="E81" s="363"/>
      <c r="F81" s="357"/>
      <c r="G81" s="87"/>
      <c r="H81" s="462"/>
      <c r="I81" s="363"/>
      <c r="J81" s="87"/>
      <c r="K81" s="363"/>
      <c r="L81" s="364"/>
      <c r="M81" s="89"/>
      <c r="N81" s="87"/>
      <c r="O81" s="89"/>
      <c r="P81" s="87"/>
      <c r="Q81" s="87"/>
      <c r="R81" s="87"/>
      <c r="S81" s="87"/>
      <c r="T81" s="87"/>
      <c r="U81" s="184"/>
      <c r="V81" s="89"/>
      <c r="W81" s="89"/>
      <c r="X81" s="89"/>
      <c r="Y81" s="89"/>
      <c r="Z81" s="89"/>
      <c r="AA81" s="89"/>
      <c r="AB81" s="259"/>
      <c r="AC81" s="289"/>
      <c r="AD81" s="304"/>
      <c r="AE81" s="300"/>
      <c r="AF81" s="329"/>
      <c r="AG81" s="333"/>
      <c r="AH81" s="333"/>
      <c r="AI81" s="333"/>
      <c r="AJ81" s="333"/>
      <c r="AK81" s="333"/>
      <c r="AL81" s="333"/>
      <c r="AM81" s="333"/>
      <c r="AN81" s="333"/>
      <c r="AO81" s="333"/>
    </row>
    <row r="82" spans="1:41" x14ac:dyDescent="0.25">
      <c r="A82" s="4"/>
      <c r="B82" s="35" t="s">
        <v>38</v>
      </c>
      <c r="C82" s="387"/>
      <c r="D82" s="388"/>
      <c r="E82" s="363"/>
      <c r="F82" s="357"/>
      <c r="G82" s="87"/>
      <c r="H82" s="462"/>
      <c r="I82" s="363"/>
      <c r="J82" s="87"/>
      <c r="K82" s="363"/>
      <c r="L82" s="364"/>
      <c r="M82" s="89"/>
      <c r="N82" s="87"/>
      <c r="O82" s="89"/>
      <c r="P82" s="87"/>
      <c r="Q82" s="87"/>
      <c r="R82" s="87"/>
      <c r="S82" s="87"/>
      <c r="T82" s="87"/>
      <c r="U82" s="184"/>
      <c r="V82" s="89"/>
      <c r="W82" s="89"/>
      <c r="X82" s="89"/>
      <c r="Y82" s="89"/>
      <c r="Z82" s="89"/>
      <c r="AA82" s="89"/>
      <c r="AB82" s="254"/>
      <c r="AC82" s="289"/>
      <c r="AD82" s="304"/>
      <c r="AE82" s="300"/>
      <c r="AF82" s="329"/>
      <c r="AG82" s="333"/>
      <c r="AH82" s="333"/>
      <c r="AI82" s="333"/>
      <c r="AJ82" s="333"/>
      <c r="AK82" s="333"/>
      <c r="AL82" s="333"/>
      <c r="AM82" s="333"/>
      <c r="AN82" s="333"/>
      <c r="AO82" s="333"/>
    </row>
    <row r="83" spans="1:41" x14ac:dyDescent="0.25">
      <c r="A83" s="4"/>
      <c r="B83" s="35" t="s">
        <v>39</v>
      </c>
      <c r="C83" s="387"/>
      <c r="D83" s="388"/>
      <c r="E83" s="363"/>
      <c r="F83" s="357"/>
      <c r="G83" s="87"/>
      <c r="H83" s="462"/>
      <c r="I83" s="363"/>
      <c r="J83" s="87"/>
      <c r="K83" s="363"/>
      <c r="L83" s="364"/>
      <c r="M83" s="89"/>
      <c r="N83" s="87"/>
      <c r="O83" s="89"/>
      <c r="P83" s="87"/>
      <c r="Q83" s="87"/>
      <c r="R83" s="87"/>
      <c r="S83" s="87"/>
      <c r="T83" s="87"/>
      <c r="U83" s="184"/>
      <c r="V83" s="89"/>
      <c r="W83" s="89"/>
      <c r="X83" s="89"/>
      <c r="Y83" s="89"/>
      <c r="Z83" s="89"/>
      <c r="AA83" s="89"/>
      <c r="AB83" s="98"/>
      <c r="AC83" s="289"/>
      <c r="AD83" s="304"/>
      <c r="AE83" s="300"/>
      <c r="AF83" s="329"/>
      <c r="AG83" s="333"/>
      <c r="AH83" s="333"/>
      <c r="AI83" s="333"/>
      <c r="AJ83" s="333"/>
      <c r="AK83" s="333"/>
      <c r="AL83" s="333"/>
      <c r="AM83" s="333"/>
      <c r="AN83" s="333"/>
      <c r="AO83" s="333"/>
    </row>
    <row r="84" spans="1:41" x14ac:dyDescent="0.25">
      <c r="A84" s="4"/>
      <c r="B84" s="35" t="s">
        <v>66</v>
      </c>
      <c r="C84" s="387"/>
      <c r="D84" s="388"/>
      <c r="E84" s="363"/>
      <c r="F84" s="357"/>
      <c r="G84" s="87"/>
      <c r="H84" s="462"/>
      <c r="I84" s="363"/>
      <c r="J84" s="87"/>
      <c r="K84" s="363"/>
      <c r="L84" s="364"/>
      <c r="M84" s="89"/>
      <c r="N84" s="87"/>
      <c r="O84" s="89"/>
      <c r="P84" s="87"/>
      <c r="Q84" s="87"/>
      <c r="R84" s="87"/>
      <c r="S84" s="87"/>
      <c r="T84" s="87"/>
      <c r="U84" s="184"/>
      <c r="V84" s="89"/>
      <c r="W84" s="89"/>
      <c r="X84" s="89"/>
      <c r="Y84" s="89"/>
      <c r="Z84" s="89"/>
      <c r="AA84" s="89"/>
      <c r="AB84" s="98"/>
      <c r="AC84" s="289"/>
      <c r="AD84" s="304"/>
      <c r="AE84" s="300"/>
      <c r="AF84" s="329"/>
      <c r="AG84" s="333"/>
      <c r="AH84" s="333"/>
      <c r="AI84" s="333"/>
      <c r="AJ84" s="333"/>
      <c r="AK84" s="333"/>
      <c r="AL84" s="333"/>
      <c r="AM84" s="333"/>
      <c r="AN84" s="333"/>
      <c r="AO84" s="333"/>
    </row>
    <row r="85" spans="1:41" x14ac:dyDescent="0.25">
      <c r="A85" s="4"/>
      <c r="B85" s="35" t="s">
        <v>41</v>
      </c>
      <c r="C85" s="373">
        <v>22262.38</v>
      </c>
      <c r="D85" s="374">
        <v>8415.69</v>
      </c>
      <c r="E85" s="346">
        <v>295099.06</v>
      </c>
      <c r="F85" s="346"/>
      <c r="G85" s="79"/>
      <c r="H85" s="463"/>
      <c r="I85" s="346"/>
      <c r="J85" s="109"/>
      <c r="K85" s="346"/>
      <c r="L85" s="344"/>
      <c r="M85" s="79"/>
      <c r="N85" s="89"/>
      <c r="O85" s="109"/>
      <c r="P85" s="98"/>
      <c r="Q85" s="109"/>
      <c r="R85" s="98"/>
      <c r="S85" s="109"/>
      <c r="T85" s="79"/>
      <c r="U85" s="180"/>
      <c r="V85" s="180"/>
      <c r="W85" s="180"/>
      <c r="X85" s="180"/>
      <c r="Y85" s="180"/>
      <c r="Z85" s="180"/>
      <c r="AA85" s="180"/>
      <c r="AB85" s="98"/>
      <c r="AC85" s="98"/>
      <c r="AD85" s="98"/>
      <c r="AE85" s="98"/>
      <c r="AF85" s="98"/>
      <c r="AG85" s="98"/>
      <c r="AH85" s="98"/>
      <c r="AI85" s="98"/>
      <c r="AJ85" s="98"/>
      <c r="AK85" s="98"/>
      <c r="AL85" s="98"/>
      <c r="AM85" s="98"/>
      <c r="AN85" s="98"/>
      <c r="AO85" s="98"/>
    </row>
    <row r="86" spans="1:41" x14ac:dyDescent="0.25">
      <c r="A86" s="4">
        <f>+A79+1</f>
        <v>12</v>
      </c>
      <c r="B86" s="43" t="s">
        <v>32</v>
      </c>
      <c r="C86" s="362"/>
      <c r="D86" s="363"/>
      <c r="E86" s="363"/>
      <c r="F86" s="357"/>
      <c r="G86" s="112"/>
      <c r="H86" s="112"/>
      <c r="I86" s="363"/>
      <c r="J86" s="112"/>
      <c r="K86" s="363"/>
      <c r="L86" s="36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row>
    <row r="87" spans="1:41" x14ac:dyDescent="0.25">
      <c r="A87" s="4"/>
      <c r="B87" s="35" t="s">
        <v>36</v>
      </c>
      <c r="C87" s="362"/>
      <c r="D87" s="363"/>
      <c r="E87" s="363"/>
      <c r="F87" s="357"/>
      <c r="G87" s="119"/>
      <c r="H87" s="119"/>
      <c r="I87" s="363"/>
      <c r="J87" s="119"/>
      <c r="K87" s="363"/>
      <c r="L87" s="364"/>
      <c r="M87" s="120"/>
      <c r="N87" s="119"/>
      <c r="O87" s="120"/>
      <c r="P87" s="119"/>
      <c r="Q87" s="119"/>
      <c r="R87" s="119"/>
      <c r="S87" s="119"/>
      <c r="T87" s="119"/>
      <c r="U87" s="186"/>
      <c r="V87" s="120"/>
      <c r="W87" s="120"/>
      <c r="X87" s="120"/>
      <c r="Y87" s="120"/>
      <c r="Z87" s="120"/>
      <c r="AA87" s="120"/>
      <c r="AB87" s="261"/>
      <c r="AC87" s="285"/>
      <c r="AD87" s="303"/>
      <c r="AE87" s="212"/>
      <c r="AF87" s="212"/>
      <c r="AG87" s="224"/>
      <c r="AH87" s="224"/>
      <c r="AI87" s="224"/>
      <c r="AJ87" s="224"/>
      <c r="AK87" s="224"/>
      <c r="AL87" s="224"/>
      <c r="AM87" s="224"/>
      <c r="AN87" s="224"/>
      <c r="AO87" s="224"/>
    </row>
    <row r="88" spans="1:41" x14ac:dyDescent="0.25">
      <c r="A88" s="4"/>
      <c r="B88" s="35" t="s">
        <v>37</v>
      </c>
      <c r="C88" s="362"/>
      <c r="D88" s="363"/>
      <c r="E88" s="363"/>
      <c r="F88" s="357"/>
      <c r="G88" s="119"/>
      <c r="H88" s="119"/>
      <c r="I88" s="363"/>
      <c r="J88" s="119"/>
      <c r="K88" s="363"/>
      <c r="L88" s="364"/>
      <c r="M88" s="120"/>
      <c r="N88" s="119"/>
      <c r="O88" s="120"/>
      <c r="P88" s="119"/>
      <c r="Q88" s="119"/>
      <c r="R88" s="119"/>
      <c r="S88" s="119"/>
      <c r="T88" s="119"/>
      <c r="U88" s="186"/>
      <c r="V88" s="120"/>
      <c r="W88" s="120"/>
      <c r="X88" s="120"/>
      <c r="Y88" s="120"/>
      <c r="Z88" s="120"/>
      <c r="AA88" s="120"/>
      <c r="AB88" s="261"/>
      <c r="AC88" s="285"/>
      <c r="AD88" s="303"/>
      <c r="AE88" s="212"/>
      <c r="AF88" s="212"/>
      <c r="AG88" s="224"/>
      <c r="AH88" s="224"/>
      <c r="AI88" s="224"/>
      <c r="AJ88" s="224"/>
      <c r="AK88" s="224"/>
      <c r="AL88" s="224"/>
      <c r="AM88" s="224"/>
      <c r="AN88" s="224"/>
      <c r="AO88" s="224"/>
    </row>
    <row r="89" spans="1:41" x14ac:dyDescent="0.25">
      <c r="A89" s="4"/>
      <c r="B89" s="35" t="s">
        <v>38</v>
      </c>
      <c r="C89" s="362"/>
      <c r="D89" s="363"/>
      <c r="E89" s="363"/>
      <c r="F89" s="357"/>
      <c r="G89" s="119"/>
      <c r="H89" s="119"/>
      <c r="I89" s="363"/>
      <c r="J89" s="119"/>
      <c r="K89" s="363"/>
      <c r="L89" s="364"/>
      <c r="M89" s="120"/>
      <c r="N89" s="119"/>
      <c r="O89" s="120"/>
      <c r="P89" s="119"/>
      <c r="Q89" s="119"/>
      <c r="R89" s="119"/>
      <c r="S89" s="119"/>
      <c r="T89" s="119"/>
      <c r="U89" s="186"/>
      <c r="V89" s="120"/>
      <c r="W89" s="120"/>
      <c r="X89" s="120"/>
      <c r="Y89" s="120"/>
      <c r="Z89" s="120"/>
      <c r="AA89" s="120"/>
      <c r="AB89" s="261"/>
      <c r="AC89" s="285"/>
      <c r="AD89" s="303"/>
      <c r="AE89" s="212"/>
      <c r="AF89" s="212"/>
      <c r="AG89" s="224"/>
      <c r="AH89" s="224"/>
      <c r="AI89" s="224"/>
      <c r="AJ89" s="224"/>
      <c r="AK89" s="224"/>
      <c r="AL89" s="224"/>
      <c r="AM89" s="224"/>
      <c r="AN89" s="224"/>
      <c r="AO89" s="224"/>
    </row>
    <row r="90" spans="1:41" x14ac:dyDescent="0.25">
      <c r="A90" s="4"/>
      <c r="B90" s="35" t="s">
        <v>39</v>
      </c>
      <c r="C90" s="362"/>
      <c r="D90" s="363"/>
      <c r="E90" s="363"/>
      <c r="F90" s="357"/>
      <c r="G90" s="119"/>
      <c r="H90" s="119"/>
      <c r="I90" s="119"/>
      <c r="J90" s="119"/>
      <c r="K90" s="119"/>
      <c r="L90" s="121"/>
      <c r="M90" s="120"/>
      <c r="N90" s="119"/>
      <c r="O90" s="120"/>
      <c r="P90" s="119"/>
      <c r="Q90" s="119"/>
      <c r="R90" s="119"/>
      <c r="S90" s="119"/>
      <c r="T90" s="119"/>
      <c r="U90" s="186"/>
      <c r="V90" s="120"/>
      <c r="W90" s="120"/>
      <c r="X90" s="120"/>
      <c r="Y90" s="120"/>
      <c r="Z90" s="120"/>
      <c r="AA90" s="120"/>
      <c r="AB90" s="261"/>
      <c r="AC90" s="285"/>
      <c r="AD90" s="303"/>
      <c r="AE90" s="212"/>
      <c r="AF90" s="212"/>
      <c r="AG90" s="224"/>
      <c r="AH90" s="224"/>
      <c r="AI90" s="224"/>
      <c r="AJ90" s="224"/>
      <c r="AK90" s="224"/>
      <c r="AL90" s="224"/>
      <c r="AM90" s="224"/>
      <c r="AN90" s="224"/>
      <c r="AO90" s="224"/>
    </row>
    <row r="91" spans="1:41" x14ac:dyDescent="0.25">
      <c r="A91" s="4"/>
      <c r="B91" s="35" t="s">
        <v>66</v>
      </c>
      <c r="C91" s="362"/>
      <c r="D91" s="363"/>
      <c r="E91" s="363"/>
      <c r="F91" s="357"/>
      <c r="G91" s="119"/>
      <c r="H91" s="119"/>
      <c r="I91" s="119"/>
      <c r="J91" s="119"/>
      <c r="K91" s="119"/>
      <c r="L91" s="121"/>
      <c r="M91" s="120"/>
      <c r="N91" s="119"/>
      <c r="O91" s="120"/>
      <c r="P91" s="119"/>
      <c r="Q91" s="119"/>
      <c r="R91" s="119"/>
      <c r="S91" s="119"/>
      <c r="T91" s="119"/>
      <c r="U91" s="186"/>
      <c r="V91" s="120"/>
      <c r="W91" s="120"/>
      <c r="X91" s="120"/>
      <c r="Y91" s="120"/>
      <c r="Z91" s="120"/>
      <c r="AA91" s="120"/>
      <c r="AB91" s="261"/>
      <c r="AC91" s="285"/>
      <c r="AD91" s="303"/>
      <c r="AE91" s="212"/>
      <c r="AF91" s="212"/>
      <c r="AG91" s="224"/>
      <c r="AH91" s="224"/>
      <c r="AI91" s="224"/>
      <c r="AJ91" s="224"/>
      <c r="AK91" s="224"/>
      <c r="AL91" s="224"/>
      <c r="AM91" s="224"/>
      <c r="AN91" s="224"/>
      <c r="AO91" s="224"/>
    </row>
    <row r="92" spans="1:41" ht="15.75" thickBot="1" x14ac:dyDescent="0.3">
      <c r="A92" s="4"/>
      <c r="B92" s="37" t="s">
        <v>41</v>
      </c>
      <c r="C92" s="389">
        <v>126</v>
      </c>
      <c r="D92" s="390">
        <v>52</v>
      </c>
      <c r="E92" s="355"/>
      <c r="F92" s="355"/>
      <c r="G92" s="60"/>
      <c r="H92" s="60"/>
      <c r="I92" s="60"/>
      <c r="J92" s="60"/>
      <c r="K92" s="60"/>
      <c r="L92" s="163"/>
      <c r="M92" s="60"/>
      <c r="N92" s="60"/>
      <c r="O92" s="60"/>
      <c r="P92" s="60"/>
      <c r="Q92" s="60"/>
      <c r="R92" s="60"/>
      <c r="S92" s="60"/>
      <c r="T92" s="60"/>
      <c r="U92" s="187"/>
      <c r="V92" s="187"/>
      <c r="W92" s="187"/>
      <c r="X92" s="187"/>
      <c r="Y92" s="187"/>
      <c r="Z92" s="187"/>
      <c r="AA92" s="295"/>
      <c r="AB92" s="262"/>
      <c r="AC92" s="262"/>
      <c r="AD92" s="262"/>
      <c r="AE92" s="262"/>
      <c r="AF92" s="262"/>
      <c r="AG92" s="262"/>
      <c r="AH92" s="262"/>
      <c r="AI92" s="262"/>
      <c r="AJ92" s="262"/>
      <c r="AK92" s="262"/>
      <c r="AL92" s="262"/>
      <c r="AM92" s="262"/>
      <c r="AN92" s="262"/>
      <c r="AO92" s="262"/>
    </row>
    <row r="93" spans="1:41" x14ac:dyDescent="0.25">
      <c r="A93" s="4">
        <f>+A86+1</f>
        <v>13</v>
      </c>
      <c r="B93" s="45" t="s">
        <v>44</v>
      </c>
      <c r="C93" s="391"/>
      <c r="D93" s="386"/>
      <c r="E93" s="386"/>
      <c r="F93" s="392"/>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row>
    <row r="94" spans="1:41" x14ac:dyDescent="0.25">
      <c r="A94" s="4"/>
      <c r="B94" s="35" t="s">
        <v>36</v>
      </c>
      <c r="C94" s="356"/>
      <c r="D94" s="350"/>
      <c r="E94" s="350"/>
      <c r="F94" s="350"/>
      <c r="G94" s="77"/>
      <c r="H94" s="77"/>
      <c r="I94" s="77"/>
      <c r="J94" s="77"/>
      <c r="K94" s="77"/>
      <c r="L94" s="98"/>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row>
    <row r="95" spans="1:41" x14ac:dyDescent="0.25">
      <c r="A95" s="4"/>
      <c r="B95" s="35" t="s">
        <v>37</v>
      </c>
      <c r="C95" s="356"/>
      <c r="D95" s="350"/>
      <c r="E95" s="350"/>
      <c r="F95" s="350"/>
      <c r="G95" s="77"/>
      <c r="H95" s="77"/>
      <c r="I95" s="77"/>
      <c r="J95" s="77"/>
      <c r="K95" s="77"/>
      <c r="L95" s="98"/>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row>
    <row r="96" spans="1:41" x14ac:dyDescent="0.25">
      <c r="A96" s="4"/>
      <c r="B96" s="35" t="s">
        <v>38</v>
      </c>
      <c r="C96" s="356"/>
      <c r="D96" s="350"/>
      <c r="E96" s="350"/>
      <c r="F96" s="350"/>
      <c r="G96" s="77"/>
      <c r="H96" s="77"/>
      <c r="I96" s="77"/>
      <c r="J96" s="77"/>
      <c r="K96" s="77"/>
      <c r="L96" s="98"/>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row>
    <row r="97" spans="1:41" x14ac:dyDescent="0.25">
      <c r="A97" s="4"/>
      <c r="B97" s="35" t="s">
        <v>39</v>
      </c>
      <c r="C97" s="356"/>
      <c r="D97" s="350"/>
      <c r="E97" s="350"/>
      <c r="F97" s="350"/>
      <c r="G97" s="77"/>
      <c r="H97" s="77"/>
      <c r="I97" s="77"/>
      <c r="J97" s="77"/>
      <c r="K97" s="77"/>
      <c r="L97" s="98"/>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row>
    <row r="98" spans="1:41" x14ac:dyDescent="0.25">
      <c r="A98" s="4"/>
      <c r="B98" s="35" t="s">
        <v>40</v>
      </c>
      <c r="C98" s="356"/>
      <c r="D98" s="350"/>
      <c r="E98" s="350"/>
      <c r="F98" s="350"/>
      <c r="G98" s="77"/>
      <c r="H98" s="77"/>
      <c r="I98" s="77"/>
      <c r="J98" s="77"/>
      <c r="K98" s="77"/>
      <c r="L98" s="98"/>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row>
    <row r="99" spans="1:41" ht="15.75" thickBot="1" x14ac:dyDescent="0.3">
      <c r="A99" s="4"/>
      <c r="B99" s="37" t="s">
        <v>41</v>
      </c>
      <c r="C99" s="353"/>
      <c r="D99" s="355"/>
      <c r="E99" s="355"/>
      <c r="F99" s="355"/>
      <c r="G99" s="81"/>
      <c r="H99" s="81"/>
      <c r="I99" s="81"/>
      <c r="J99" s="81"/>
      <c r="K99" s="81"/>
      <c r="L99" s="160"/>
      <c r="M99" s="81"/>
      <c r="N99" s="200"/>
      <c r="O99" s="81"/>
      <c r="P99" s="81"/>
      <c r="Q99" s="81"/>
      <c r="R99" s="81"/>
      <c r="S99" s="81"/>
      <c r="T99" s="81"/>
      <c r="U99" s="80"/>
      <c r="V99" s="80"/>
      <c r="W99" s="80"/>
      <c r="X99" s="80"/>
      <c r="Y99" s="80"/>
      <c r="Z99" s="80"/>
      <c r="AA99" s="296"/>
      <c r="AB99" s="263"/>
      <c r="AC99" s="263"/>
      <c r="AD99" s="263"/>
      <c r="AE99" s="263"/>
      <c r="AF99" s="263"/>
      <c r="AG99" s="263"/>
      <c r="AH99" s="263"/>
      <c r="AI99" s="263"/>
      <c r="AJ99" s="263"/>
      <c r="AK99" s="263"/>
      <c r="AL99" s="263"/>
      <c r="AM99" s="263"/>
      <c r="AN99" s="263"/>
      <c r="AO99" s="263"/>
    </row>
    <row r="100" spans="1:41" x14ac:dyDescent="0.25">
      <c r="A100" s="4">
        <f>+A93+1</f>
        <v>14</v>
      </c>
      <c r="B100" s="45" t="s">
        <v>20</v>
      </c>
      <c r="C100" s="393"/>
      <c r="D100" s="394"/>
      <c r="E100" s="394"/>
      <c r="F100" s="381"/>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row>
    <row r="101" spans="1:41" x14ac:dyDescent="0.25">
      <c r="A101" s="4"/>
      <c r="B101" s="35" t="s">
        <v>36</v>
      </c>
      <c r="C101" s="393"/>
      <c r="D101" s="394"/>
      <c r="E101" s="394"/>
      <c r="F101" s="381"/>
      <c r="G101" s="56"/>
      <c r="H101" s="58"/>
      <c r="I101" s="56"/>
      <c r="J101" s="58"/>
      <c r="K101" s="56"/>
      <c r="L101" s="130"/>
      <c r="M101" s="58"/>
      <c r="N101" s="58"/>
      <c r="O101" s="58"/>
      <c r="P101" s="58"/>
      <c r="Q101" s="56"/>
      <c r="R101" s="58"/>
      <c r="S101" s="56"/>
      <c r="T101" s="58"/>
      <c r="U101" s="130"/>
      <c r="V101" s="58"/>
      <c r="W101" s="58"/>
      <c r="X101" s="58"/>
      <c r="Y101" s="58"/>
      <c r="Z101" s="58"/>
      <c r="AA101" s="58"/>
      <c r="AB101" s="242"/>
      <c r="AC101" s="285"/>
      <c r="AD101" s="303"/>
      <c r="AE101" s="212"/>
      <c r="AF101" s="212"/>
      <c r="AG101" s="224"/>
      <c r="AH101" s="224"/>
      <c r="AI101" s="224"/>
      <c r="AJ101" s="224"/>
      <c r="AK101" s="224"/>
      <c r="AL101" s="224"/>
      <c r="AM101" s="224"/>
      <c r="AN101" s="224"/>
      <c r="AO101" s="224"/>
    </row>
    <row r="102" spans="1:41" x14ac:dyDescent="0.25">
      <c r="A102" s="4"/>
      <c r="B102" s="35" t="s">
        <v>37</v>
      </c>
      <c r="C102" s="393"/>
      <c r="D102" s="394"/>
      <c r="E102" s="394"/>
      <c r="F102" s="381"/>
      <c r="G102" s="56"/>
      <c r="H102" s="58"/>
      <c r="I102" s="56"/>
      <c r="J102" s="58"/>
      <c r="K102" s="56"/>
      <c r="L102" s="130"/>
      <c r="M102" s="58"/>
      <c r="N102" s="58"/>
      <c r="O102" s="58"/>
      <c r="P102" s="58"/>
      <c r="Q102" s="56"/>
      <c r="R102" s="58"/>
      <c r="S102" s="56"/>
      <c r="T102" s="58"/>
      <c r="U102" s="130"/>
      <c r="V102" s="58"/>
      <c r="W102" s="58"/>
      <c r="X102" s="58"/>
      <c r="Y102" s="58"/>
      <c r="Z102" s="58"/>
      <c r="AA102" s="58"/>
      <c r="AB102" s="264"/>
      <c r="AC102" s="285"/>
      <c r="AD102" s="303"/>
      <c r="AE102" s="212"/>
      <c r="AF102" s="212"/>
      <c r="AG102" s="224"/>
      <c r="AH102" s="224"/>
      <c r="AI102" s="224"/>
      <c r="AJ102" s="224"/>
      <c r="AK102" s="224"/>
      <c r="AL102" s="224"/>
      <c r="AM102" s="224"/>
      <c r="AN102" s="224"/>
      <c r="AO102" s="224"/>
    </row>
    <row r="103" spans="1:41" x14ac:dyDescent="0.25">
      <c r="A103" s="4"/>
      <c r="B103" s="35" t="s">
        <v>38</v>
      </c>
      <c r="C103" s="393"/>
      <c r="D103" s="394"/>
      <c r="E103" s="394"/>
      <c r="F103" s="394"/>
      <c r="G103" s="56"/>
      <c r="H103" s="56"/>
      <c r="I103" s="56"/>
      <c r="J103" s="56"/>
      <c r="K103" s="56"/>
      <c r="L103" s="70"/>
      <c r="M103" s="58"/>
      <c r="N103" s="58"/>
      <c r="O103" s="58"/>
      <c r="P103" s="58"/>
      <c r="Q103" s="56"/>
      <c r="R103" s="58"/>
      <c r="S103" s="56"/>
      <c r="T103" s="58"/>
      <c r="U103" s="130"/>
      <c r="V103" s="58"/>
      <c r="W103" s="58"/>
      <c r="X103" s="58"/>
      <c r="Y103" s="58"/>
      <c r="Z103" s="58"/>
      <c r="AA103" s="58"/>
      <c r="AB103" s="264"/>
      <c r="AC103" s="285"/>
      <c r="AD103" s="303"/>
      <c r="AE103" s="212"/>
      <c r="AF103" s="212"/>
      <c r="AG103" s="224"/>
      <c r="AH103" s="224"/>
      <c r="AI103" s="224"/>
      <c r="AJ103" s="224"/>
      <c r="AK103" s="224"/>
      <c r="AL103" s="224"/>
      <c r="AM103" s="224"/>
      <c r="AN103" s="224"/>
      <c r="AO103" s="224"/>
    </row>
    <row r="104" spans="1:41" x14ac:dyDescent="0.25">
      <c r="A104" s="4"/>
      <c r="B104" s="35" t="s">
        <v>39</v>
      </c>
      <c r="C104" s="393"/>
      <c r="D104" s="394"/>
      <c r="E104" s="394"/>
      <c r="F104" s="394"/>
      <c r="G104" s="56"/>
      <c r="H104" s="56"/>
      <c r="I104" s="56"/>
      <c r="J104" s="56"/>
      <c r="K104" s="56"/>
      <c r="L104" s="57"/>
      <c r="M104" s="58"/>
      <c r="N104" s="58"/>
      <c r="O104" s="58"/>
      <c r="P104" s="58"/>
      <c r="Q104" s="56"/>
      <c r="R104" s="58"/>
      <c r="S104" s="56"/>
      <c r="T104" s="58"/>
      <c r="U104" s="130"/>
      <c r="V104" s="58"/>
      <c r="W104" s="58"/>
      <c r="X104" s="58"/>
      <c r="Y104" s="58"/>
      <c r="Z104" s="58"/>
      <c r="AA104" s="58"/>
      <c r="AB104" s="264"/>
      <c r="AC104" s="285"/>
      <c r="AD104" s="303"/>
      <c r="AE104" s="212"/>
      <c r="AF104" s="212"/>
      <c r="AG104" s="224"/>
      <c r="AH104" s="224"/>
      <c r="AI104" s="224"/>
      <c r="AJ104" s="224"/>
      <c r="AK104" s="224"/>
      <c r="AL104" s="224"/>
      <c r="AM104" s="224"/>
      <c r="AN104" s="224"/>
      <c r="AO104" s="224"/>
    </row>
    <row r="105" spans="1:41" x14ac:dyDescent="0.25">
      <c r="A105" s="4"/>
      <c r="B105" s="35" t="s">
        <v>40</v>
      </c>
      <c r="C105" s="393"/>
      <c r="D105" s="394"/>
      <c r="E105" s="394"/>
      <c r="F105" s="394"/>
      <c r="G105" s="56"/>
      <c r="H105" s="56"/>
      <c r="I105" s="56"/>
      <c r="J105" s="56"/>
      <c r="K105" s="56"/>
      <c r="L105" s="57"/>
      <c r="M105" s="58"/>
      <c r="N105" s="58"/>
      <c r="O105" s="58"/>
      <c r="P105" s="58"/>
      <c r="Q105" s="56"/>
      <c r="R105" s="58"/>
      <c r="S105" s="56"/>
      <c r="T105" s="58"/>
      <c r="U105" s="130"/>
      <c r="V105" s="58"/>
      <c r="W105" s="58"/>
      <c r="X105" s="58"/>
      <c r="Y105" s="58"/>
      <c r="Z105" s="58"/>
      <c r="AA105" s="58"/>
      <c r="AB105" s="264"/>
      <c r="AC105" s="285"/>
      <c r="AD105" s="303"/>
      <c r="AE105" s="212"/>
      <c r="AF105" s="212"/>
      <c r="AG105" s="224"/>
      <c r="AH105" s="224"/>
      <c r="AI105" s="224"/>
      <c r="AJ105" s="224"/>
      <c r="AK105" s="224"/>
      <c r="AL105" s="224"/>
      <c r="AM105" s="224"/>
      <c r="AN105" s="224"/>
      <c r="AO105" s="224"/>
    </row>
    <row r="106" spans="1:41" x14ac:dyDescent="0.25">
      <c r="A106" s="4"/>
      <c r="B106" s="35" t="s">
        <v>41</v>
      </c>
      <c r="C106" s="341"/>
      <c r="D106" s="381"/>
      <c r="E106" s="381"/>
      <c r="F106" s="381"/>
      <c r="G106" s="58"/>
      <c r="H106" s="58"/>
      <c r="I106" s="58"/>
      <c r="J106" s="58"/>
      <c r="K106" s="58"/>
      <c r="L106" s="130"/>
      <c r="M106" s="58"/>
      <c r="N106" s="58"/>
      <c r="O106" s="58"/>
      <c r="P106" s="58"/>
      <c r="Q106" s="58"/>
      <c r="R106" s="58"/>
      <c r="S106" s="58"/>
      <c r="T106" s="58"/>
      <c r="U106" s="70"/>
      <c r="V106" s="70"/>
      <c r="W106" s="70"/>
      <c r="X106" s="70"/>
      <c r="Y106" s="70"/>
      <c r="Z106" s="70"/>
      <c r="AA106" s="70"/>
      <c r="AB106" s="242"/>
      <c r="AC106" s="242"/>
      <c r="AD106" s="242"/>
      <c r="AE106" s="242"/>
      <c r="AF106" s="242"/>
      <c r="AG106" s="242"/>
      <c r="AH106" s="242"/>
      <c r="AI106" s="242"/>
      <c r="AJ106" s="242"/>
      <c r="AK106" s="242"/>
      <c r="AL106" s="242"/>
      <c r="AM106" s="242"/>
      <c r="AN106" s="242"/>
      <c r="AO106" s="242"/>
    </row>
    <row r="107" spans="1:41" x14ac:dyDescent="0.25">
      <c r="A107" s="4">
        <f>+A100+1</f>
        <v>15</v>
      </c>
      <c r="B107" s="46" t="s">
        <v>25</v>
      </c>
      <c r="C107" s="395"/>
      <c r="D107" s="396"/>
      <c r="E107" s="396"/>
      <c r="F107" s="39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row>
    <row r="108" spans="1:41" x14ac:dyDescent="0.25">
      <c r="A108" s="4"/>
      <c r="B108" s="35" t="s">
        <v>36</v>
      </c>
      <c r="C108" s="397"/>
      <c r="D108" s="328"/>
      <c r="E108" s="328"/>
      <c r="F108" s="328"/>
      <c r="G108" s="73"/>
      <c r="H108" s="73"/>
      <c r="I108" s="73"/>
      <c r="J108" s="73"/>
      <c r="K108" s="73"/>
      <c r="L108" s="74"/>
      <c r="M108" s="222"/>
      <c r="N108" s="73"/>
      <c r="O108" s="73"/>
      <c r="P108" s="73"/>
      <c r="Q108" s="73"/>
      <c r="R108" s="73"/>
      <c r="S108" s="73"/>
      <c r="T108" s="73"/>
      <c r="U108" s="74"/>
      <c r="V108" s="139"/>
      <c r="W108" s="137"/>
      <c r="X108" s="137"/>
      <c r="Y108" s="137"/>
      <c r="Z108" s="137"/>
      <c r="AA108" s="137"/>
      <c r="AB108" s="230"/>
      <c r="AC108" s="285"/>
      <c r="AD108" s="303"/>
      <c r="AE108" s="212"/>
      <c r="AF108" s="212"/>
      <c r="AG108" s="224"/>
      <c r="AH108" s="224"/>
      <c r="AI108" s="224"/>
      <c r="AJ108" s="224"/>
      <c r="AK108" s="224"/>
      <c r="AL108" s="224"/>
      <c r="AM108" s="224"/>
      <c r="AN108" s="224"/>
      <c r="AO108" s="224"/>
    </row>
    <row r="109" spans="1:41" x14ac:dyDescent="0.25">
      <c r="A109" s="4"/>
      <c r="B109" s="35" t="s">
        <v>37</v>
      </c>
      <c r="C109" s="397"/>
      <c r="D109" s="328"/>
      <c r="E109" s="328"/>
      <c r="F109" s="328"/>
      <c r="G109" s="73"/>
      <c r="H109" s="73"/>
      <c r="I109" s="73"/>
      <c r="J109" s="73"/>
      <c r="K109" s="73"/>
      <c r="L109" s="74"/>
      <c r="M109" s="222"/>
      <c r="N109" s="73"/>
      <c r="O109" s="73"/>
      <c r="P109" s="73"/>
      <c r="Q109" s="73"/>
      <c r="R109" s="73"/>
      <c r="S109" s="73"/>
      <c r="T109" s="73"/>
      <c r="U109" s="74"/>
      <c r="V109" s="140"/>
      <c r="W109" s="137"/>
      <c r="X109" s="137"/>
      <c r="Y109" s="137"/>
      <c r="Z109" s="137"/>
      <c r="AA109" s="137"/>
      <c r="AB109" s="266"/>
      <c r="AC109" s="285"/>
      <c r="AD109" s="303"/>
      <c r="AE109" s="212"/>
      <c r="AF109" s="212"/>
      <c r="AG109" s="224"/>
      <c r="AH109" s="224"/>
      <c r="AI109" s="224"/>
      <c r="AJ109" s="224"/>
      <c r="AK109" s="224"/>
      <c r="AL109" s="224"/>
      <c r="AM109" s="224"/>
      <c r="AN109" s="224"/>
      <c r="AO109" s="224"/>
    </row>
    <row r="110" spans="1:41" x14ac:dyDescent="0.25">
      <c r="A110" s="4"/>
      <c r="B110" s="35" t="s">
        <v>38</v>
      </c>
      <c r="C110" s="397"/>
      <c r="D110" s="328"/>
      <c r="E110" s="328"/>
      <c r="F110" s="328"/>
      <c r="G110" s="73"/>
      <c r="H110" s="73"/>
      <c r="I110" s="73"/>
      <c r="J110" s="73"/>
      <c r="K110" s="73"/>
      <c r="L110" s="74"/>
      <c r="M110" s="222"/>
      <c r="N110" s="73"/>
      <c r="O110" s="73"/>
      <c r="P110" s="73"/>
      <c r="Q110" s="73"/>
      <c r="R110" s="73"/>
      <c r="S110" s="73"/>
      <c r="T110" s="73"/>
      <c r="U110" s="74"/>
      <c r="V110" s="140"/>
      <c r="W110" s="137"/>
      <c r="X110" s="137"/>
      <c r="Y110" s="137"/>
      <c r="Z110" s="137"/>
      <c r="AA110" s="137"/>
      <c r="AB110" s="266"/>
      <c r="AC110" s="285"/>
      <c r="AD110" s="303"/>
      <c r="AE110" s="212"/>
      <c r="AF110" s="212"/>
      <c r="AG110" s="224"/>
      <c r="AH110" s="224"/>
      <c r="AI110" s="224"/>
      <c r="AJ110" s="224"/>
      <c r="AK110" s="224"/>
      <c r="AL110" s="224"/>
      <c r="AM110" s="224"/>
      <c r="AN110" s="224"/>
      <c r="AO110" s="224"/>
    </row>
    <row r="111" spans="1:41" x14ac:dyDescent="0.25">
      <c r="A111" s="4"/>
      <c r="B111" s="35" t="s">
        <v>39</v>
      </c>
      <c r="C111" s="397"/>
      <c r="D111" s="328"/>
      <c r="E111" s="328"/>
      <c r="F111" s="328"/>
      <c r="G111" s="73"/>
      <c r="H111" s="73"/>
      <c r="I111" s="73"/>
      <c r="J111" s="73"/>
      <c r="K111" s="73"/>
      <c r="L111" s="74"/>
      <c r="M111" s="222"/>
      <c r="N111" s="73"/>
      <c r="O111" s="73"/>
      <c r="P111" s="73"/>
      <c r="Q111" s="73"/>
      <c r="R111" s="73"/>
      <c r="S111" s="73"/>
      <c r="T111" s="73"/>
      <c r="U111" s="74"/>
      <c r="V111" s="140"/>
      <c r="W111" s="137"/>
      <c r="X111" s="137"/>
      <c r="Y111" s="137"/>
      <c r="Z111" s="137"/>
      <c r="AA111" s="137"/>
      <c r="AB111" s="266"/>
      <c r="AC111" s="285"/>
      <c r="AD111" s="303"/>
      <c r="AE111" s="212"/>
      <c r="AF111" s="212"/>
      <c r="AG111" s="224"/>
      <c r="AH111" s="224"/>
      <c r="AI111" s="224"/>
      <c r="AJ111" s="224"/>
      <c r="AK111" s="224"/>
      <c r="AL111" s="224"/>
      <c r="AM111" s="224"/>
      <c r="AN111" s="224"/>
      <c r="AO111" s="224"/>
    </row>
    <row r="112" spans="1:41" x14ac:dyDescent="0.25">
      <c r="A112" s="4"/>
      <c r="B112" s="35" t="s">
        <v>40</v>
      </c>
      <c r="C112" s="397"/>
      <c r="D112" s="328"/>
      <c r="E112" s="328"/>
      <c r="F112" s="328"/>
      <c r="G112" s="73"/>
      <c r="H112" s="73"/>
      <c r="I112" s="73"/>
      <c r="J112" s="73"/>
      <c r="K112" s="73"/>
      <c r="L112" s="74"/>
      <c r="M112" s="222"/>
      <c r="N112" s="73"/>
      <c r="O112" s="73"/>
      <c r="P112" s="73"/>
      <c r="Q112" s="73"/>
      <c r="R112" s="73"/>
      <c r="S112" s="73"/>
      <c r="T112" s="73"/>
      <c r="U112" s="74"/>
      <c r="V112" s="140"/>
      <c r="W112" s="137"/>
      <c r="X112" s="137"/>
      <c r="Y112" s="137"/>
      <c r="Z112" s="137"/>
      <c r="AA112" s="137"/>
      <c r="AB112" s="266"/>
      <c r="AC112" s="285"/>
      <c r="AD112" s="303"/>
      <c r="AE112" s="212"/>
      <c r="AF112" s="212"/>
      <c r="AG112" s="224"/>
      <c r="AH112" s="224"/>
      <c r="AI112" s="224"/>
      <c r="AJ112" s="224"/>
      <c r="AK112" s="224"/>
      <c r="AL112" s="224"/>
      <c r="AM112" s="224"/>
      <c r="AN112" s="224"/>
      <c r="AO112" s="224"/>
    </row>
    <row r="113" spans="1:41" x14ac:dyDescent="0.25">
      <c r="A113" s="4"/>
      <c r="B113" s="35" t="s">
        <v>41</v>
      </c>
      <c r="C113" s="397"/>
      <c r="D113" s="328"/>
      <c r="E113" s="328"/>
      <c r="F113" s="328"/>
      <c r="G113" s="73"/>
      <c r="H113" s="73"/>
      <c r="I113" s="73"/>
      <c r="J113" s="73"/>
      <c r="K113" s="73"/>
      <c r="L113" s="74"/>
      <c r="M113" s="222"/>
      <c r="N113" s="73"/>
      <c r="O113" s="73"/>
      <c r="P113" s="73"/>
      <c r="Q113" s="73"/>
      <c r="R113" s="73"/>
      <c r="S113" s="73"/>
      <c r="T113" s="73"/>
      <c r="U113" s="74"/>
      <c r="V113" s="74"/>
      <c r="W113" s="74"/>
      <c r="X113" s="74"/>
      <c r="Y113" s="74"/>
      <c r="Z113" s="74"/>
      <c r="AA113" s="74"/>
      <c r="AB113" s="250"/>
      <c r="AC113" s="250"/>
      <c r="AD113" s="250"/>
      <c r="AE113" s="250"/>
      <c r="AF113" s="250"/>
      <c r="AG113" s="250"/>
      <c r="AH113" s="250"/>
      <c r="AI113" s="250"/>
      <c r="AJ113" s="250"/>
      <c r="AK113" s="250"/>
      <c r="AL113" s="250"/>
      <c r="AM113" s="250"/>
      <c r="AN113" s="250"/>
      <c r="AO113" s="250"/>
    </row>
    <row r="114" spans="1:41" x14ac:dyDescent="0.25">
      <c r="A114" s="4">
        <f>+A107+1</f>
        <v>16</v>
      </c>
      <c r="B114" s="211" t="s">
        <v>24</v>
      </c>
      <c r="C114" s="397"/>
      <c r="D114" s="328"/>
      <c r="E114" s="328"/>
      <c r="F114" s="328"/>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row>
    <row r="115" spans="1:41" x14ac:dyDescent="0.25">
      <c r="A115" s="4"/>
      <c r="B115" s="35" t="s">
        <v>36</v>
      </c>
      <c r="C115" s="397"/>
      <c r="D115" s="328"/>
      <c r="E115" s="328"/>
      <c r="F115" s="328"/>
      <c r="G115" s="213"/>
      <c r="H115" s="213"/>
      <c r="I115" s="213"/>
      <c r="J115" s="213"/>
      <c r="K115" s="213"/>
      <c r="L115" s="218"/>
      <c r="M115" s="215"/>
      <c r="N115" s="213"/>
      <c r="O115" s="213"/>
      <c r="P115" s="213"/>
      <c r="Q115" s="213"/>
      <c r="R115" s="213"/>
      <c r="S115" s="213"/>
      <c r="T115" s="213"/>
      <c r="U115" s="218"/>
      <c r="V115" s="149"/>
      <c r="W115" s="148"/>
      <c r="X115" s="148"/>
      <c r="Y115" s="148"/>
      <c r="Z115" s="148"/>
      <c r="AA115" s="148"/>
      <c r="AB115" s="268"/>
      <c r="AC115" s="285"/>
      <c r="AD115" s="303"/>
      <c r="AE115" s="212"/>
      <c r="AF115" s="212"/>
      <c r="AG115" s="224"/>
      <c r="AH115" s="224"/>
      <c r="AI115" s="224"/>
      <c r="AJ115" s="224"/>
      <c r="AK115" s="224"/>
      <c r="AL115" s="224"/>
      <c r="AM115" s="224"/>
      <c r="AN115" s="224"/>
      <c r="AO115" s="224"/>
    </row>
    <row r="116" spans="1:41" x14ac:dyDescent="0.25">
      <c r="A116" s="4"/>
      <c r="B116" s="35" t="s">
        <v>37</v>
      </c>
      <c r="C116" s="397"/>
      <c r="D116" s="328"/>
      <c r="E116" s="328"/>
      <c r="F116" s="328"/>
      <c r="G116" s="213"/>
      <c r="H116" s="213"/>
      <c r="I116" s="213"/>
      <c r="J116" s="213"/>
      <c r="K116" s="213"/>
      <c r="L116" s="218"/>
      <c r="M116" s="215"/>
      <c r="N116" s="213"/>
      <c r="O116" s="213"/>
      <c r="P116" s="213"/>
      <c r="Q116" s="213"/>
      <c r="R116" s="213"/>
      <c r="S116" s="213"/>
      <c r="T116" s="213"/>
      <c r="U116" s="218"/>
      <c r="V116" s="149"/>
      <c r="W116" s="148"/>
      <c r="X116" s="148"/>
      <c r="Y116" s="148"/>
      <c r="Z116" s="148"/>
      <c r="AA116" s="148"/>
      <c r="AB116" s="268"/>
      <c r="AC116" s="285"/>
      <c r="AD116" s="303"/>
      <c r="AE116" s="212"/>
      <c r="AF116" s="212"/>
      <c r="AG116" s="224"/>
      <c r="AH116" s="224"/>
      <c r="AI116" s="224"/>
      <c r="AJ116" s="224"/>
      <c r="AK116" s="224"/>
      <c r="AL116" s="224"/>
      <c r="AM116" s="224"/>
      <c r="AN116" s="224"/>
      <c r="AO116" s="224"/>
    </row>
    <row r="117" spans="1:41" x14ac:dyDescent="0.25">
      <c r="A117" s="4"/>
      <c r="B117" s="35" t="s">
        <v>38</v>
      </c>
      <c r="C117" s="397"/>
      <c r="D117" s="328"/>
      <c r="E117" s="328"/>
      <c r="F117" s="328"/>
      <c r="G117" s="213"/>
      <c r="H117" s="213"/>
      <c r="I117" s="213"/>
      <c r="J117" s="213"/>
      <c r="K117" s="213"/>
      <c r="L117" s="218"/>
      <c r="M117" s="215"/>
      <c r="N117" s="213"/>
      <c r="O117" s="213"/>
      <c r="P117" s="213"/>
      <c r="Q117" s="213"/>
      <c r="R117" s="213"/>
      <c r="S117" s="213"/>
      <c r="T117" s="213"/>
      <c r="U117" s="218"/>
      <c r="V117" s="149"/>
      <c r="W117" s="148"/>
      <c r="X117" s="148"/>
      <c r="Y117" s="148"/>
      <c r="Z117" s="148"/>
      <c r="AA117" s="148"/>
      <c r="AB117" s="268"/>
      <c r="AC117" s="285"/>
      <c r="AD117" s="303"/>
      <c r="AE117" s="212"/>
      <c r="AF117" s="212"/>
      <c r="AG117" s="224"/>
      <c r="AH117" s="224"/>
      <c r="AI117" s="224"/>
      <c r="AJ117" s="224"/>
      <c r="AK117" s="224"/>
      <c r="AL117" s="224"/>
      <c r="AM117" s="224"/>
      <c r="AN117" s="224"/>
      <c r="AO117" s="224"/>
    </row>
    <row r="118" spans="1:41" x14ac:dyDescent="0.25">
      <c r="A118" s="4"/>
      <c r="B118" s="35" t="s">
        <v>39</v>
      </c>
      <c r="C118" s="397"/>
      <c r="D118" s="328"/>
      <c r="E118" s="328"/>
      <c r="F118" s="328"/>
      <c r="G118" s="213"/>
      <c r="H118" s="213"/>
      <c r="I118" s="213"/>
      <c r="J118" s="213"/>
      <c r="K118" s="213"/>
      <c r="L118" s="218"/>
      <c r="M118" s="215"/>
      <c r="N118" s="213"/>
      <c r="O118" s="213"/>
      <c r="P118" s="213"/>
      <c r="Q118" s="213"/>
      <c r="R118" s="213"/>
      <c r="S118" s="213"/>
      <c r="T118" s="213"/>
      <c r="U118" s="218"/>
      <c r="V118" s="149"/>
      <c r="W118" s="148"/>
      <c r="X118" s="148"/>
      <c r="Y118" s="148"/>
      <c r="Z118" s="148"/>
      <c r="AA118" s="148"/>
      <c r="AB118" s="268"/>
      <c r="AC118" s="285"/>
      <c r="AD118" s="303"/>
      <c r="AE118" s="212"/>
      <c r="AF118" s="212"/>
      <c r="AG118" s="224"/>
      <c r="AH118" s="224"/>
      <c r="AI118" s="224"/>
      <c r="AJ118" s="224"/>
      <c r="AK118" s="224"/>
      <c r="AL118" s="224"/>
      <c r="AM118" s="224"/>
      <c r="AN118" s="224"/>
      <c r="AO118" s="224"/>
    </row>
    <row r="119" spans="1:41" x14ac:dyDescent="0.25">
      <c r="A119" s="4"/>
      <c r="B119" s="35" t="s">
        <v>40</v>
      </c>
      <c r="C119" s="397"/>
      <c r="D119" s="328"/>
      <c r="E119" s="328"/>
      <c r="F119" s="328"/>
      <c r="G119" s="213"/>
      <c r="H119" s="213"/>
      <c r="I119" s="213"/>
      <c r="J119" s="213"/>
      <c r="K119" s="213"/>
      <c r="L119" s="218"/>
      <c r="M119" s="216"/>
      <c r="N119" s="237"/>
      <c r="O119" s="237"/>
      <c r="P119" s="237"/>
      <c r="Q119" s="237"/>
      <c r="R119" s="237"/>
      <c r="S119" s="237"/>
      <c r="T119" s="237"/>
      <c r="U119" s="219"/>
      <c r="V119" s="149"/>
      <c r="W119" s="148"/>
      <c r="X119" s="148"/>
      <c r="Y119" s="148"/>
      <c r="Z119" s="148"/>
      <c r="AA119" s="148"/>
      <c r="AB119" s="268"/>
      <c r="AC119" s="285"/>
      <c r="AD119" s="303"/>
      <c r="AE119" s="212"/>
      <c r="AF119" s="212"/>
      <c r="AG119" s="224"/>
      <c r="AH119" s="224"/>
      <c r="AI119" s="224"/>
      <c r="AJ119" s="224"/>
      <c r="AK119" s="224"/>
      <c r="AL119" s="224"/>
      <c r="AM119" s="224"/>
      <c r="AN119" s="224"/>
      <c r="AO119" s="224"/>
    </row>
    <row r="120" spans="1:41" ht="15.75" thickBot="1" x14ac:dyDescent="0.3">
      <c r="A120" s="4"/>
      <c r="B120" s="36" t="s">
        <v>41</v>
      </c>
      <c r="C120" s="398"/>
      <c r="D120" s="399"/>
      <c r="E120" s="399"/>
      <c r="F120" s="399"/>
      <c r="G120" s="152"/>
      <c r="H120" s="152"/>
      <c r="I120" s="152"/>
      <c r="J120" s="152"/>
      <c r="K120" s="152"/>
      <c r="L120" s="153"/>
      <c r="M120" s="152"/>
      <c r="N120" s="201"/>
      <c r="O120" s="152"/>
      <c r="P120" s="152"/>
      <c r="Q120" s="152"/>
      <c r="R120" s="152"/>
      <c r="S120" s="152"/>
      <c r="T120" s="152"/>
      <c r="U120" s="153"/>
      <c r="V120" s="153"/>
      <c r="W120" s="153"/>
      <c r="X120" s="153"/>
      <c r="Y120" s="153"/>
      <c r="Z120" s="153"/>
      <c r="AA120" s="297"/>
      <c r="AB120" s="298"/>
      <c r="AC120" s="298"/>
      <c r="AD120" s="298"/>
      <c r="AE120" s="298"/>
      <c r="AF120" s="298"/>
      <c r="AG120" s="298"/>
      <c r="AH120" s="298"/>
      <c r="AI120" s="298"/>
      <c r="AJ120" s="298"/>
      <c r="AK120" s="298"/>
      <c r="AL120" s="298"/>
      <c r="AM120" s="298"/>
      <c r="AN120" s="298"/>
      <c r="AO120" s="298"/>
    </row>
    <row r="121" spans="1:41" ht="15.75" thickTop="1" x14ac:dyDescent="0.25">
      <c r="A121" s="4">
        <f>+A114+1</f>
        <v>17</v>
      </c>
      <c r="B121" s="47" t="s">
        <v>46</v>
      </c>
      <c r="C121" s="142"/>
      <c r="D121" s="136"/>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row>
    <row r="122" spans="1:41" x14ac:dyDescent="0.25">
      <c r="A122" s="4"/>
      <c r="B122" s="35" t="s">
        <v>36</v>
      </c>
      <c r="C122" s="215"/>
      <c r="D122" s="73"/>
      <c r="E122" s="213"/>
      <c r="F122" s="213"/>
      <c r="G122" s="213"/>
      <c r="H122" s="213"/>
      <c r="I122" s="213"/>
      <c r="J122" s="213"/>
      <c r="K122" s="213"/>
      <c r="L122" s="218"/>
      <c r="M122" s="241"/>
      <c r="N122" s="235"/>
      <c r="O122" s="235"/>
      <c r="P122" s="235"/>
      <c r="Q122" s="235"/>
      <c r="R122" s="235"/>
      <c r="S122" s="235"/>
      <c r="T122" s="235"/>
      <c r="U122" s="217"/>
      <c r="V122" s="149"/>
      <c r="W122" s="148"/>
      <c r="X122" s="148"/>
      <c r="Y122" s="148"/>
      <c r="Z122" s="148"/>
      <c r="AA122" s="148"/>
      <c r="AB122" s="268"/>
      <c r="AC122" s="285"/>
      <c r="AD122" s="303"/>
      <c r="AE122" s="212"/>
      <c r="AF122" s="212"/>
      <c r="AG122" s="224"/>
      <c r="AH122" s="224"/>
      <c r="AI122" s="224"/>
      <c r="AJ122" s="224"/>
      <c r="AK122" s="224"/>
      <c r="AL122" s="224"/>
      <c r="AM122" s="224"/>
      <c r="AN122" s="224"/>
      <c r="AO122" s="224"/>
    </row>
    <row r="123" spans="1:41" x14ac:dyDescent="0.25">
      <c r="A123" s="4"/>
      <c r="B123" s="35" t="s">
        <v>37</v>
      </c>
      <c r="C123" s="215"/>
      <c r="D123" s="73"/>
      <c r="E123" s="213"/>
      <c r="F123" s="213"/>
      <c r="G123" s="213"/>
      <c r="H123" s="213"/>
      <c r="I123" s="213"/>
      <c r="J123" s="213"/>
      <c r="K123" s="213"/>
      <c r="L123" s="218"/>
      <c r="M123" s="215"/>
      <c r="N123" s="213"/>
      <c r="O123" s="213"/>
      <c r="P123" s="213"/>
      <c r="Q123" s="213"/>
      <c r="R123" s="213"/>
      <c r="S123" s="213"/>
      <c r="T123" s="213"/>
      <c r="U123" s="218"/>
      <c r="V123" s="149"/>
      <c r="W123" s="148"/>
      <c r="X123" s="148"/>
      <c r="Y123" s="148"/>
      <c r="Z123" s="148"/>
      <c r="AA123" s="148"/>
      <c r="AB123" s="268"/>
      <c r="AC123" s="285"/>
      <c r="AD123" s="303"/>
      <c r="AE123" s="212"/>
      <c r="AF123" s="212"/>
      <c r="AG123" s="224"/>
      <c r="AH123" s="224"/>
      <c r="AI123" s="224"/>
      <c r="AJ123" s="224"/>
      <c r="AK123" s="224"/>
      <c r="AL123" s="224"/>
      <c r="AM123" s="224"/>
      <c r="AN123" s="224"/>
      <c r="AO123" s="224"/>
    </row>
    <row r="124" spans="1:41" x14ac:dyDescent="0.25">
      <c r="A124" s="4"/>
      <c r="B124" s="35" t="s">
        <v>38</v>
      </c>
      <c r="C124" s="215"/>
      <c r="D124" s="73"/>
      <c r="E124" s="213"/>
      <c r="F124" s="213"/>
      <c r="G124" s="213"/>
      <c r="H124" s="213"/>
      <c r="I124" s="213"/>
      <c r="J124" s="213"/>
      <c r="K124" s="213"/>
      <c r="L124" s="218"/>
      <c r="M124" s="215"/>
      <c r="N124" s="213"/>
      <c r="O124" s="213"/>
      <c r="P124" s="213"/>
      <c r="Q124" s="213"/>
      <c r="R124" s="213"/>
      <c r="S124" s="213"/>
      <c r="T124" s="213"/>
      <c r="U124" s="218"/>
      <c r="V124" s="149"/>
      <c r="W124" s="148"/>
      <c r="X124" s="148"/>
      <c r="Y124" s="148"/>
      <c r="Z124" s="148"/>
      <c r="AA124" s="148"/>
      <c r="AB124" s="268"/>
      <c r="AC124" s="285"/>
      <c r="AD124" s="303"/>
      <c r="AE124" s="212"/>
      <c r="AF124" s="212"/>
      <c r="AG124" s="224"/>
      <c r="AH124" s="224"/>
      <c r="AI124" s="224"/>
      <c r="AJ124" s="224"/>
      <c r="AK124" s="224"/>
      <c r="AL124" s="224"/>
      <c r="AM124" s="224"/>
      <c r="AN124" s="224"/>
      <c r="AO124" s="224"/>
    </row>
    <row r="125" spans="1:41" x14ac:dyDescent="0.25">
      <c r="A125" s="4"/>
      <c r="B125" s="35" t="s">
        <v>39</v>
      </c>
      <c r="C125" s="215"/>
      <c r="D125" s="73"/>
      <c r="E125" s="213"/>
      <c r="F125" s="213"/>
      <c r="G125" s="213"/>
      <c r="H125" s="213"/>
      <c r="I125" s="213"/>
      <c r="J125" s="213"/>
      <c r="K125" s="213"/>
      <c r="L125" s="218"/>
      <c r="M125" s="215"/>
      <c r="N125" s="213"/>
      <c r="O125" s="213"/>
      <c r="P125" s="213"/>
      <c r="Q125" s="213"/>
      <c r="R125" s="213"/>
      <c r="S125" s="213"/>
      <c r="T125" s="213"/>
      <c r="U125" s="218"/>
      <c r="V125" s="149"/>
      <c r="W125" s="148"/>
      <c r="X125" s="148"/>
      <c r="Y125" s="148"/>
      <c r="Z125" s="148"/>
      <c r="AA125" s="148"/>
      <c r="AB125" s="268"/>
      <c r="AC125" s="285"/>
      <c r="AD125" s="303"/>
      <c r="AE125" s="212"/>
      <c r="AF125" s="212"/>
      <c r="AG125" s="224"/>
      <c r="AH125" s="224"/>
      <c r="AI125" s="224"/>
      <c r="AJ125" s="224"/>
      <c r="AK125" s="224"/>
      <c r="AL125" s="224"/>
      <c r="AM125" s="224"/>
      <c r="AN125" s="224"/>
      <c r="AO125" s="224"/>
    </row>
    <row r="126" spans="1:41" x14ac:dyDescent="0.25">
      <c r="A126" s="4"/>
      <c r="B126" s="35" t="s">
        <v>40</v>
      </c>
      <c r="C126" s="215"/>
      <c r="D126" s="73"/>
      <c r="E126" s="213"/>
      <c r="F126" s="213"/>
      <c r="G126" s="213"/>
      <c r="H126" s="213"/>
      <c r="I126" s="213"/>
      <c r="J126" s="213"/>
      <c r="K126" s="213"/>
      <c r="L126" s="218"/>
      <c r="M126" s="216"/>
      <c r="N126" s="237"/>
      <c r="O126" s="237"/>
      <c r="P126" s="237"/>
      <c r="Q126" s="237"/>
      <c r="R126" s="237"/>
      <c r="S126" s="237"/>
      <c r="T126" s="237"/>
      <c r="U126" s="219"/>
      <c r="V126" s="149"/>
      <c r="W126" s="148"/>
      <c r="X126" s="148"/>
      <c r="Y126" s="148"/>
      <c r="Z126" s="148"/>
      <c r="AA126" s="148"/>
      <c r="AB126" s="268"/>
      <c r="AC126" s="285"/>
      <c r="AD126" s="303"/>
      <c r="AE126" s="212"/>
      <c r="AF126" s="212"/>
      <c r="AG126" s="224"/>
      <c r="AH126" s="224"/>
      <c r="AI126" s="224"/>
      <c r="AJ126" s="224"/>
      <c r="AK126" s="224"/>
      <c r="AL126" s="224"/>
      <c r="AM126" s="224"/>
      <c r="AN126" s="224"/>
      <c r="AO126" s="224"/>
    </row>
    <row r="127" spans="1:41" ht="15.75" thickBot="1" x14ac:dyDescent="0.3">
      <c r="A127" s="4"/>
      <c r="B127" s="36" t="s">
        <v>41</v>
      </c>
      <c r="C127" s="151"/>
      <c r="D127" s="400"/>
      <c r="E127" s="152"/>
      <c r="F127" s="152"/>
      <c r="G127" s="152"/>
      <c r="H127" s="152"/>
      <c r="I127" s="152"/>
      <c r="J127" s="152"/>
      <c r="K127" s="152"/>
      <c r="L127" s="197"/>
      <c r="M127" s="152"/>
      <c r="N127" s="201"/>
      <c r="O127" s="152"/>
      <c r="P127" s="152"/>
      <c r="Q127" s="152"/>
      <c r="R127" s="152"/>
      <c r="S127" s="152"/>
      <c r="T127" s="152"/>
      <c r="U127" s="153"/>
      <c r="V127" s="153"/>
      <c r="W127" s="153"/>
      <c r="X127" s="153"/>
      <c r="Y127" s="153"/>
      <c r="Z127" s="153"/>
      <c r="AA127" s="297"/>
      <c r="AB127" s="298"/>
      <c r="AC127" s="298"/>
      <c r="AD127" s="298"/>
      <c r="AE127" s="298"/>
      <c r="AF127" s="298"/>
      <c r="AG127" s="298"/>
      <c r="AH127" s="298"/>
      <c r="AI127" s="298"/>
      <c r="AJ127" s="298"/>
      <c r="AK127" s="298"/>
      <c r="AL127" s="298"/>
      <c r="AM127" s="298"/>
      <c r="AN127" s="298"/>
      <c r="AO127" s="298"/>
    </row>
    <row r="128" spans="1:41" ht="15.75" thickTop="1" x14ac:dyDescent="0.25">
      <c r="A128" s="4">
        <f>+A121+1</f>
        <v>18</v>
      </c>
      <c r="B128" s="47" t="s">
        <v>47</v>
      </c>
      <c r="C128" s="214"/>
      <c r="D128" s="136"/>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row>
    <row r="129" spans="1:41" x14ac:dyDescent="0.25">
      <c r="A129" s="4"/>
      <c r="B129" s="35" t="s">
        <v>36</v>
      </c>
      <c r="C129" s="215"/>
      <c r="D129" s="73"/>
      <c r="E129" s="213"/>
      <c r="F129" s="213"/>
      <c r="G129" s="213"/>
      <c r="H129" s="213"/>
      <c r="I129" s="213"/>
      <c r="J129" s="213"/>
      <c r="K129" s="213"/>
      <c r="L129" s="217"/>
      <c r="M129" s="241"/>
      <c r="N129" s="235"/>
      <c r="O129" s="235"/>
      <c r="P129" s="235"/>
      <c r="Q129" s="235"/>
      <c r="R129" s="235"/>
      <c r="S129" s="235"/>
      <c r="T129" s="235"/>
      <c r="U129" s="217"/>
      <c r="V129" s="215"/>
      <c r="W129" s="213"/>
      <c r="X129" s="213"/>
      <c r="Y129" s="213"/>
      <c r="Z129" s="213"/>
      <c r="AA129" s="213"/>
      <c r="AB129" s="269"/>
      <c r="AC129" s="274"/>
      <c r="AD129" s="306"/>
      <c r="AE129" s="212"/>
      <c r="AF129" s="212"/>
      <c r="AG129" s="224"/>
      <c r="AH129" s="224"/>
      <c r="AI129" s="224"/>
      <c r="AJ129" s="224"/>
      <c r="AK129" s="224"/>
      <c r="AL129" s="224"/>
      <c r="AM129" s="224"/>
      <c r="AN129" s="224"/>
      <c r="AO129" s="224"/>
    </row>
    <row r="130" spans="1:41" x14ac:dyDescent="0.25">
      <c r="A130" s="4"/>
      <c r="B130" s="35" t="s">
        <v>37</v>
      </c>
      <c r="C130" s="215"/>
      <c r="D130" s="73"/>
      <c r="E130" s="213"/>
      <c r="F130" s="213"/>
      <c r="G130" s="213"/>
      <c r="H130" s="213"/>
      <c r="I130" s="213"/>
      <c r="J130" s="213"/>
      <c r="K130" s="213"/>
      <c r="L130" s="218"/>
      <c r="M130" s="215"/>
      <c r="N130" s="213"/>
      <c r="O130" s="213"/>
      <c r="P130" s="213"/>
      <c r="Q130" s="213"/>
      <c r="R130" s="213"/>
      <c r="S130" s="213"/>
      <c r="T130" s="213"/>
      <c r="U130" s="218"/>
      <c r="V130" s="215"/>
      <c r="W130" s="213"/>
      <c r="X130" s="213"/>
      <c r="Y130" s="213"/>
      <c r="Z130" s="213"/>
      <c r="AA130" s="213"/>
      <c r="AB130" s="269"/>
      <c r="AC130" s="274"/>
      <c r="AD130" s="306"/>
      <c r="AE130" s="212"/>
      <c r="AF130" s="212"/>
      <c r="AG130" s="224"/>
      <c r="AH130" s="224"/>
      <c r="AI130" s="224"/>
      <c r="AJ130" s="224"/>
      <c r="AK130" s="224"/>
      <c r="AL130" s="224"/>
      <c r="AM130" s="224"/>
      <c r="AN130" s="224"/>
      <c r="AO130" s="224"/>
    </row>
    <row r="131" spans="1:41" x14ac:dyDescent="0.25">
      <c r="A131" s="4"/>
      <c r="B131" s="35" t="s">
        <v>38</v>
      </c>
      <c r="C131" s="215"/>
      <c r="D131" s="73"/>
      <c r="E131" s="213"/>
      <c r="F131" s="213"/>
      <c r="G131" s="213"/>
      <c r="H131" s="213"/>
      <c r="I131" s="213"/>
      <c r="J131" s="213"/>
      <c r="K131" s="213"/>
      <c r="L131" s="218"/>
      <c r="M131" s="215"/>
      <c r="N131" s="213"/>
      <c r="O131" s="213"/>
      <c r="P131" s="213"/>
      <c r="Q131" s="213"/>
      <c r="R131" s="213"/>
      <c r="S131" s="213"/>
      <c r="T131" s="213"/>
      <c r="U131" s="218"/>
      <c r="V131" s="215"/>
      <c r="W131" s="213"/>
      <c r="X131" s="213"/>
      <c r="Y131" s="213"/>
      <c r="Z131" s="213"/>
      <c r="AA131" s="213"/>
      <c r="AB131" s="269"/>
      <c r="AC131" s="274"/>
      <c r="AD131" s="306"/>
      <c r="AE131" s="212"/>
      <c r="AF131" s="212"/>
      <c r="AG131" s="224"/>
      <c r="AH131" s="224"/>
      <c r="AI131" s="224"/>
      <c r="AJ131" s="224"/>
      <c r="AK131" s="224"/>
      <c r="AL131" s="224"/>
      <c r="AM131" s="224"/>
      <c r="AN131" s="224"/>
      <c r="AO131" s="224"/>
    </row>
    <row r="132" spans="1:41" x14ac:dyDescent="0.25">
      <c r="A132" s="4"/>
      <c r="B132" s="35" t="s">
        <v>39</v>
      </c>
      <c r="C132" s="215"/>
      <c r="D132" s="73"/>
      <c r="E132" s="213"/>
      <c r="F132" s="213"/>
      <c r="G132" s="213"/>
      <c r="H132" s="213"/>
      <c r="I132" s="213"/>
      <c r="J132" s="213"/>
      <c r="K132" s="213"/>
      <c r="L132" s="218"/>
      <c r="M132" s="215"/>
      <c r="N132" s="213"/>
      <c r="O132" s="213"/>
      <c r="P132" s="213"/>
      <c r="Q132" s="213"/>
      <c r="R132" s="213"/>
      <c r="S132" s="213"/>
      <c r="T132" s="213"/>
      <c r="U132" s="218"/>
      <c r="V132" s="215"/>
      <c r="W132" s="213"/>
      <c r="X132" s="213"/>
      <c r="Y132" s="213"/>
      <c r="Z132" s="213"/>
      <c r="AA132" s="213"/>
      <c r="AB132" s="269"/>
      <c r="AC132" s="274"/>
      <c r="AD132" s="306"/>
      <c r="AE132" s="212"/>
      <c r="AF132" s="212"/>
      <c r="AG132" s="224"/>
      <c r="AH132" s="224"/>
      <c r="AI132" s="224"/>
      <c r="AJ132" s="224"/>
      <c r="AK132" s="224"/>
      <c r="AL132" s="224"/>
      <c r="AM132" s="224"/>
      <c r="AN132" s="224"/>
      <c r="AO132" s="224"/>
    </row>
    <row r="133" spans="1:41" x14ac:dyDescent="0.25">
      <c r="A133" s="4"/>
      <c r="B133" s="35" t="s">
        <v>40</v>
      </c>
      <c r="C133" s="216"/>
      <c r="D133" s="73"/>
      <c r="E133" s="213"/>
      <c r="F133" s="213"/>
      <c r="G133" s="213"/>
      <c r="H133" s="213"/>
      <c r="I133" s="213"/>
      <c r="J133" s="213"/>
      <c r="K133" s="213"/>
      <c r="L133" s="219"/>
      <c r="M133" s="216"/>
      <c r="N133" s="237"/>
      <c r="O133" s="237"/>
      <c r="P133" s="237"/>
      <c r="Q133" s="237"/>
      <c r="R133" s="237"/>
      <c r="S133" s="237"/>
      <c r="T133" s="237"/>
      <c r="U133" s="219"/>
      <c r="V133" s="216"/>
      <c r="W133" s="237"/>
      <c r="X133" s="237"/>
      <c r="Y133" s="237"/>
      <c r="Z133" s="237"/>
      <c r="AA133" s="237"/>
      <c r="AB133" s="270"/>
      <c r="AC133" s="276"/>
      <c r="AD133" s="306"/>
      <c r="AE133" s="212"/>
      <c r="AF133" s="212"/>
      <c r="AG133" s="224"/>
      <c r="AH133" s="224"/>
      <c r="AI133" s="224"/>
      <c r="AJ133" s="224"/>
      <c r="AK133" s="224"/>
      <c r="AL133" s="224"/>
      <c r="AM133" s="224"/>
      <c r="AN133" s="224"/>
      <c r="AO133" s="224"/>
    </row>
    <row r="134" spans="1:41" ht="15.75" thickBot="1" x14ac:dyDescent="0.3">
      <c r="A134" s="4"/>
      <c r="B134" s="36" t="s">
        <v>41</v>
      </c>
      <c r="C134" s="220"/>
      <c r="D134" s="401"/>
      <c r="E134" s="201"/>
      <c r="F134" s="201"/>
      <c r="G134" s="201"/>
      <c r="H134" s="201"/>
      <c r="I134" s="201"/>
      <c r="J134" s="201"/>
      <c r="K134" s="201"/>
      <c r="L134" s="221"/>
      <c r="M134" s="152"/>
      <c r="N134" s="201"/>
      <c r="O134" s="152"/>
      <c r="P134" s="152"/>
      <c r="Q134" s="152"/>
      <c r="R134" s="152"/>
      <c r="S134" s="152"/>
      <c r="T134" s="152"/>
      <c r="U134" s="153"/>
      <c r="V134" s="246"/>
      <c r="W134" s="152"/>
      <c r="X134" s="152"/>
      <c r="Y134" s="152"/>
      <c r="Z134" s="152"/>
      <c r="AA134" s="152"/>
      <c r="AB134" s="271"/>
      <c r="AC134" s="277"/>
      <c r="AD134" s="277"/>
      <c r="AE134" s="277"/>
      <c r="AF134" s="327"/>
      <c r="AG134" s="327"/>
      <c r="AH134" s="327"/>
      <c r="AI134" s="327"/>
      <c r="AJ134" s="327"/>
      <c r="AK134" s="327"/>
      <c r="AL134" s="327"/>
      <c r="AM134" s="327"/>
      <c r="AN134" s="327"/>
      <c r="AO134" s="327"/>
    </row>
    <row r="135" spans="1:41" ht="15.75" thickTop="1" x14ac:dyDescent="0.25">
      <c r="A135" s="4"/>
    </row>
    <row r="136" spans="1:41" x14ac:dyDescent="0.25">
      <c r="B136" s="1" t="s">
        <v>27</v>
      </c>
    </row>
    <row r="137" spans="1:41" x14ac:dyDescent="0.25">
      <c r="B137" s="33" t="s">
        <v>28</v>
      </c>
    </row>
    <row r="140" spans="1:41" x14ac:dyDescent="0.25">
      <c r="B140" s="34" t="s">
        <v>26</v>
      </c>
    </row>
    <row r="141" spans="1:41" ht="97.5" customHeight="1" x14ac:dyDescent="0.25">
      <c r="B141" s="340"/>
      <c r="C141" s="538"/>
      <c r="D141" s="538"/>
      <c r="E141" s="538"/>
      <c r="F141" s="538"/>
      <c r="G141" s="538"/>
      <c r="H141" s="538"/>
      <c r="I141" s="538"/>
      <c r="J141" s="538"/>
      <c r="K141" s="538"/>
      <c r="L141" s="538"/>
    </row>
    <row r="142" spans="1:41" ht="52.5" customHeight="1" x14ac:dyDescent="0.25">
      <c r="B142" s="340"/>
      <c r="C142" s="540"/>
      <c r="D142" s="540"/>
      <c r="E142" s="540"/>
      <c r="F142" s="540"/>
      <c r="G142" s="540"/>
      <c r="H142" s="540"/>
      <c r="I142" s="540"/>
      <c r="J142" s="540"/>
      <c r="K142" s="540"/>
      <c r="L142" s="540"/>
    </row>
    <row r="143" spans="1:41" ht="36.75" customHeight="1" x14ac:dyDescent="0.25">
      <c r="B143" s="340"/>
      <c r="C143" s="538"/>
      <c r="D143" s="538"/>
      <c r="E143" s="538"/>
      <c r="F143" s="538"/>
      <c r="G143" s="538"/>
      <c r="H143" s="538"/>
      <c r="I143" s="538"/>
      <c r="J143" s="538"/>
      <c r="K143" s="538"/>
      <c r="L143" s="538"/>
    </row>
    <row r="144" spans="1:41" ht="54" customHeight="1" x14ac:dyDescent="0.25">
      <c r="B144" s="340"/>
      <c r="C144" s="538"/>
      <c r="D144" s="538"/>
      <c r="E144" s="538"/>
      <c r="F144" s="538"/>
      <c r="G144" s="538"/>
      <c r="H144" s="538"/>
      <c r="I144" s="538"/>
      <c r="J144" s="538"/>
      <c r="K144" s="538"/>
      <c r="L144" s="538"/>
    </row>
  </sheetData>
  <mergeCells count="8">
    <mergeCell ref="C143:L143"/>
    <mergeCell ref="C144:L144"/>
    <mergeCell ref="B1:W1"/>
    <mergeCell ref="C2:I2"/>
    <mergeCell ref="C3:I3"/>
    <mergeCell ref="C4:I4"/>
    <mergeCell ref="C141:L141"/>
    <mergeCell ref="C142:L14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73B56-30BF-46F7-B54B-548DFB8C7C52}">
  <ds:schemaRefs>
    <ds:schemaRef ds:uri="f0d9c22b-fcf1-4ac5-af28-836ba5e16df8"/>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a2e695b4-9150-42fe-b9c3-37332672e6b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vt:lpstr>
      <vt:lpstr>Weekly</vt:lpstr>
      <vt:lpstr>Blackstone Monthly</vt:lpstr>
      <vt:lpstr>Blackstone Weekly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2021-03-12T17:37:21Z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