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BURNS\Desktop\"/>
    </mc:Choice>
  </mc:AlternateContent>
  <xr:revisionPtr revIDLastSave="0" documentId="13_ncr:1_{D26B64E6-A55A-4961-9709-625E45BDE69F}" xr6:coauthVersionLast="41" xr6:coauthVersionMax="41" xr10:uidLastSave="{00000000-0000-0000-0000-000000000000}"/>
  <bookViews>
    <workbookView xWindow="-120" yWindow="330" windowWidth="25440" windowHeight="15540" tabRatio="793" xr2:uid="{00000000-000D-0000-FFFF-FFFF00000000}"/>
  </bookViews>
  <sheets>
    <sheet name="Summary" sheetId="49" r:id="rId1"/>
    <sheet name="Exh NG-5 Cap Adds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Case'!$A$1:$L$38</definedName>
    <definedName name="_xlnm.Print_Area" localSheetId="1">'Exh NG-5 Cap Adds 1'!$A$1:$J$75</definedName>
    <definedName name="_xlnm.Print_Area" localSheetId="3">MACRS!$A$1:$G$39</definedName>
    <definedName name="_xlnm.Print_Area" localSheetId="2">'Tax Depr 1'!$A$1:$I$70</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26" i="49"/>
  <c r="F22" i="1" l="1"/>
  <c r="F18" i="1"/>
  <c r="G22" i="1" l="1"/>
  <c r="H22" i="1" l="1"/>
  <c r="H56" i="1" s="1"/>
  <c r="G56" i="1"/>
  <c r="F56" i="1"/>
  <c r="E42" i="2"/>
  <c r="I22" i="1" l="1"/>
  <c r="I56" i="1" s="1"/>
  <c r="J22" i="1"/>
  <c r="J56" i="1" s="1"/>
  <c r="F20" i="1"/>
  <c r="E18" i="2" s="1"/>
  <c r="K22" i="1" l="1"/>
  <c r="K56" i="1" s="1"/>
  <c r="L22" i="1" l="1"/>
  <c r="L56" i="1" s="1"/>
  <c r="A19" i="1"/>
  <c r="A20" i="1" s="1"/>
  <c r="A22" i="1" s="1"/>
  <c r="A25" i="1" s="1"/>
  <c r="O33" i="2"/>
  <c r="N33" i="2"/>
  <c r="M33" i="2"/>
  <c r="L33" i="2"/>
  <c r="K33" i="2"/>
  <c r="J33" i="2"/>
  <c r="I33" i="2"/>
  <c r="H33" i="2"/>
  <c r="G33" i="2"/>
  <c r="F33" i="2"/>
  <c r="E33" i="2"/>
  <c r="F25" i="1"/>
  <c r="M22" i="1" l="1"/>
  <c r="M56" i="1" s="1"/>
  <c r="N22" i="1" l="1"/>
  <c r="N56" i="1" s="1"/>
  <c r="O22" i="1" l="1"/>
  <c r="O56" i="1" s="1"/>
  <c r="P22" i="1" l="1"/>
  <c r="P56" i="1" s="1"/>
  <c r="G20" i="1" l="1"/>
  <c r="H20" i="1" s="1"/>
  <c r="I20" i="1" s="1"/>
  <c r="J20" i="1" s="1"/>
  <c r="K20" i="1" s="1"/>
  <c r="L20" i="1" s="1"/>
  <c r="M20" i="1" s="1"/>
  <c r="N20" i="1" s="1"/>
  <c r="O20" i="1" s="1"/>
  <c r="P20" i="1" s="1"/>
  <c r="O66" i="2" l="1"/>
  <c r="N66" i="2"/>
  <c r="M66" i="2"/>
  <c r="L66" i="2"/>
  <c r="K66" i="2"/>
  <c r="J66" i="2"/>
  <c r="I66" i="2"/>
  <c r="H66" i="2"/>
  <c r="G66" i="2"/>
  <c r="F66" i="2"/>
  <c r="F53" i="1" l="1"/>
  <c r="O57" i="2"/>
  <c r="N57" i="2"/>
  <c r="M57" i="2"/>
  <c r="L57" i="2"/>
  <c r="K57" i="2"/>
  <c r="J57" i="2"/>
  <c r="I57" i="2"/>
  <c r="H57" i="2"/>
  <c r="G15" i="1"/>
  <c r="H15" i="1" s="1"/>
  <c r="I15" i="1" s="1"/>
  <c r="G53" i="1" l="1"/>
  <c r="J15" i="1"/>
  <c r="H14" i="2"/>
  <c r="H53" i="1" l="1"/>
  <c r="K15" i="1"/>
  <c r="I14" i="2"/>
  <c r="I53" i="1" l="1"/>
  <c r="L15" i="1"/>
  <c r="J14" i="2"/>
  <c r="J53" i="1" l="1"/>
  <c r="M15" i="1"/>
  <c r="K14" i="2"/>
  <c r="K53" i="1" l="1"/>
  <c r="N15" i="1"/>
  <c r="L14" i="2"/>
  <c r="L53" i="1" l="1"/>
  <c r="O15" i="1"/>
  <c r="M14" i="2"/>
  <c r="M53" i="1" l="1"/>
  <c r="P15" i="1"/>
  <c r="N14" i="2"/>
  <c r="N53" i="1" l="1"/>
  <c r="O14" i="2"/>
  <c r="O53" i="1" l="1"/>
  <c r="P53" i="1" l="1"/>
  <c r="F70" i="1" l="1"/>
  <c r="G57" i="2" l="1"/>
  <c r="F57" i="2"/>
  <c r="E57" i="2"/>
  <c r="E14" i="2" l="1"/>
  <c r="F37" i="38" l="1"/>
  <c r="F34" i="38"/>
  <c r="F36" i="38" s="1"/>
  <c r="A29" i="38"/>
  <c r="A28" i="38"/>
  <c r="A27" i="38"/>
  <c r="D24" i="38"/>
  <c r="A24" i="38"/>
  <c r="A23" i="38"/>
  <c r="H22" i="38"/>
  <c r="A22" i="38"/>
  <c r="A21" i="38"/>
  <c r="H20" i="38"/>
  <c r="L20" i="38" s="1"/>
  <c r="A20" i="38"/>
  <c r="A19" i="38"/>
  <c r="H18" i="38"/>
  <c r="A18" i="38"/>
  <c r="F38" i="38" l="1"/>
  <c r="C28" i="38" s="1"/>
  <c r="H24" i="38"/>
  <c r="J22" i="38"/>
  <c r="J24" i="38" s="1"/>
  <c r="L18" i="38"/>
  <c r="L22" i="38" l="1"/>
  <c r="L24" i="38" s="1"/>
  <c r="F61" i="1" l="1"/>
  <c r="G61" i="1" s="1"/>
  <c r="H61" i="1" s="1"/>
  <c r="I61" i="1" s="1"/>
  <c r="J61" i="1" s="1"/>
  <c r="K61" i="1" s="1"/>
  <c r="L61" i="1" s="1"/>
  <c r="M61" i="1" s="1"/>
  <c r="N61" i="1" s="1"/>
  <c r="O61" i="1" s="1"/>
  <c r="P61" i="1" s="1"/>
  <c r="E60" i="2"/>
  <c r="E37" i="2" l="1"/>
  <c r="E61" i="2" s="1"/>
  <c r="F61" i="2" s="1"/>
  <c r="G61" i="2" s="1"/>
  <c r="H61" i="2" s="1"/>
  <c r="I61" i="2" s="1"/>
  <c r="J61" i="2" s="1"/>
  <c r="K61" i="2" s="1"/>
  <c r="L61" i="2" s="1"/>
  <c r="M61" i="2" s="1"/>
  <c r="N61" i="2" s="1"/>
  <c r="O61" i="2" s="1"/>
  <c r="E62" i="2" l="1"/>
  <c r="F37" i="2"/>
  <c r="G37" i="2" s="1"/>
  <c r="H37" i="2" s="1"/>
  <c r="I37" i="2" s="1"/>
  <c r="J37" i="2" s="1"/>
  <c r="K37" i="2" s="1"/>
  <c r="L37" i="2" s="1"/>
  <c r="M37" i="2" s="1"/>
  <c r="N37" i="2" s="1"/>
  <c r="O37" i="2" s="1"/>
  <c r="F71" i="1" l="1"/>
  <c r="F75" i="1" s="1"/>
  <c r="F60" i="2"/>
  <c r="G47" i="1"/>
  <c r="H47" i="1" s="1"/>
  <c r="I47" i="1" s="1"/>
  <c r="J47" i="1" s="1"/>
  <c r="K47" i="1" s="1"/>
  <c r="L47" i="1" s="1"/>
  <c r="M47" i="1" s="1"/>
  <c r="N47" i="1" s="1"/>
  <c r="O47" i="1" s="1"/>
  <c r="P47" i="1" s="1"/>
  <c r="C66" i="2"/>
  <c r="E66" i="2"/>
  <c r="E36" i="2"/>
  <c r="E38" i="2" s="1"/>
  <c r="F14" i="2"/>
  <c r="G14" i="2"/>
  <c r="E20" i="2"/>
  <c r="E24" i="2" s="1"/>
  <c r="E49" i="2"/>
  <c r="C48" i="2"/>
  <c r="A19" i="2"/>
  <c r="A20" i="2" s="1"/>
  <c r="A23" i="2" s="1"/>
  <c r="A24" i="2" s="1"/>
  <c r="A25" i="2" s="1"/>
  <c r="G44" i="1"/>
  <c r="H44" i="1" s="1"/>
  <c r="I44" i="1" s="1"/>
  <c r="J44" i="1" s="1"/>
  <c r="K44" i="1" s="1"/>
  <c r="L44" i="1" s="1"/>
  <c r="M44" i="1" s="1"/>
  <c r="N44" i="1" s="1"/>
  <c r="O44" i="1" s="1"/>
  <c r="P44" i="1" s="1"/>
  <c r="H38" i="1"/>
  <c r="I38" i="1" s="1"/>
  <c r="J38" i="1" s="1"/>
  <c r="K38" i="1" s="1"/>
  <c r="L38" i="1" s="1"/>
  <c r="M38" i="1" s="1"/>
  <c r="N38" i="1" s="1"/>
  <c r="O38" i="1" s="1"/>
  <c r="P38" i="1" s="1"/>
  <c r="A28" i="2" l="1"/>
  <c r="C49" i="2"/>
  <c r="E23" i="2"/>
  <c r="E25" i="2" s="1"/>
  <c r="E48" i="2"/>
  <c r="E50" i="2" s="1"/>
  <c r="E54" i="2" s="1"/>
  <c r="E28" i="2"/>
  <c r="F36" i="2"/>
  <c r="F38" i="2" s="1"/>
  <c r="G60" i="2"/>
  <c r="H60" i="2" s="1"/>
  <c r="F62" i="2"/>
  <c r="E29" i="2"/>
  <c r="I60" i="2" l="1"/>
  <c r="H62" i="2"/>
  <c r="E53" i="2"/>
  <c r="E56" i="2" s="1"/>
  <c r="G25" i="1"/>
  <c r="A28" i="1"/>
  <c r="A29" i="1" s="1"/>
  <c r="A31" i="1" s="1"/>
  <c r="A32" i="1" s="1"/>
  <c r="A34" i="1" s="1"/>
  <c r="A35" i="1" s="1"/>
  <c r="G36" i="2"/>
  <c r="G62" i="2"/>
  <c r="H25" i="1" l="1"/>
  <c r="I25" i="1" s="1"/>
  <c r="J25" i="1" s="1"/>
  <c r="K25" i="1" s="1"/>
  <c r="L25" i="1" s="1"/>
  <c r="M25" i="1" s="1"/>
  <c r="N25" i="1" s="1"/>
  <c r="O25" i="1" s="1"/>
  <c r="P25" i="1" s="1"/>
  <c r="G34" i="1"/>
  <c r="I62" i="2"/>
  <c r="J60" i="2"/>
  <c r="G38" i="2"/>
  <c r="H36" i="2"/>
  <c r="E32" i="2"/>
  <c r="F56" i="2"/>
  <c r="A29" i="2"/>
  <c r="A30" i="2" s="1"/>
  <c r="A37" i="1"/>
  <c r="A38" i="1" s="1"/>
  <c r="A39" i="1" s="1"/>
  <c r="J62" i="2" l="1"/>
  <c r="K60" i="2"/>
  <c r="A43" i="1"/>
  <c r="A44" i="1" s="1"/>
  <c r="A45" i="1" s="1"/>
  <c r="A46" i="1" s="1"/>
  <c r="A47" i="1" s="1"/>
  <c r="A48" i="1" s="1"/>
  <c r="A50" i="1" s="1"/>
  <c r="A53" i="1" s="1"/>
  <c r="A54" i="1" s="1"/>
  <c r="A55" i="1" s="1"/>
  <c r="A56" i="1" s="1"/>
  <c r="A57" i="1" s="1"/>
  <c r="E58" i="2"/>
  <c r="E64" i="2" s="1"/>
  <c r="E68" i="2" s="1"/>
  <c r="I36" i="2"/>
  <c r="H38" i="2"/>
  <c r="I34" i="1"/>
  <c r="I63" i="1" s="1"/>
  <c r="A31" i="2"/>
  <c r="A32" i="2" s="1"/>
  <c r="A33" i="2" s="1"/>
  <c r="A34" i="2" s="1"/>
  <c r="G56" i="2"/>
  <c r="F58" i="2"/>
  <c r="F64" i="2" s="1"/>
  <c r="F68" i="2" s="1"/>
  <c r="F32" i="2"/>
  <c r="F34" i="1"/>
  <c r="F35" i="1" s="1"/>
  <c r="F54" i="1" s="1"/>
  <c r="E34" i="2"/>
  <c r="E40" i="2" s="1"/>
  <c r="E44" i="2" s="1"/>
  <c r="H34" i="1"/>
  <c r="G31" i="1" l="1"/>
  <c r="F31" i="1"/>
  <c r="F32" i="1" s="1"/>
  <c r="F37" i="1" s="1"/>
  <c r="F39" i="1" s="1"/>
  <c r="L60" i="2"/>
  <c r="K62" i="2"/>
  <c r="A60" i="1"/>
  <c r="A61" i="1" s="1"/>
  <c r="A62" i="1" s="1"/>
  <c r="A63" i="1" s="1"/>
  <c r="A64" i="1" s="1"/>
  <c r="A65" i="1" s="1"/>
  <c r="G64" i="1"/>
  <c r="G58" i="2"/>
  <c r="G64" i="2" s="1"/>
  <c r="G68" i="2" s="1"/>
  <c r="H56" i="2"/>
  <c r="I38" i="2"/>
  <c r="J36" i="2"/>
  <c r="J34" i="1"/>
  <c r="J63" i="1" s="1"/>
  <c r="A36" i="2"/>
  <c r="A37" i="2" s="1"/>
  <c r="A38" i="2" s="1"/>
  <c r="A40" i="2" s="1"/>
  <c r="A42" i="2" s="1"/>
  <c r="A44" i="2" s="1"/>
  <c r="A48" i="2" s="1"/>
  <c r="A49" i="2" s="1"/>
  <c r="A50" i="2" s="1"/>
  <c r="A53" i="2" s="1"/>
  <c r="A54" i="2" s="1"/>
  <c r="F34" i="2"/>
  <c r="F40" i="2" s="1"/>
  <c r="G32" i="2"/>
  <c r="F63" i="1"/>
  <c r="H63" i="1"/>
  <c r="G63" i="1"/>
  <c r="H31" i="1" l="1"/>
  <c r="G32" i="1"/>
  <c r="F28" i="1"/>
  <c r="F29" i="1" s="1"/>
  <c r="F43" i="1" s="1"/>
  <c r="F45" i="1" s="1"/>
  <c r="M60" i="2"/>
  <c r="L62" i="2"/>
  <c r="I56" i="2"/>
  <c r="H58" i="2"/>
  <c r="H64" i="2" s="1"/>
  <c r="H68" i="2" s="1"/>
  <c r="K36" i="2"/>
  <c r="J38" i="2"/>
  <c r="G34" i="2"/>
  <c r="H32" i="2"/>
  <c r="K34" i="1"/>
  <c r="K63" i="1" s="1"/>
  <c r="A55" i="2"/>
  <c r="A56" i="2" s="1"/>
  <c r="A57" i="2" s="1"/>
  <c r="A58" i="2" s="1"/>
  <c r="A60" i="2" s="1"/>
  <c r="A61" i="2" s="1"/>
  <c r="A62" i="2" s="1"/>
  <c r="A64" i="2" s="1"/>
  <c r="A66" i="2" s="1"/>
  <c r="A68" i="2" s="1"/>
  <c r="F44" i="2"/>
  <c r="F41" i="1"/>
  <c r="F46" i="1" s="1"/>
  <c r="G35" i="1"/>
  <c r="H64" i="1" s="1"/>
  <c r="F48" i="1" l="1"/>
  <c r="F50" i="1" s="1"/>
  <c r="F55" i="1" s="1"/>
  <c r="F57" i="1" s="1"/>
  <c r="F60" i="1" s="1"/>
  <c r="G40" i="2"/>
  <c r="G44" i="2" s="1"/>
  <c r="H28" i="1" s="1"/>
  <c r="H32" i="1"/>
  <c r="I31" i="1"/>
  <c r="G28" i="1"/>
  <c r="G29" i="1" s="1"/>
  <c r="G43" i="1" s="1"/>
  <c r="G45" i="1" s="1"/>
  <c r="M62" i="2"/>
  <c r="N60" i="2"/>
  <c r="J56" i="2"/>
  <c r="I58" i="2"/>
  <c r="I64" i="2" s="1"/>
  <c r="I68" i="2" s="1"/>
  <c r="L36" i="2"/>
  <c r="K38" i="2"/>
  <c r="I32" i="2"/>
  <c r="H34" i="2"/>
  <c r="L34" i="1"/>
  <c r="L63" i="1" s="1"/>
  <c r="H35" i="1"/>
  <c r="I64" i="1" s="1"/>
  <c r="G37" i="1"/>
  <c r="G39" i="1" s="1"/>
  <c r="G41" i="1" s="1"/>
  <c r="G46" i="1" s="1"/>
  <c r="G54" i="1"/>
  <c r="I32" i="1" l="1"/>
  <c r="H40" i="2"/>
  <c r="H44" i="2" s="1"/>
  <c r="I28" i="1" s="1"/>
  <c r="J31" i="1"/>
  <c r="J32" i="1" s="1"/>
  <c r="H29" i="1"/>
  <c r="H43" i="1" s="1"/>
  <c r="H45" i="1" s="1"/>
  <c r="N62" i="2"/>
  <c r="O60" i="2"/>
  <c r="J58" i="2"/>
  <c r="J64" i="2" s="1"/>
  <c r="J68" i="2" s="1"/>
  <c r="K56" i="2"/>
  <c r="L38" i="2"/>
  <c r="M36" i="2"/>
  <c r="I34" i="2"/>
  <c r="J32" i="2"/>
  <c r="M34" i="1"/>
  <c r="M63" i="1" s="1"/>
  <c r="H54" i="1"/>
  <c r="I35" i="1"/>
  <c r="J64" i="1" s="1"/>
  <c r="H37" i="1"/>
  <c r="H39" i="1" s="1"/>
  <c r="H41" i="1" s="1"/>
  <c r="H46" i="1" s="1"/>
  <c r="G48" i="1"/>
  <c r="G50" i="1" s="1"/>
  <c r="G55" i="1" s="1"/>
  <c r="G57" i="1" s="1"/>
  <c r="G60" i="1" s="1"/>
  <c r="F62" i="1"/>
  <c r="F65" i="1" s="1"/>
  <c r="I40" i="2" l="1"/>
  <c r="I44" i="2" s="1"/>
  <c r="J28" i="1" s="1"/>
  <c r="E22" i="49"/>
  <c r="E24" i="49" s="1"/>
  <c r="E28" i="49" s="1"/>
  <c r="I29" i="1"/>
  <c r="I43" i="1" s="1"/>
  <c r="I45" i="1" s="1"/>
  <c r="K31" i="1"/>
  <c r="K32" i="1"/>
  <c r="O62" i="2"/>
  <c r="K58" i="2"/>
  <c r="K64" i="2" s="1"/>
  <c r="K68" i="2" s="1"/>
  <c r="L56" i="2"/>
  <c r="N36" i="2"/>
  <c r="M38" i="2"/>
  <c r="J34" i="2"/>
  <c r="K32" i="2"/>
  <c r="N34" i="1"/>
  <c r="N63" i="1" s="1"/>
  <c r="I54" i="1"/>
  <c r="J35" i="1"/>
  <c r="K64" i="1" s="1"/>
  <c r="I37" i="1"/>
  <c r="I39" i="1" s="1"/>
  <c r="I41" i="1" s="1"/>
  <c r="I46" i="1" s="1"/>
  <c r="H48" i="1"/>
  <c r="H50" i="1" s="1"/>
  <c r="H55" i="1" s="1"/>
  <c r="H57" i="1" s="1"/>
  <c r="G62" i="1"/>
  <c r="G65" i="1" s="1"/>
  <c r="J40" i="2" l="1"/>
  <c r="J44" i="2" s="1"/>
  <c r="K28" i="1" s="1"/>
  <c r="F22" i="49"/>
  <c r="F24" i="49" s="1"/>
  <c r="F28" i="49" s="1"/>
  <c r="J37" i="1"/>
  <c r="J39" i="1" s="1"/>
  <c r="J41" i="1" s="1"/>
  <c r="J46" i="1" s="1"/>
  <c r="J29" i="1"/>
  <c r="J43" i="1" s="1"/>
  <c r="J45" i="1" s="1"/>
  <c r="L31" i="1"/>
  <c r="L32" i="1" s="1"/>
  <c r="L58" i="2"/>
  <c r="L64" i="2" s="1"/>
  <c r="L68" i="2" s="1"/>
  <c r="M56" i="2"/>
  <c r="O36" i="2"/>
  <c r="N38" i="2"/>
  <c r="L32" i="2"/>
  <c r="K34" i="2"/>
  <c r="I48" i="1"/>
  <c r="I50" i="1" s="1"/>
  <c r="I55" i="1" s="1"/>
  <c r="I57" i="1" s="1"/>
  <c r="I60" i="1" s="1"/>
  <c r="I62" i="1" s="1"/>
  <c r="I65" i="1" s="1"/>
  <c r="O34" i="1"/>
  <c r="O63" i="1" s="1"/>
  <c r="J54" i="1"/>
  <c r="K35" i="1"/>
  <c r="L64" i="1" s="1"/>
  <c r="H60" i="1"/>
  <c r="H62" i="1" s="1"/>
  <c r="H65" i="1" s="1"/>
  <c r="K40" i="2" l="1"/>
  <c r="K44" i="2" s="1"/>
  <c r="L28" i="1" s="1"/>
  <c r="G22" i="49"/>
  <c r="G24" i="49" s="1"/>
  <c r="G28" i="49" s="1"/>
  <c r="H22" i="49"/>
  <c r="H24" i="49" s="1"/>
  <c r="H28" i="49" s="1"/>
  <c r="K29" i="1"/>
  <c r="K43" i="1" s="1"/>
  <c r="K45" i="1" s="1"/>
  <c r="M31" i="1"/>
  <c r="M32" i="1" s="1"/>
  <c r="N56" i="2"/>
  <c r="M58" i="2"/>
  <c r="M64" i="2" s="1"/>
  <c r="M68" i="2" s="1"/>
  <c r="O38" i="2"/>
  <c r="M32" i="2"/>
  <c r="L34" i="2"/>
  <c r="J48" i="1"/>
  <c r="J50" i="1" s="1"/>
  <c r="J55" i="1" s="1"/>
  <c r="J57" i="1" s="1"/>
  <c r="P34" i="1"/>
  <c r="P63" i="1" s="1"/>
  <c r="K37" i="1"/>
  <c r="K39" i="1" s="1"/>
  <c r="K41" i="1" s="1"/>
  <c r="K46" i="1" s="1"/>
  <c r="K54" i="1"/>
  <c r="L35" i="1"/>
  <c r="M64" i="1" s="1"/>
  <c r="L29" i="1" l="1"/>
  <c r="L40" i="2"/>
  <c r="L44" i="2" s="1"/>
  <c r="M28" i="1" s="1"/>
  <c r="M29" i="1" s="1"/>
  <c r="N31" i="1"/>
  <c r="N32" i="1" s="1"/>
  <c r="O56" i="2"/>
  <c r="N58" i="2"/>
  <c r="N64" i="2" s="1"/>
  <c r="N68" i="2" s="1"/>
  <c r="M34" i="2"/>
  <c r="N32" i="2"/>
  <c r="J60" i="1"/>
  <c r="J62" i="1" s="1"/>
  <c r="J65" i="1" s="1"/>
  <c r="M35" i="1"/>
  <c r="N64" i="1" s="1"/>
  <c r="L37" i="1"/>
  <c r="L39" i="1" s="1"/>
  <c r="L41" i="1" s="1"/>
  <c r="L46" i="1" s="1"/>
  <c r="L43" i="1"/>
  <c r="L45" i="1" s="1"/>
  <c r="L54" i="1"/>
  <c r="K48" i="1"/>
  <c r="K50" i="1" s="1"/>
  <c r="K55" i="1" s="1"/>
  <c r="K57" i="1" s="1"/>
  <c r="K60" i="1" s="1"/>
  <c r="K62" i="1" s="1"/>
  <c r="K65" i="1" s="1"/>
  <c r="M40" i="2" l="1"/>
  <c r="M44" i="2" s="1"/>
  <c r="N28" i="1" s="1"/>
  <c r="N29" i="1" s="1"/>
  <c r="I22" i="49"/>
  <c r="I24" i="49" s="1"/>
  <c r="I28" i="49" s="1"/>
  <c r="O31" i="1"/>
  <c r="O32" i="1" s="1"/>
  <c r="O58" i="2"/>
  <c r="O64" i="2" s="1"/>
  <c r="O68" i="2" s="1"/>
  <c r="O32" i="2"/>
  <c r="N34" i="2"/>
  <c r="L48" i="1"/>
  <c r="L50" i="1" s="1"/>
  <c r="L55" i="1" s="1"/>
  <c r="L57" i="1" s="1"/>
  <c r="M37" i="1"/>
  <c r="M39" i="1" s="1"/>
  <c r="M41" i="1" s="1"/>
  <c r="M46" i="1" s="1"/>
  <c r="M54" i="1"/>
  <c r="N35" i="1"/>
  <c r="O64" i="1" s="1"/>
  <c r="M43" i="1"/>
  <c r="M45" i="1" s="1"/>
  <c r="N40" i="2" l="1"/>
  <c r="N44" i="2" s="1"/>
  <c r="O28" i="1" s="1"/>
  <c r="O29" i="1" s="1"/>
  <c r="P31" i="1"/>
  <c r="P32" i="1" s="1"/>
  <c r="O34" i="2"/>
  <c r="M48" i="1"/>
  <c r="M50" i="1" s="1"/>
  <c r="M55" i="1" s="1"/>
  <c r="M57" i="1" s="1"/>
  <c r="L60" i="1"/>
  <c r="L62" i="1" s="1"/>
  <c r="L65" i="1" s="1"/>
  <c r="N43" i="1"/>
  <c r="N45" i="1" s="1"/>
  <c r="N54" i="1"/>
  <c r="N37" i="1"/>
  <c r="N39" i="1" s="1"/>
  <c r="N41" i="1" s="1"/>
  <c r="N46" i="1" s="1"/>
  <c r="O35" i="1"/>
  <c r="P64" i="1" s="1"/>
  <c r="O40" i="2" l="1"/>
  <c r="O44" i="2" s="1"/>
  <c r="P28" i="1" s="1"/>
  <c r="P29" i="1" s="1"/>
  <c r="N48" i="1"/>
  <c r="N50" i="1" s="1"/>
  <c r="N55" i="1" s="1"/>
  <c r="N57" i="1" s="1"/>
  <c r="N60" i="1" s="1"/>
  <c r="N62" i="1" s="1"/>
  <c r="N65" i="1" s="1"/>
  <c r="M60" i="1"/>
  <c r="M62" i="1" s="1"/>
  <c r="M65" i="1" s="1"/>
  <c r="O54" i="1"/>
  <c r="O43" i="1"/>
  <c r="O45" i="1" s="1"/>
  <c r="P35" i="1"/>
  <c r="O37" i="1"/>
  <c r="O39" i="1" s="1"/>
  <c r="O41" i="1" s="1"/>
  <c r="O46" i="1" s="1"/>
  <c r="O48" i="1" l="1"/>
  <c r="O50" i="1" s="1"/>
  <c r="O55" i="1" s="1"/>
  <c r="O57" i="1" s="1"/>
  <c r="O60" i="1" s="1"/>
  <c r="O62" i="1" s="1"/>
  <c r="O65" i="1" s="1"/>
  <c r="P43" i="1"/>
  <c r="P45" i="1" s="1"/>
  <c r="P54" i="1"/>
  <c r="P37" i="1"/>
  <c r="P39" i="1" s="1"/>
  <c r="P41" i="1" s="1"/>
  <c r="P46" i="1" s="1"/>
  <c r="P48" i="1" l="1"/>
  <c r="P50" i="1" s="1"/>
  <c r="P55" i="1" s="1"/>
  <c r="P57" i="1" s="1"/>
  <c r="P60" i="1" l="1"/>
  <c r="P62" i="1" s="1"/>
  <c r="P65" i="1" s="1"/>
  <c r="Q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Diamond</author>
  </authors>
  <commentList>
    <comment ref="F18" authorId="0" shapeId="0" xr:uid="{12DFC9E6-EE8D-414A-A1F1-3E732425E67A}">
      <text>
        <r>
          <rPr>
            <b/>
            <sz val="9"/>
            <color indexed="81"/>
            <rFont val="Tahoma"/>
            <family val="2"/>
          </rPr>
          <t>Sean Diamond:</t>
        </r>
        <r>
          <rPr>
            <sz val="9"/>
            <color indexed="81"/>
            <rFont val="Tahoma"/>
            <family val="2"/>
          </rPr>
          <t xml:space="preserve">
Reduce amount by however much the CIAC deposit is prior to construction</t>
        </r>
      </text>
    </comment>
  </commentList>
</comments>
</file>

<file path=xl/sharedStrings.xml><?xml version="1.0" encoding="utf-8"?>
<sst xmlns="http://schemas.openxmlformats.org/spreadsheetml/2006/main" count="278" uniqueCount="191">
  <si>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</si>
  <si>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</si>
  <si>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</si>
  <si>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</si>
  <si>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</si>
  <si>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</si>
  <si>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</si>
  <si>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</si>
  <si>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</si>
  <si>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</si>
  <si>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</si>
  <si>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</si>
  <si>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</si>
  <si>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</si>
  <si>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</si>
  <si>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</si>
  <si>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</si>
  <si>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</si>
  <si>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</si>
  <si>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</si>
  <si>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</si>
  <si>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</si>
  <si>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</si>
  <si>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</si>
  <si>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</si>
  <si>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</si>
  <si>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</si>
  <si>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</si>
  <si>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</si>
  <si>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</si>
  <si>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</si>
  <si>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</si>
  <si>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</si>
  <si>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</si>
  <si>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</si>
  <si>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</si>
  <si>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</si>
  <si>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</si>
  <si>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</si>
  <si>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</si>
  <si>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</si>
  <si>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</si>
  <si>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</si>
  <si>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</si>
  <si>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IRS Publication 946, Table A-1</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</si>
  <si>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</si>
  <si>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</si>
  <si>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</si>
  <si>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</si>
  <si>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</si>
  <si>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</si>
  <si>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</si>
  <si>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</si>
  <si>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</si>
  <si>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</si>
  <si>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</si>
  <si>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</si>
  <si>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</si>
  <si>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</si>
  <si>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</si>
  <si>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</si>
  <si>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</si>
  <si>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</si>
  <si>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</si>
  <si>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</si>
  <si>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</si>
  <si>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</si>
  <si>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</si>
  <si>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</si>
  <si>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</si>
  <si>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</si>
  <si>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</si>
  <si>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</si>
  <si>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</si>
  <si>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</si>
  <si>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</si>
  <si>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</si>
  <si>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</si>
  <si>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</si>
  <si>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</si>
  <si>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</si>
  <si>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</si>
  <si>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</si>
  <si>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</si>
  <si>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</si>
  <si>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</si>
  <si>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</si>
  <si>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</si>
  <si>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</si>
  <si>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</si>
  <si>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</si>
  <si>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</si>
  <si>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</si>
  <si>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</si>
  <si>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</si>
  <si>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</si>
  <si>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</si>
  <si>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</si>
  <si>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</si>
  <si>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</si>
  <si>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</si>
  <si>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</si>
  <si>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</si>
  <si>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</si>
  <si>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</si>
  <si>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</si>
  <si>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8.93*</t>
  </si>
  <si>
    <t>  5.76</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</si>
  <si>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</si>
  <si>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</si>
  <si>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</si>
  <si>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</si>
  <si>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</si>
  <si>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</si>
  <si>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</si>
  <si>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</si>
  <si>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</si>
  <si>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Accum. Gross Distribution Plant Additions</t>
  </si>
  <si>
    <t>DPU 18-150, Exhibit NG-RRP-2 (C), Schedule 6, Page 1</t>
  </si>
  <si>
    <t>DPU 18-150, Exhibit NG-RRP-2 (C), Schedule 7, Page 1</t>
  </si>
  <si>
    <t>Cumulative Net Historic Capital Adjustment</t>
  </si>
  <si>
    <t xml:space="preserve">  Cumulative Net CapEx Adjustment</t>
  </si>
  <si>
    <t>Year 1</t>
  </si>
  <si>
    <t>Year 2</t>
  </si>
  <si>
    <t>Year 3</t>
  </si>
  <si>
    <t>Year 4</t>
  </si>
  <si>
    <t>Year 5</t>
  </si>
  <si>
    <t>Distribution DG Capital</t>
  </si>
  <si>
    <t>Assumes 10 year</t>
  </si>
  <si>
    <t xml:space="preserve"> Distribution Plant Additions</t>
  </si>
  <si>
    <t>(e)</t>
  </si>
  <si>
    <t>CIAC/CIP</t>
  </si>
  <si>
    <t>10 YR MACRS Tax Depreciation Rates</t>
  </si>
  <si>
    <t>Remaining Plant Additions Subject to 10 YR MACRS Tax Depreciation</t>
  </si>
  <si>
    <t>Total Tax Depreciation on 10 YR MACRS assets</t>
  </si>
  <si>
    <t>Cumulative Cost of Removal</t>
  </si>
  <si>
    <t>- Line (4)</t>
  </si>
  <si>
    <t>each d/b/a National Grid</t>
  </si>
  <si>
    <t>D.P.U. 20-75</t>
  </si>
  <si>
    <t>Page 1 of 5</t>
  </si>
  <si>
    <t>H.O. Zilgme</t>
  </si>
  <si>
    <t>Attachment EDC-2-3</t>
  </si>
  <si>
    <t xml:space="preserve">  Annual Revenue Requirement on CapEx</t>
  </si>
  <si>
    <t>O&amp;M related to capex</t>
  </si>
  <si>
    <t>Page 2 of 5</t>
  </si>
  <si>
    <t>PY Line (3) + CY Line (1) &amp; (2)</t>
  </si>
  <si>
    <t>Page 3, Line (31)</t>
  </si>
  <si>
    <t>Page 3, Line (46)</t>
  </si>
  <si>
    <t>Year 1: Line (3) x Line (5) x 50%;  Year 2 and beyond: Line (3) x Line (5)</t>
  </si>
  <si>
    <t>PY Line (11) + CY Line (10)</t>
  </si>
  <si>
    <t>Line (9) - Line (11)</t>
  </si>
  <si>
    <t>(14a)</t>
  </si>
  <si>
    <t>Line (14) plus Line (14a)</t>
  </si>
  <si>
    <t>Line (7) - Line (11)</t>
  </si>
  <si>
    <t>Line (15) x Line (16)</t>
  </si>
  <si>
    <t>If Line (14b) &gt; $0, Line (14b) * -21%, otherwise $0</t>
  </si>
  <si>
    <t>(14b)</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</si>
  <si>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</si>
  <si>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</si>
  <si>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</si>
  <si>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</si>
  <si>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</si>
  <si>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</si>
  <si>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</si>
  <si>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</si>
  <si>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</si>
  <si>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</si>
  <si>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Page 3 of 5</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</si>
  <si>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</si>
  <si>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</si>
  <si>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</si>
  <si>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</si>
  <si>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</si>
  <si>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</si>
  <si>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</si>
  <si>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</si>
  <si>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</si>
  <si>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</si>
  <si>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</si>
  <si>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</si>
  <si>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</si>
  <si>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</si>
  <si>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</si>
  <si>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</si>
  <si>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Page 4 of 5</t>
  </si>
  <si>
    <t>Page 5 of 5</t>
  </si>
  <si>
    <t>Page 2, Line (32)</t>
  </si>
  <si>
    <t>Summary Illustrative Revenue Requirement - 10 Years</t>
  </si>
  <si>
    <t xml:space="preserve"> Illustrative Revenue Requirement - 10 Years</t>
  </si>
  <si>
    <t>Calculation of Tax Depreciation and Repairs Deduction - 10 Years</t>
  </si>
  <si>
    <t>MACRS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</si>
</sst>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9">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9"/>
      <color indexed="81"/>
      <name val="Tahoma"/>
      <family val="2"/>
    </font>
    <font>
      <b/>
      <sz val="9"/>
      <color indexed="81"/>
      <name val="Tahoma"/>
      <family val="2"/>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vertAlign val="superscript"/>
      <sz val="11"/>
      <color theme="1"/>
      <name val="Times New Roman"/>
      <family val="1"/>
    </font>
    <font>
      <sz val="12"/>
      <color theme="1"/>
      <name val="Times New Roman"/>
      <family val="1"/>
    </font>
    <font>
      <i/>
      <sz val="11"/>
      <color rgb="FF002060"/>
      <name val="Times New Roman"/>
      <family val="1"/>
    </font>
    <font>
      <b/>
      <sz val="12"/>
      <name val="Times New Roman"/>
      <family val="1"/>
    </font>
    <font>
      <sz val="11"/>
      <color theme="1"/>
      <name val="Times New Roman"/>
      <family val="1"/>
    </font>
    <font>
      <sz val="12"/>
      <color rgb="FF000000"/>
      <name val="Times New Roman"/>
      <family val="1"/>
    </font>
    <font>
      <b/>
      <sz val="11"/>
      <color rgb="FF000000"/>
      <name val="Times New Roman"/>
      <family val="1"/>
    </font>
    <font>
      <sz val="11"/>
      <color theme="0"/>
      <name val="Times New Roman"/>
      <family val="1"/>
    </font>
    <font>
      <u/>
      <sz val="11"/>
      <color theme="1"/>
      <name val="Times New Roman"/>
      <family val="1"/>
    </font>
    <font>
      <u/>
      <sz val="11"/>
      <color theme="0"/>
      <name val="Times New Roman"/>
      <family val="1"/>
    </font>
    <font>
      <vertAlign val="superscript"/>
      <sz val="11"/>
      <color theme="0"/>
      <name val="Times New Roman"/>
      <family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7" fillId="0" borderId="0" applyAlignment="0">
      <alignment horizontal="left" vertical="center"/>
    </xf>
    <xf numFmtId="0" fontId="88" fillId="0" borderId="0"/>
    <xf numFmtId="175" fontId="87"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9"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58" borderId="0" applyNumberFormat="0" applyBorder="0" applyAlignment="0" applyProtection="0"/>
    <xf numFmtId="170" fontId="89" fillId="58"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3" borderId="0" applyNumberFormat="0" applyBorder="0" applyAlignment="0" applyProtection="0"/>
    <xf numFmtId="170" fontId="89" fillId="43"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57"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44" borderId="0" applyNumberFormat="0" applyBorder="0" applyAlignment="0" applyProtection="0"/>
    <xf numFmtId="170" fontId="89" fillId="4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6"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43"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1" borderId="0" applyNumberFormat="0" applyBorder="0" applyAlignment="0" applyProtection="0"/>
    <xf numFmtId="170" fontId="89" fillId="61"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59"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2" borderId="0" applyNumberFormat="0" applyBorder="0" applyAlignment="0" applyProtection="0"/>
    <xf numFmtId="170" fontId="89" fillId="62"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3" borderId="0" applyNumberFormat="0" applyBorder="0" applyAlignment="0" applyProtection="0"/>
    <xf numFmtId="170" fontId="89" fillId="63"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4" borderId="0" applyNumberFormat="0" applyBorder="0" applyAlignment="0" applyProtection="0"/>
    <xf numFmtId="170" fontId="89" fillId="64"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5"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60" borderId="0" applyNumberFormat="0" applyBorder="0" applyAlignment="0" applyProtection="0"/>
    <xf numFmtId="170" fontId="89" fillId="60"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59" borderId="0" applyNumberFormat="0" applyBorder="0" applyAlignment="0" applyProtection="0"/>
    <xf numFmtId="170" fontId="89" fillId="59"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1"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89" fillId="66" borderId="0" applyNumberFormat="0" applyBorder="0" applyAlignment="0" applyProtection="0"/>
    <xf numFmtId="170" fontId="89"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90" fillId="37" borderId="0" applyNumberFormat="0" applyBorder="0" applyAlignment="0" applyProtection="0"/>
    <xf numFmtId="170" fontId="90"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67"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1" fillId="56" borderId="24" applyNumberFormat="0" applyAlignment="0" applyProtection="0"/>
    <xf numFmtId="170" fontId="91" fillId="56" borderId="24"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0" fontId="92" fillId="68" borderId="25" applyNumberFormat="0" applyAlignment="0" applyProtection="0"/>
    <xf numFmtId="170" fontId="92" fillId="68" borderId="25" applyNumberFormat="0" applyAlignment="0" applyProtection="0"/>
    <xf numFmtId="170" fontId="16" fillId="33" borderId="0"/>
    <xf numFmtId="182" fontId="93"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4"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170" fontId="96" fillId="0" borderId="0" applyNumberFormat="0" applyFill="0" applyBorder="0" applyAlignment="0" applyProtection="0"/>
    <xf numFmtId="14" fontId="6" fillId="69" borderId="26" applyFont="0" applyAlignment="0"/>
    <xf numFmtId="0" fontId="51" fillId="0" borderId="0">
      <protection locked="0"/>
    </xf>
    <xf numFmtId="0" fontId="97" fillId="0" borderId="0">
      <protection locked="0"/>
    </xf>
    <xf numFmtId="0" fontId="97" fillId="0" borderId="0">
      <protection locked="0"/>
    </xf>
    <xf numFmtId="0" fontId="97" fillId="0" borderId="0">
      <protection locked="0"/>
    </xf>
    <xf numFmtId="0" fontId="51" fillId="0" borderId="0">
      <protection locked="0"/>
    </xf>
    <xf numFmtId="0" fontId="51" fillId="0" borderId="0">
      <protection locked="0"/>
    </xf>
    <xf numFmtId="0" fontId="98"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0" fontId="99" fillId="38" borderId="0" applyNumberFormat="0" applyBorder="0" applyAlignment="0" applyProtection="0"/>
    <xf numFmtId="170" fontId="99"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1" fillId="0" borderId="29"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0" fillId="0" borderId="28" applyNumberFormat="0" applyFill="0" applyAlignment="0" applyProtection="0"/>
    <xf numFmtId="170" fontId="100" fillId="0" borderId="28"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3"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2" fillId="0" borderId="30" applyNumberFormat="0" applyFill="0" applyAlignment="0" applyProtection="0"/>
    <xf numFmtId="170" fontId="102" fillId="0" borderId="30"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5" fillId="0" borderId="32"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31" applyNumberFormat="0" applyFill="0" applyAlignment="0" applyProtection="0"/>
    <xf numFmtId="170" fontId="104" fillId="0" borderId="31" applyNumberFormat="0" applyFill="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170" fontId="104"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6"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57"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0" fontId="107" fillId="57"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0" fontId="107" fillId="41" borderId="24" applyNumberFormat="0" applyAlignment="0" applyProtection="0"/>
    <xf numFmtId="170" fontId="107"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0" fontId="108" fillId="0" borderId="33" applyNumberFormat="0" applyFill="0" applyAlignment="0" applyProtection="0"/>
    <xf numFmtId="170" fontId="108" fillId="0" borderId="33" applyNumberFormat="0" applyFill="0" applyAlignment="0" applyProtection="0"/>
    <xf numFmtId="170" fontId="37" fillId="34" borderId="0" applyBorder="0"/>
    <xf numFmtId="0" fontId="109" fillId="0" borderId="0">
      <alignment vertical="center"/>
    </xf>
    <xf numFmtId="170" fontId="109" fillId="0" borderId="0">
      <alignment vertical="center"/>
    </xf>
    <xf numFmtId="2" fontId="110" fillId="0" borderId="21">
      <alignment horizontal="center"/>
    </xf>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0" fontId="111" fillId="57" borderId="0" applyNumberFormat="0" applyBorder="0" applyAlignment="0" applyProtection="0"/>
    <xf numFmtId="170" fontId="111" fillId="57" borderId="0" applyNumberFormat="0" applyBorder="0" applyAlignment="0" applyProtection="0"/>
    <xf numFmtId="37" fontId="112"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185" fontId="113" fillId="0" borderId="0"/>
    <xf numFmtId="185" fontId="113"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170" fontId="95" fillId="0" borderId="0"/>
    <xf numFmtId="0" fontId="95" fillId="0" borderId="0"/>
    <xf numFmtId="0" fontId="95"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37" fontId="3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0" fontId="4"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5" fillId="0" borderId="0"/>
    <xf numFmtId="0" fontId="23" fillId="0" borderId="0"/>
    <xf numFmtId="0" fontId="95" fillId="0" borderId="0"/>
    <xf numFmtId="0" fontId="95" fillId="0" borderId="0"/>
    <xf numFmtId="0" fontId="23"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95" fillId="0" borderId="0"/>
    <xf numFmtId="0" fontId="95" fillId="0" borderId="0"/>
    <xf numFmtId="0" fontId="95" fillId="0" borderId="0"/>
    <xf numFmtId="0" fontId="23"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5"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5" fillId="0" borderId="0"/>
    <xf numFmtId="0" fontId="95" fillId="0" borderId="0"/>
    <xf numFmtId="0" fontId="95" fillId="0" borderId="0"/>
    <xf numFmtId="170" fontId="23" fillId="0" borderId="0"/>
    <xf numFmtId="0" fontId="4" fillId="0" borderId="0"/>
    <xf numFmtId="0" fontId="6" fillId="0" borderId="0"/>
    <xf numFmtId="0" fontId="95" fillId="0" borderId="0"/>
    <xf numFmtId="0" fontId="23" fillId="0" borderId="0"/>
    <xf numFmtId="0" fontId="95" fillId="0" borderId="0"/>
    <xf numFmtId="0" fontId="23" fillId="0" borderId="0"/>
    <xf numFmtId="0" fontId="95" fillId="0" borderId="0"/>
    <xf numFmtId="170" fontId="23"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23" fillId="0" borderId="0"/>
    <xf numFmtId="37" fontId="39" fillId="0" borderId="0"/>
    <xf numFmtId="0" fontId="6" fillId="0" borderId="0"/>
    <xf numFmtId="0" fontId="95" fillId="0" borderId="0"/>
    <xf numFmtId="0" fontId="95" fillId="0" borderId="0"/>
    <xf numFmtId="170" fontId="23" fillId="0" borderId="0"/>
    <xf numFmtId="0" fontId="95" fillId="0" borderId="0"/>
    <xf numFmtId="0" fontId="95" fillId="0" borderId="0"/>
    <xf numFmtId="0" fontId="95" fillId="0" borderId="0"/>
    <xf numFmtId="187" fontId="114"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5" fillId="0" borderId="0"/>
    <xf numFmtId="0" fontId="95" fillId="0" borderId="0"/>
    <xf numFmtId="0" fontId="95" fillId="0" borderId="0"/>
    <xf numFmtId="0" fontId="95" fillId="0" borderId="0"/>
    <xf numFmtId="0" fontId="6" fillId="0" borderId="0"/>
    <xf numFmtId="0" fontId="95" fillId="0" borderId="0"/>
    <xf numFmtId="0" fontId="6" fillId="0" borderId="0"/>
    <xf numFmtId="0" fontId="95" fillId="0" borderId="0"/>
    <xf numFmtId="17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95"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70" fontId="23" fillId="0" borderId="0"/>
    <xf numFmtId="0" fontId="6"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6"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95"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67"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0" fontId="115" fillId="56" borderId="34" applyNumberFormat="0" applyAlignment="0" applyProtection="0"/>
    <xf numFmtId="170" fontId="115" fillId="56" borderId="34" applyNumberFormat="0" applyAlignment="0" applyProtection="0"/>
    <xf numFmtId="37" fontId="116" fillId="0" borderId="0" applyNumberFormat="0" applyFill="0" applyBorder="0" applyAlignment="0" applyProtection="0"/>
    <xf numFmtId="177" fontId="117"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8" fillId="0" borderId="35"/>
    <xf numFmtId="170" fontId="118" fillId="0" borderId="35"/>
    <xf numFmtId="37" fontId="119" fillId="0" borderId="0">
      <alignment horizontal="left"/>
    </xf>
    <xf numFmtId="14" fontId="6" fillId="71" borderId="26" applyFont="0" applyAlignment="0">
      <protection locked="0"/>
    </xf>
    <xf numFmtId="37" fontId="120"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21" fillId="0" borderId="0" applyNumberFormat="0" applyBorder="0" applyAlignment="0"/>
    <xf numFmtId="0" fontId="122" fillId="0" borderId="36"/>
    <xf numFmtId="170" fontId="122" fillId="0" borderId="36"/>
    <xf numFmtId="0" fontId="123" fillId="0" borderId="0">
      <alignment vertical="center"/>
    </xf>
    <xf numFmtId="170" fontId="123"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4"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191" fontId="125" fillId="0" borderId="13" applyFill="0" applyAlignment="0" applyProtection="0"/>
    <xf numFmtId="0" fontId="126" fillId="73" borderId="38"/>
    <xf numFmtId="170" fontId="126" fillId="73" borderId="38"/>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0" fontId="127" fillId="0" borderId="0" applyNumberFormat="0" applyFill="0" applyBorder="0" applyAlignment="0" applyProtection="0"/>
    <xf numFmtId="170" fontId="127" fillId="0" borderId="0" applyNumberFormat="0" applyFill="0" applyBorder="0" applyAlignment="0" applyProtection="0"/>
    <xf numFmtId="49" fontId="128" fillId="0" borderId="0" applyFill="0" applyBorder="0" applyAlignment="0" applyProtection="0"/>
    <xf numFmtId="37" fontId="129" fillId="48" borderId="39">
      <alignment horizontal="centerContinuous"/>
    </xf>
    <xf numFmtId="0" fontId="8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31" fillId="0" borderId="0"/>
    <xf numFmtId="169" fontId="95"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5"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9" fillId="43" borderId="0" applyNumberFormat="0" applyBorder="0" applyAlignment="0" applyProtection="0"/>
    <xf numFmtId="0" fontId="132" fillId="16" borderId="0" applyNumberFormat="0" applyBorder="0" applyAlignment="0" applyProtection="0"/>
    <xf numFmtId="0" fontId="89" fillId="59" borderId="0" applyNumberFormat="0" applyBorder="0" applyAlignment="0" applyProtection="0"/>
    <xf numFmtId="0" fontId="132" fillId="28" borderId="0" applyNumberFormat="0" applyBorder="0" applyAlignment="0" applyProtection="0"/>
    <xf numFmtId="0" fontId="89" fillId="63" borderId="0" applyNumberFormat="0" applyBorder="0" applyAlignment="0" applyProtection="0"/>
    <xf numFmtId="0" fontId="132" fillId="13" borderId="0" applyNumberFormat="0" applyBorder="0" applyAlignment="0" applyProtection="0"/>
    <xf numFmtId="0" fontId="89" fillId="64" borderId="0" applyNumberFormat="0" applyBorder="0" applyAlignment="0" applyProtection="0"/>
    <xf numFmtId="0" fontId="132" fillId="17" borderId="0" applyNumberFormat="0" applyBorder="0" applyAlignment="0" applyProtection="0"/>
    <xf numFmtId="0" fontId="89" fillId="59" borderId="0" applyNumberFormat="0" applyBorder="0" applyAlignment="0" applyProtection="0"/>
    <xf numFmtId="0" fontId="132" fillId="25" borderId="0" applyNumberFormat="0" applyBorder="0" applyAlignment="0" applyProtection="0"/>
    <xf numFmtId="0" fontId="54" fillId="0" borderId="0" applyNumberFormat="0" applyFill="0" applyBorder="0" applyAlignment="0">
      <protection locked="0"/>
    </xf>
    <xf numFmtId="0" fontId="90" fillId="37" borderId="0" applyNumberFormat="0" applyBorder="0" applyAlignment="0" applyProtection="0"/>
    <xf numFmtId="0" fontId="133" fillId="3" borderId="0" applyNumberFormat="0" applyBorder="0" applyAlignment="0" applyProtection="0"/>
    <xf numFmtId="194" fontId="6" fillId="0" borderId="0" applyFont="0" applyFill="0" applyBorder="0" applyAlignment="0" applyProtection="0"/>
    <xf numFmtId="0" fontId="91" fillId="56" borderId="24" applyNumberFormat="0" applyAlignment="0" applyProtection="0"/>
    <xf numFmtId="0" fontId="18" fillId="0" borderId="0">
      <alignment horizontal="centerContinuous" vertical="center" wrapText="1"/>
    </xf>
    <xf numFmtId="0" fontId="92" fillId="68" borderId="25" applyNumberFormat="0" applyAlignment="0" applyProtection="0"/>
    <xf numFmtId="0" fontId="134" fillId="7" borderId="7" applyNumberFormat="0" applyAlignment="0" applyProtection="0"/>
    <xf numFmtId="0" fontId="92"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5" fillId="0" borderId="0" applyFont="0" applyFill="0" applyBorder="0" applyAlignment="0" applyProtection="0">
      <protection locked="0"/>
    </xf>
    <xf numFmtId="40" fontId="95"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5" fillId="0" borderId="0" applyFont="0" applyFill="0" applyBorder="0" applyAlignment="0" applyProtection="0">
      <protection locked="0"/>
    </xf>
    <xf numFmtId="8" fontId="95"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200" fontId="135"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6"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7"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6" fillId="0" borderId="0" applyNumberFormat="0" applyFill="0" applyBorder="0" applyAlignment="0" applyProtection="0"/>
    <xf numFmtId="0" fontId="138"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9" fillId="0" borderId="0" applyNumberFormat="0" applyFill="0" applyBorder="0" applyAlignment="0" applyProtection="0"/>
    <xf numFmtId="207" fontId="6" fillId="0" borderId="0" applyFont="0" applyFill="0" applyBorder="0" applyAlignment="0" applyProtection="0"/>
    <xf numFmtId="208" fontId="86" fillId="0" borderId="0" applyFont="0" applyFill="0" applyBorder="0" applyAlignment="0" applyProtection="0"/>
    <xf numFmtId="209" fontId="6" fillId="0" borderId="0" applyFont="0" applyFill="0" applyBorder="0" applyAlignment="0" applyProtection="0"/>
    <xf numFmtId="210" fontId="86" fillId="0" borderId="0" applyFont="0" applyFill="0" applyBorder="0" applyAlignment="0" applyProtection="0"/>
    <xf numFmtId="0" fontId="99" fillId="38" borderId="0" applyNumberFormat="0" applyBorder="0" applyAlignment="0" applyProtection="0"/>
    <xf numFmtId="0" fontId="140" fillId="2" borderId="0" applyNumberFormat="0" applyBorder="0" applyAlignment="0" applyProtection="0"/>
    <xf numFmtId="211" fontId="130" fillId="70" borderId="16" applyNumberFormat="0" applyFont="0" applyAlignment="0"/>
    <xf numFmtId="0" fontId="100" fillId="0" borderId="28" applyNumberFormat="0" applyFill="0" applyAlignment="0" applyProtection="0"/>
    <xf numFmtId="0" fontId="102" fillId="0" borderId="30" applyNumberFormat="0" applyFill="0" applyAlignment="0" applyProtection="0"/>
    <xf numFmtId="0" fontId="104" fillId="0" borderId="31" applyNumberFormat="0" applyFill="0" applyAlignment="0" applyProtection="0"/>
    <xf numFmtId="0" fontId="52" fillId="0" borderId="0" applyNumberFormat="0" applyFill="0" applyBorder="0" applyAlignment="0" applyProtection="0">
      <alignment vertical="top"/>
      <protection locked="0"/>
    </xf>
    <xf numFmtId="0" fontId="141" fillId="0" borderId="0" applyNumberFormat="0" applyFill="0" applyBorder="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1"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107"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8" fillId="0" borderId="33" applyNumberFormat="0" applyFill="0" applyAlignment="0" applyProtection="0"/>
    <xf numFmtId="0" fontId="142" fillId="0" borderId="6" applyNumberFormat="0" applyFill="0" applyAlignment="0" applyProtection="0"/>
    <xf numFmtId="0" fontId="108"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11" fillId="57" borderId="0" applyNumberFormat="0" applyBorder="0" applyAlignment="0" applyProtection="0"/>
    <xf numFmtId="0" fontId="143"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6"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7" fillId="0" borderId="0"/>
    <xf numFmtId="9" fontId="14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5">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8" fillId="0" borderId="0" xfId="4" applyFont="1" applyFill="1" applyAlignment="1">
      <alignment horizontal="centerContinuous"/>
    </xf>
    <xf numFmtId="0" fontId="7" fillId="0" borderId="0" xfId="4" applyFont="1" applyFill="1" applyAlignment="1">
      <alignment horizontal="centerContinuous"/>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5" fillId="0" borderId="0" xfId="0" applyNumberFormat="1" applyFont="1" applyFill="1" applyBorder="1" applyAlignment="1"/>
    <xf numFmtId="166" fontId="85" fillId="0" borderId="0" xfId="0" applyNumberFormat="1" applyFont="1" applyFill="1" applyAlignment="1"/>
    <xf numFmtId="16" fontId="85" fillId="0" borderId="0" xfId="0" quotePrefix="1" applyNumberFormat="1" applyFont="1" applyFill="1" applyAlignment="1"/>
    <xf numFmtId="0" fontId="7" fillId="0" borderId="0" xfId="0" applyNumberFormat="1"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8" fillId="0" borderId="0" xfId="37952" applyFont="1"/>
    <xf numFmtId="0" fontId="145" fillId="0" borderId="0" xfId="37952" applyFont="1" applyAlignment="1">
      <alignment wrapText="1"/>
    </xf>
    <xf numFmtId="0" fontId="146"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50"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51"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5" fontId="8" fillId="0" borderId="14" xfId="0" applyNumberFormat="1" applyFont="1" applyFill="1" applyBorder="1" applyAlignment="1"/>
    <xf numFmtId="0" fontId="7" fillId="0" borderId="0" xfId="0" applyFont="1" applyFill="1" applyAlignment="1">
      <alignment horizontal="center"/>
    </xf>
    <xf numFmtId="0" fontId="150" fillId="0" borderId="0" xfId="0" applyFont="1" applyFill="1" applyAlignment="1">
      <alignment horizontal="center"/>
    </xf>
    <xf numFmtId="0" fontId="7" fillId="0" borderId="0" xfId="4319" applyFont="1"/>
    <xf numFmtId="0" fontId="7" fillId="0" borderId="0" xfId="4319" applyFont="1" applyAlignment="1">
      <alignment horizontal="right"/>
    </xf>
    <xf numFmtId="0" fontId="8" fillId="0" borderId="0" xfId="4319" applyFont="1" applyAlignment="1">
      <alignment horizontal="center"/>
    </xf>
    <xf numFmtId="0" fontId="7" fillId="0" borderId="0" xfId="4319" applyFont="1" applyAlignment="1">
      <alignment horizontal="center"/>
    </xf>
    <xf numFmtId="0" fontId="7" fillId="0" borderId="10" xfId="4319" applyFont="1" applyBorder="1" applyAlignment="1">
      <alignment horizontal="center"/>
    </xf>
    <xf numFmtId="37" fontId="7" fillId="0" borderId="0" xfId="4319" applyNumberFormat="1" applyFont="1"/>
    <xf numFmtId="0" fontId="7" fillId="0" borderId="0" xfId="4319" applyFont="1" applyBorder="1"/>
    <xf numFmtId="5" fontId="7" fillId="0" borderId="0" xfId="4319" applyNumberFormat="1" applyFont="1" applyFill="1" applyBorder="1"/>
    <xf numFmtId="5" fontId="7" fillId="0" borderId="0" xfId="1786" applyNumberFormat="1" applyFont="1" applyFill="1" applyBorder="1"/>
    <xf numFmtId="0" fontId="7" fillId="0" borderId="0" xfId="4319" quotePrefix="1" applyFont="1"/>
    <xf numFmtId="5" fontId="7" fillId="0" borderId="12" xfId="4319" applyNumberFormat="1" applyFont="1" applyFill="1" applyBorder="1"/>
    <xf numFmtId="0" fontId="149" fillId="0" borderId="19" xfId="37954" applyFont="1" applyBorder="1" applyAlignment="1">
      <alignment vertical="center" wrapText="1"/>
    </xf>
    <xf numFmtId="0" fontId="149" fillId="0" borderId="0" xfId="37954" applyFont="1" applyBorder="1" applyAlignment="1">
      <alignment vertical="center" wrapText="1"/>
    </xf>
    <xf numFmtId="0" fontId="7" fillId="0" borderId="0" xfId="4319" applyFont="1" applyFill="1"/>
    <xf numFmtId="5" fontId="7" fillId="0" borderId="10" xfId="1786" applyNumberFormat="1" applyFont="1" applyFill="1" applyBorder="1"/>
    <xf numFmtId="166" fontId="7" fillId="0" borderId="10" xfId="0" applyNumberFormat="1" applyFont="1" applyFill="1" applyBorder="1" applyAlignment="1"/>
    <xf numFmtId="0" fontId="7" fillId="0" borderId="0" xfId="4319" applyFont="1" applyAlignment="1">
      <alignment horizontal="center"/>
    </xf>
    <xf numFmtId="0" fontId="7" fillId="0" borderId="0" xfId="4" applyFont="1" applyFill="1" applyAlignment="1">
      <alignment horizontal="center"/>
    </xf>
    <xf numFmtId="0" fontId="7" fillId="0" borderId="0" xfId="0" applyFont="1" applyAlignment="1">
      <alignment horizontal="right"/>
    </xf>
    <xf numFmtId="37" fontId="7" fillId="0" borderId="0" xfId="0" applyNumberFormat="1" applyFont="1" applyFill="1" applyAlignment="1">
      <alignment horizontal="right"/>
    </xf>
    <xf numFmtId="0" fontId="6" fillId="0" borderId="0" xfId="4319"/>
    <xf numFmtId="0" fontId="7" fillId="0" borderId="0" xfId="4319" applyFont="1" applyFill="1" applyAlignment="1">
      <alignment horizontal="center"/>
    </xf>
    <xf numFmtId="0" fontId="152" fillId="0" borderId="0" xfId="37954" applyFont="1"/>
    <xf numFmtId="0" fontId="152" fillId="0" borderId="0" xfId="37954" applyFont="1" applyFill="1"/>
    <xf numFmtId="0" fontId="153" fillId="0" borderId="0" xfId="0" applyFont="1"/>
    <xf numFmtId="0" fontId="154" fillId="0" borderId="0" xfId="37954" applyFont="1" applyAlignment="1">
      <alignment vertical="center" wrapText="1"/>
    </xf>
    <xf numFmtId="0" fontId="146" fillId="0" borderId="16" xfId="37954" applyFont="1" applyBorder="1" applyAlignment="1">
      <alignment vertical="center" wrapText="1"/>
    </xf>
    <xf numFmtId="0" fontId="146" fillId="0" borderId="40" xfId="37954" applyFont="1" applyBorder="1" applyAlignment="1">
      <alignment horizontal="right" vertical="center" wrapText="1"/>
    </xf>
    <xf numFmtId="0" fontId="152" fillId="0" borderId="41" xfId="37954" applyFont="1" applyBorder="1" applyAlignment="1">
      <alignment horizontal="center" vertical="center" wrapText="1"/>
    </xf>
    <xf numFmtId="10" fontId="152" fillId="0" borderId="42" xfId="37954" applyNumberFormat="1" applyFont="1" applyBorder="1" applyAlignment="1">
      <alignment vertical="center" wrapText="1"/>
    </xf>
    <xf numFmtId="10" fontId="152" fillId="0" borderId="42" xfId="37954" applyNumberFormat="1" applyFont="1" applyBorder="1" applyAlignment="1">
      <alignment horizontal="right" vertical="center" wrapText="1"/>
    </xf>
    <xf numFmtId="0" fontId="152" fillId="0" borderId="42" xfId="37954" applyFont="1" applyBorder="1" applyAlignment="1">
      <alignment horizontal="right" vertical="center" wrapText="1"/>
    </xf>
    <xf numFmtId="0" fontId="152" fillId="0" borderId="42" xfId="37954" applyFont="1" applyBorder="1" applyAlignment="1">
      <alignment vertical="center" wrapText="1"/>
    </xf>
    <xf numFmtId="9" fontId="152" fillId="0" borderId="42" xfId="37954" applyNumberFormat="1" applyFont="1" applyBorder="1" applyAlignment="1">
      <alignment vertical="center" wrapText="1"/>
    </xf>
    <xf numFmtId="5" fontId="7" fillId="0" borderId="0" xfId="1786" applyNumberFormat="1" applyFont="1" applyFill="1" applyBorder="1" applyAlignment="1">
      <alignment horizontal="center"/>
    </xf>
    <xf numFmtId="5" fontId="7" fillId="0" borderId="14" xfId="4319" applyNumberFormat="1" applyFont="1" applyFill="1" applyBorder="1"/>
    <xf numFmtId="0" fontId="152" fillId="0" borderId="16" xfId="37954" applyFont="1" applyBorder="1" applyAlignment="1">
      <alignment horizontal="center" vertical="center" wrapText="1"/>
    </xf>
    <xf numFmtId="0" fontId="152" fillId="0" borderId="40" xfId="37954" applyFont="1" applyBorder="1" applyAlignment="1">
      <alignment vertical="center" wrapText="1"/>
    </xf>
    <xf numFmtId="0" fontId="152" fillId="0" borderId="40" xfId="37954" applyFont="1" applyBorder="1" applyAlignment="1">
      <alignment horizontal="right" vertical="center" wrapText="1"/>
    </xf>
    <xf numFmtId="0" fontId="152" fillId="0" borderId="0" xfId="37952" applyFont="1"/>
    <xf numFmtId="0" fontId="155" fillId="0" borderId="0" xfId="37952" applyFont="1"/>
    <xf numFmtId="0" fontId="152" fillId="0" borderId="0" xfId="37952" applyFont="1" applyAlignment="1">
      <alignment horizontal="right"/>
    </xf>
    <xf numFmtId="0" fontId="152" fillId="0" borderId="0" xfId="37952" applyFont="1" applyAlignment="1">
      <alignment horizontal="center"/>
    </xf>
    <xf numFmtId="0" fontId="152" fillId="0" borderId="10" xfId="37952" applyFont="1" applyBorder="1" applyAlignment="1">
      <alignment horizontal="center"/>
    </xf>
    <xf numFmtId="0" fontId="155" fillId="0" borderId="0" xfId="37952" applyFont="1" applyAlignment="1">
      <alignment horizontal="center"/>
    </xf>
    <xf numFmtId="0" fontId="156" fillId="0" borderId="0" xfId="37952" applyFont="1"/>
    <xf numFmtId="0" fontId="157" fillId="0" borderId="0" xfId="37952" applyFont="1"/>
    <xf numFmtId="0" fontId="158" fillId="0" borderId="0" xfId="37952" applyFont="1" applyAlignment="1">
      <alignment horizontal="right"/>
    </xf>
    <xf numFmtId="10" fontId="152" fillId="0" borderId="0" xfId="37952" applyNumberFormat="1" applyFont="1"/>
    <xf numFmtId="10" fontId="152"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75" borderId="0" xfId="0" applyFont="1" applyFill="1" applyBorder="1" applyAlignment="1"/>
    <xf numFmtId="5" fontId="7" fillId="75" borderId="0" xfId="0" applyNumberFormat="1" applyFont="1" applyFill="1" applyBorder="1" applyAlignment="1"/>
    <xf numFmtId="0" fontId="7" fillId="0" borderId="0" xfId="4319" applyFont="1" applyAlignment="1">
      <alignment horizontal="center"/>
    </xf>
    <xf numFmtId="0" fontId="7" fillId="0" borderId="0" xfId="0" quotePrefix="1"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center" wrapText="1"/>
    </xf>
    <xf numFmtId="0" fontId="151" fillId="0" borderId="0" xfId="0" applyFont="1" applyFill="1" applyBorder="1" applyAlignment="1">
      <alignment horizontal="center"/>
    </xf>
    <xf numFmtId="0" fontId="150" fillId="0" borderId="0" xfId="0" applyFont="1" applyFill="1" applyAlignment="1">
      <alignment horizontal="center"/>
    </xf>
    <xf numFmtId="0" fontId="7" fillId="0" borderId="0" xfId="4" applyFont="1" applyFill="1" applyAlignment="1">
      <alignment horizontal="center"/>
    </xf>
    <xf numFmtId="0" fontId="154" fillId="75" borderId="0" xfId="37954" applyFont="1" applyFill="1" applyAlignment="1">
      <alignment horizontal="center" vertical="center" wrapText="1"/>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ationalgridplc-my.sharepoint.com/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ationalgridplc-my.sharepoint.com/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gridplc-my.sharepoint.com/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ationalgridplc-my.sharepoint.com/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ationalgridplc-my.sharepoint.com/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nationalgridplc-my.sharepoint.com/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nationalgridplc-my.sharepoint.com/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9851-118B-4030-99E8-E4A7A95DDCD5}">
  <sheetPr>
    <pageSetUpPr fitToPage="1"/>
  </sheetPr>
  <dimension ref="A1:I29"/>
  <sheetViews>
    <sheetView tabSelected="1" workbookViewId="0"/>
  </sheetViews>
  <sheetFormatPr defaultRowHeight="12.75"/>
  <cols>
    <col min="1" max="1" width="5.7109375" customWidth="1"/>
    <col min="2" max="2" width="3.5703125" customWidth="1"/>
    <col min="3" max="3" width="38" customWidth="1"/>
    <col min="4" max="4" width="22.7109375" customWidth="1"/>
    <col min="5" max="5" width="15.28515625" customWidth="1"/>
    <col min="6" max="6" width="17.140625" customWidth="1"/>
    <col min="7" max="7" width="16" customWidth="1"/>
    <col min="8" max="8" width="15.28515625" customWidth="1"/>
    <col min="9" max="9" width="16.7109375" customWidth="1"/>
  </cols>
  <sheetData>
    <row r="1" spans="1:9" ht="15">
      <c r="A1" s="92"/>
      <c r="B1" s="93"/>
      <c r="C1" s="92"/>
      <c r="D1" s="92"/>
      <c r="E1" s="93"/>
      <c r="I1" s="110" t="s">
        <v>55</v>
      </c>
    </row>
    <row r="2" spans="1:9" ht="15">
      <c r="A2" s="92"/>
      <c r="B2" s="93"/>
      <c r="C2" s="92"/>
      <c r="D2" s="92"/>
      <c r="E2" s="93"/>
      <c r="I2" s="110" t="s">
        <v>54</v>
      </c>
    </row>
    <row r="3" spans="1:9" ht="15">
      <c r="A3" s="92"/>
      <c r="B3" s="93"/>
      <c r="C3" s="92"/>
      <c r="D3" s="92"/>
      <c r="E3" s="93"/>
      <c r="I3" s="110" t="s">
        <v>137</v>
      </c>
    </row>
    <row r="4" spans="1:9" ht="15">
      <c r="A4" s="92"/>
      <c r="B4" s="93"/>
      <c r="C4" s="92"/>
      <c r="D4" s="92"/>
      <c r="E4" s="93"/>
      <c r="I4" s="110" t="s">
        <v>138</v>
      </c>
    </row>
    <row r="5" spans="1:9" ht="15">
      <c r="A5" s="92"/>
      <c r="B5" s="93"/>
      <c r="C5" s="92"/>
      <c r="D5" s="92"/>
      <c r="E5" s="93"/>
      <c r="I5" s="1" t="s">
        <v>141</v>
      </c>
    </row>
    <row r="6" spans="1:9" ht="15">
      <c r="A6" s="92"/>
      <c r="B6" s="93"/>
      <c r="C6" s="92"/>
      <c r="D6" s="92"/>
      <c r="E6" s="93"/>
      <c r="I6" s="110" t="s">
        <v>139</v>
      </c>
    </row>
    <row r="7" spans="1:9" ht="15">
      <c r="A7" s="92"/>
      <c r="B7" s="93"/>
      <c r="C7" s="92"/>
      <c r="D7" s="92"/>
      <c r="E7" s="92"/>
      <c r="I7" s="111" t="s">
        <v>140</v>
      </c>
    </row>
    <row r="8" spans="1:9" ht="15">
      <c r="A8" s="92"/>
      <c r="B8" s="93"/>
      <c r="C8" s="92"/>
      <c r="D8" s="92"/>
      <c r="E8" s="92"/>
    </row>
    <row r="9" spans="1:9" ht="15">
      <c r="A9" s="147" t="s">
        <v>55</v>
      </c>
      <c r="B9" s="147"/>
      <c r="C9" s="147"/>
      <c r="D9" s="147"/>
      <c r="E9" s="147"/>
      <c r="F9" s="147"/>
      <c r="G9" s="147"/>
      <c r="H9" s="147"/>
      <c r="I9" s="147"/>
    </row>
    <row r="10" spans="1:9" ht="15">
      <c r="A10" s="147" t="s">
        <v>127</v>
      </c>
      <c r="B10" s="147"/>
      <c r="C10" s="147"/>
      <c r="D10" s="147"/>
      <c r="E10" s="147"/>
      <c r="F10" s="147"/>
      <c r="G10" s="147"/>
      <c r="H10" s="147"/>
      <c r="I10" s="147"/>
    </row>
    <row r="11" spans="1:9" ht="15">
      <c r="A11" s="147" t="s">
        <v>187</v>
      </c>
      <c r="B11" s="147"/>
      <c r="C11" s="147"/>
      <c r="D11" s="147"/>
      <c r="E11" s="147"/>
      <c r="F11" s="147"/>
      <c r="G11" s="147"/>
      <c r="H11" s="147"/>
      <c r="I11" s="147"/>
    </row>
    <row r="12" spans="1:9" ht="15">
      <c r="A12" s="92"/>
      <c r="B12" s="93"/>
      <c r="C12" s="92"/>
      <c r="D12" s="94"/>
      <c r="E12" s="94"/>
    </row>
    <row r="13" spans="1:9" ht="15">
      <c r="A13" s="92"/>
      <c r="B13" s="93"/>
      <c r="C13" s="92"/>
      <c r="D13" s="94"/>
      <c r="E13" s="94"/>
    </row>
    <row r="14" spans="1:9" ht="15">
      <c r="A14" s="92"/>
      <c r="B14" s="93"/>
      <c r="C14" s="92"/>
      <c r="D14" s="95"/>
      <c r="E14" s="95"/>
    </row>
    <row r="15" spans="1:9" ht="15">
      <c r="A15" s="92"/>
      <c r="B15" s="93"/>
      <c r="C15" s="92"/>
      <c r="D15" s="95"/>
      <c r="E15" s="95"/>
    </row>
    <row r="16" spans="1:9" ht="15">
      <c r="A16" s="92"/>
      <c r="B16" s="93"/>
      <c r="C16" s="92"/>
      <c r="D16" s="95"/>
      <c r="E16" s="95"/>
      <c r="F16" s="95"/>
      <c r="G16" s="95"/>
      <c r="H16" s="95"/>
      <c r="I16" s="95"/>
    </row>
    <row r="17" spans="1:9" ht="15">
      <c r="A17" s="95"/>
      <c r="B17" s="93"/>
      <c r="C17" s="92"/>
      <c r="D17" s="96"/>
      <c r="E17" s="96" t="s">
        <v>122</v>
      </c>
      <c r="F17" s="96" t="s">
        <v>123</v>
      </c>
      <c r="G17" s="96" t="s">
        <v>124</v>
      </c>
      <c r="H17" s="96" t="s">
        <v>125</v>
      </c>
      <c r="I17" s="96" t="s">
        <v>126</v>
      </c>
    </row>
    <row r="18" spans="1:9" ht="15">
      <c r="A18" s="92"/>
      <c r="B18" s="93"/>
      <c r="C18" s="92"/>
      <c r="D18" s="95"/>
      <c r="E18" s="108" t="s">
        <v>0</v>
      </c>
      <c r="F18" s="108" t="s">
        <v>1</v>
      </c>
      <c r="G18" s="108" t="s">
        <v>2</v>
      </c>
      <c r="H18" s="108" t="s">
        <v>62</v>
      </c>
      <c r="I18" s="108" t="s">
        <v>130</v>
      </c>
    </row>
    <row r="19" spans="1:9" ht="15">
      <c r="A19" s="92"/>
      <c r="B19" s="93"/>
      <c r="C19" s="92"/>
      <c r="D19" s="97"/>
      <c r="E19" s="97"/>
      <c r="F19" s="97"/>
      <c r="G19" s="97"/>
      <c r="H19" s="97"/>
      <c r="I19" s="97"/>
    </row>
    <row r="20" spans="1:9" ht="15">
      <c r="A20" s="95"/>
      <c r="B20" s="93"/>
      <c r="C20" s="98"/>
      <c r="D20" s="99"/>
      <c r="E20" s="99"/>
      <c r="F20" s="99"/>
      <c r="G20" s="99"/>
      <c r="H20" s="99"/>
      <c r="I20" s="99"/>
    </row>
    <row r="21" spans="1:9" ht="15">
      <c r="A21" s="95">
        <v>1</v>
      </c>
      <c r="B21" s="93"/>
      <c r="C21" s="92" t="s">
        <v>120</v>
      </c>
      <c r="D21" s="99"/>
      <c r="E21" s="100"/>
      <c r="F21" s="100"/>
      <c r="G21" s="100"/>
      <c r="H21" s="100"/>
      <c r="I21" s="100"/>
    </row>
    <row r="22" spans="1:9" ht="15">
      <c r="A22" s="108">
        <v>2</v>
      </c>
      <c r="C22" s="101" t="s">
        <v>142</v>
      </c>
      <c r="D22" s="126" t="s">
        <v>186</v>
      </c>
      <c r="E22" s="100">
        <f>'Exh NG-5 Cap Adds 1'!F65</f>
        <v>29419484</v>
      </c>
      <c r="F22" s="100">
        <f>'Exh NG-5 Cap Adds 1'!G65</f>
        <v>57717405.667499997</v>
      </c>
      <c r="G22" s="100">
        <f>'Exh NG-5 Cap Adds 1'!H65</f>
        <v>53476737.064999998</v>
      </c>
      <c r="H22" s="100">
        <f>'Exh NG-5 Cap Adds 1'!I65</f>
        <v>46187832.594999999</v>
      </c>
      <c r="I22" s="100">
        <f>'Exh NG-5 Cap Adds 1'!J65</f>
        <v>39331787.695</v>
      </c>
    </row>
    <row r="23" spans="1:9" ht="15">
      <c r="A23" s="108">
        <v>3</v>
      </c>
      <c r="C23" s="101"/>
      <c r="D23" s="100"/>
      <c r="E23" s="100"/>
      <c r="F23" s="100"/>
      <c r="G23" s="100"/>
      <c r="H23" s="100"/>
      <c r="I23" s="100"/>
    </row>
    <row r="24" spans="1:9" ht="15">
      <c r="A24" s="108">
        <v>4</v>
      </c>
      <c r="C24" s="101" t="s">
        <v>121</v>
      </c>
      <c r="D24" s="99"/>
      <c r="E24" s="102">
        <f>SUM(E21:E23)</f>
        <v>29419484</v>
      </c>
      <c r="F24" s="102">
        <f>SUM(F21:F23)</f>
        <v>57717405.667499997</v>
      </c>
      <c r="G24" s="102">
        <f>SUM(G21:G23)</f>
        <v>53476737.064999998</v>
      </c>
      <c r="H24" s="102">
        <f>SUM(H21:H23)</f>
        <v>46187832.594999999</v>
      </c>
      <c r="I24" s="102">
        <f>SUM(I21:I23)</f>
        <v>39331787.695</v>
      </c>
    </row>
    <row r="25" spans="1:9" ht="15">
      <c r="A25" s="113">
        <v>5</v>
      </c>
      <c r="C25" s="112"/>
      <c r="D25" s="112"/>
      <c r="E25" s="112"/>
      <c r="F25" s="112"/>
      <c r="G25" s="112"/>
      <c r="H25" s="112"/>
      <c r="I25" s="112"/>
    </row>
    <row r="26" spans="1:9" ht="15">
      <c r="A26" s="113">
        <v>6</v>
      </c>
      <c r="C26" s="101" t="s">
        <v>143</v>
      </c>
      <c r="D26" s="112"/>
      <c r="E26" s="106">
        <f>545700000*0.035</f>
        <v>19099500</v>
      </c>
      <c r="F26" s="106">
        <v>0</v>
      </c>
      <c r="G26" s="106">
        <v>0</v>
      </c>
      <c r="H26" s="106">
        <v>0</v>
      </c>
      <c r="I26" s="106">
        <v>0</v>
      </c>
    </row>
    <row r="27" spans="1:9" ht="15">
      <c r="A27" s="108">
        <v>7</v>
      </c>
      <c r="B27" s="93"/>
      <c r="C27" s="101"/>
      <c r="D27" s="112"/>
      <c r="E27" s="100"/>
      <c r="F27" s="100"/>
      <c r="G27" s="100"/>
      <c r="H27" s="100"/>
      <c r="I27" s="100"/>
    </row>
    <row r="28" spans="1:9" ht="15.75" thickBot="1">
      <c r="A28" s="108">
        <v>8</v>
      </c>
      <c r="B28" s="93"/>
      <c r="C28" s="105" t="s">
        <v>49</v>
      </c>
      <c r="D28" s="112"/>
      <c r="E28" s="127">
        <f>E24+E26</f>
        <v>48518984</v>
      </c>
      <c r="F28" s="127">
        <f t="shared" ref="F28:I28" si="0">F24+F26</f>
        <v>57717405.667499997</v>
      </c>
      <c r="G28" s="127">
        <f t="shared" si="0"/>
        <v>53476737.064999998</v>
      </c>
      <c r="H28" s="127">
        <f t="shared" si="0"/>
        <v>46187832.594999999</v>
      </c>
      <c r="I28" s="127">
        <f t="shared" si="0"/>
        <v>39331787.695</v>
      </c>
    </row>
    <row r="29" spans="1:9" ht="15.75" thickTop="1">
      <c r="A29" s="108"/>
      <c r="C29" s="112"/>
      <c r="D29" s="112"/>
      <c r="E29" s="112"/>
      <c r="F29" s="112"/>
      <c r="G29" s="112"/>
      <c r="H29" s="112"/>
      <c r="I29" s="112"/>
    </row>
  </sheetData>
  <mergeCells count="3">
    <mergeCell ref="A9:I9"/>
    <mergeCell ref="A10:I10"/>
    <mergeCell ref="A11:I11"/>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AB113"/>
  <sheetViews>
    <sheetView zoomScaleNormal="100" zoomScaleSheetLayoutView="100" workbookViewId="0">
      <pane xSplit="5" ySplit="16" topLeftCell="F17" activePane="bottomRight" state="frozen"/>
      <selection pane="topRight" activeCell="F1" sqref="F1"/>
      <selection pane="bottomLeft" activeCell="A17" sqref="A17"/>
      <selection pane="bottomRight" activeCell="F17" sqref="F17"/>
    </sheetView>
  </sheetViews>
  <sheetFormatPr defaultColWidth="9.140625" defaultRowHeight="15"/>
  <cols>
    <col min="1" max="1" width="4.85546875" style="19" customWidth="1"/>
    <col min="2" max="2" width="34.28515625" style="19" customWidth="1"/>
    <col min="3" max="3" width="23.7109375" style="19" customWidth="1"/>
    <col min="4" max="4" width="13.7109375" style="19" customWidth="1"/>
    <col min="5" max="5" width="2.5703125" style="19" bestFit="1" customWidth="1"/>
    <col min="6" max="6" width="19.7109375" style="19" customWidth="1"/>
    <col min="7" max="7" width="16.7109375" style="19" customWidth="1"/>
    <col min="8" max="8" width="15.7109375" style="19" customWidth="1"/>
    <col min="9" max="9" width="15.42578125" style="19" customWidth="1"/>
    <col min="10" max="10" width="15.7109375" style="19" customWidth="1"/>
    <col min="11" max="16" width="15.7109375" style="19" hidden="1" customWidth="1"/>
    <col min="17" max="17" width="24.28515625" style="19" hidden="1" customWidth="1"/>
    <col min="18" max="28" width="9.140625" style="145"/>
    <col min="29" max="16384" width="9.140625" style="19"/>
  </cols>
  <sheetData>
    <row r="1" spans="1:16">
      <c r="J1" s="110" t="s">
        <v>55</v>
      </c>
    </row>
    <row r="2" spans="1:16">
      <c r="J2" s="110" t="s">
        <v>54</v>
      </c>
    </row>
    <row r="3" spans="1:16">
      <c r="J3" s="110" t="s">
        <v>137</v>
      </c>
    </row>
    <row r="4" spans="1:16">
      <c r="J4" s="110" t="s">
        <v>138</v>
      </c>
    </row>
    <row r="5" spans="1:16">
      <c r="J5" s="1" t="s">
        <v>141</v>
      </c>
    </row>
    <row r="6" spans="1:16">
      <c r="J6" s="110" t="s">
        <v>144</v>
      </c>
    </row>
    <row r="7" spans="1:16">
      <c r="J7" s="111" t="s">
        <v>140</v>
      </c>
    </row>
    <row r="10" spans="1:16">
      <c r="A10" s="147" t="s">
        <v>55</v>
      </c>
      <c r="B10" s="147"/>
      <c r="C10" s="147"/>
      <c r="D10" s="147"/>
      <c r="E10" s="147"/>
      <c r="F10" s="147"/>
      <c r="G10" s="147"/>
      <c r="H10" s="147"/>
      <c r="I10" s="147"/>
      <c r="J10" s="147"/>
    </row>
    <row r="11" spans="1:16">
      <c r="A11" s="147" t="s">
        <v>113</v>
      </c>
      <c r="B11" s="147"/>
      <c r="C11" s="147"/>
      <c r="D11" s="147"/>
      <c r="E11" s="147"/>
      <c r="F11" s="147"/>
      <c r="G11" s="147"/>
      <c r="H11" s="147"/>
      <c r="I11" s="147"/>
      <c r="J11" s="147"/>
    </row>
    <row r="12" spans="1:16">
      <c r="A12" s="147" t="s">
        <v>188</v>
      </c>
      <c r="B12" s="147"/>
      <c r="C12" s="147"/>
      <c r="D12" s="147"/>
      <c r="E12" s="147"/>
      <c r="F12" s="147"/>
      <c r="G12" s="147"/>
      <c r="H12" s="147"/>
      <c r="I12" s="147"/>
      <c r="J12" s="147"/>
    </row>
    <row r="15" spans="1:16">
      <c r="A15" s="3"/>
      <c r="B15" s="86" t="s">
        <v>73</v>
      </c>
      <c r="F15" s="3">
        <v>1</v>
      </c>
      <c r="G15" s="3">
        <f>+F15+1</f>
        <v>2</v>
      </c>
      <c r="H15" s="3">
        <f t="shared" ref="H15:P15" si="0">+G15+1</f>
        <v>3</v>
      </c>
      <c r="I15" s="3">
        <f t="shared" si="0"/>
        <v>4</v>
      </c>
      <c r="J15" s="3">
        <f t="shared" si="0"/>
        <v>5</v>
      </c>
      <c r="K15" s="3">
        <f t="shared" si="0"/>
        <v>6</v>
      </c>
      <c r="L15" s="3">
        <f t="shared" si="0"/>
        <v>7</v>
      </c>
      <c r="M15" s="3">
        <f t="shared" si="0"/>
        <v>8</v>
      </c>
      <c r="N15" s="3">
        <f t="shared" si="0"/>
        <v>9</v>
      </c>
      <c r="O15" s="3">
        <f t="shared" si="0"/>
        <v>10</v>
      </c>
      <c r="P15" s="3">
        <f t="shared" si="0"/>
        <v>11</v>
      </c>
    </row>
    <row r="16" spans="1:16">
      <c r="A16" s="3"/>
      <c r="F16" s="109" t="s">
        <v>0</v>
      </c>
      <c r="G16" s="109" t="s">
        <v>1</v>
      </c>
      <c r="H16" s="109" t="s">
        <v>2</v>
      </c>
      <c r="I16" s="109" t="s">
        <v>62</v>
      </c>
      <c r="J16" s="109" t="s">
        <v>130</v>
      </c>
      <c r="K16" s="87"/>
      <c r="L16" s="87"/>
      <c r="M16" s="87"/>
      <c r="N16" s="87"/>
      <c r="O16" s="87"/>
      <c r="P16" s="87"/>
    </row>
    <row r="17" spans="1:26">
      <c r="A17" s="4"/>
      <c r="B17" s="32" t="s">
        <v>114</v>
      </c>
      <c r="F17" s="33"/>
      <c r="G17" s="33"/>
      <c r="H17" s="13"/>
      <c r="I17" s="13"/>
      <c r="J17" s="13"/>
      <c r="K17" s="13"/>
      <c r="L17" s="13"/>
      <c r="M17" s="13"/>
      <c r="N17" s="13"/>
      <c r="O17" s="13"/>
      <c r="P17" s="13"/>
    </row>
    <row r="18" spans="1:26">
      <c r="A18" s="4">
        <v>-1</v>
      </c>
      <c r="B18" s="19" t="s">
        <v>129</v>
      </c>
      <c r="C18" s="152"/>
      <c r="D18" s="152"/>
      <c r="E18" s="30"/>
      <c r="F18" s="25">
        <f>+(545700000*0.91)</f>
        <v>496587000</v>
      </c>
      <c r="G18" s="34">
        <v>0</v>
      </c>
      <c r="H18" s="34">
        <v>0</v>
      </c>
      <c r="I18" s="34">
        <v>0</v>
      </c>
      <c r="J18" s="34">
        <v>0</v>
      </c>
      <c r="K18" s="34">
        <v>0</v>
      </c>
      <c r="L18" s="34">
        <v>0</v>
      </c>
      <c r="M18" s="34">
        <v>0</v>
      </c>
      <c r="N18" s="34">
        <v>0</v>
      </c>
      <c r="O18" s="34">
        <v>0</v>
      </c>
      <c r="P18" s="34">
        <v>0</v>
      </c>
    </row>
    <row r="19" spans="1:26">
      <c r="A19" s="4">
        <f>+A18-1</f>
        <v>-2</v>
      </c>
      <c r="B19" s="19" t="s">
        <v>131</v>
      </c>
      <c r="C19" s="91"/>
      <c r="D19" s="91"/>
      <c r="E19" s="90"/>
      <c r="F19" s="35">
        <v>-195998000</v>
      </c>
      <c r="G19" s="107">
        <v>-19218000</v>
      </c>
      <c r="H19" s="107">
        <v>-19740000</v>
      </c>
      <c r="I19" s="107">
        <v>-20261000</v>
      </c>
      <c r="J19" s="107">
        <v>-19789000</v>
      </c>
      <c r="K19" s="107"/>
      <c r="L19" s="107"/>
      <c r="M19" s="35"/>
      <c r="N19" s="35"/>
      <c r="O19" s="35"/>
      <c r="P19" s="35"/>
      <c r="Q19" s="35"/>
      <c r="R19" s="146"/>
      <c r="S19" s="146"/>
      <c r="T19" s="146"/>
      <c r="U19" s="146"/>
      <c r="V19" s="146"/>
      <c r="W19" s="146"/>
      <c r="X19" s="146"/>
      <c r="Y19" s="146"/>
      <c r="Z19" s="146"/>
    </row>
    <row r="20" spans="1:26">
      <c r="A20" s="4">
        <f>+A19-1</f>
        <v>-3</v>
      </c>
      <c r="B20" s="19" t="s">
        <v>117</v>
      </c>
      <c r="C20" s="149" t="s">
        <v>145</v>
      </c>
      <c r="D20" s="149"/>
      <c r="F20" s="25">
        <f>SUM(F18:F19)</f>
        <v>300589000</v>
      </c>
      <c r="G20" s="34">
        <f t="shared" ref="G20:P20" si="1">+G18+F20+G19</f>
        <v>281371000</v>
      </c>
      <c r="H20" s="34">
        <f t="shared" si="1"/>
        <v>261631000</v>
      </c>
      <c r="I20" s="34">
        <f t="shared" si="1"/>
        <v>241370000</v>
      </c>
      <c r="J20" s="34">
        <f t="shared" si="1"/>
        <v>221581000</v>
      </c>
      <c r="K20" s="34">
        <f t="shared" si="1"/>
        <v>221581000</v>
      </c>
      <c r="L20" s="34">
        <f t="shared" si="1"/>
        <v>221581000</v>
      </c>
      <c r="M20" s="34">
        <f t="shared" si="1"/>
        <v>221581000</v>
      </c>
      <c r="N20" s="34">
        <f t="shared" si="1"/>
        <v>221581000</v>
      </c>
      <c r="O20" s="34">
        <f t="shared" si="1"/>
        <v>221581000</v>
      </c>
      <c r="P20" s="34">
        <f t="shared" si="1"/>
        <v>221581000</v>
      </c>
    </row>
    <row r="21" spans="1:26">
      <c r="A21" s="4"/>
      <c r="C21" s="2"/>
      <c r="D21" s="2"/>
      <c r="E21" s="2"/>
      <c r="F21" s="34"/>
      <c r="G21" s="34"/>
      <c r="H21" s="34"/>
      <c r="I21" s="34"/>
      <c r="J21" s="34"/>
      <c r="K21" s="34"/>
      <c r="L21" s="34"/>
      <c r="M21" s="34"/>
      <c r="N21" s="34"/>
      <c r="O21" s="34"/>
      <c r="P21" s="34"/>
    </row>
    <row r="22" spans="1:26">
      <c r="A22" s="4">
        <f>+A20-1</f>
        <v>-4</v>
      </c>
      <c r="B22" s="19" t="s">
        <v>135</v>
      </c>
      <c r="C22" s="2"/>
      <c r="D22" s="2"/>
      <c r="E22" s="2"/>
      <c r="F22" s="34">
        <f>545700000*0.055</f>
        <v>30013500</v>
      </c>
      <c r="G22" s="34">
        <f>F22</f>
        <v>30013500</v>
      </c>
      <c r="H22" s="34">
        <f t="shared" ref="H22:P22" si="2">G22</f>
        <v>30013500</v>
      </c>
      <c r="I22" s="34">
        <f t="shared" si="2"/>
        <v>30013500</v>
      </c>
      <c r="J22" s="34">
        <f t="shared" si="2"/>
        <v>30013500</v>
      </c>
      <c r="K22" s="34">
        <f t="shared" si="2"/>
        <v>30013500</v>
      </c>
      <c r="L22" s="34">
        <f t="shared" si="2"/>
        <v>30013500</v>
      </c>
      <c r="M22" s="34">
        <f t="shared" si="2"/>
        <v>30013500</v>
      </c>
      <c r="N22" s="34">
        <f t="shared" si="2"/>
        <v>30013500</v>
      </c>
      <c r="O22" s="34">
        <f t="shared" si="2"/>
        <v>30013500</v>
      </c>
      <c r="P22" s="34">
        <f t="shared" si="2"/>
        <v>30013500</v>
      </c>
    </row>
    <row r="23" spans="1:26">
      <c r="A23" s="4"/>
      <c r="C23" s="2"/>
      <c r="D23" s="2"/>
      <c r="E23" s="2"/>
    </row>
    <row r="24" spans="1:26">
      <c r="A24" s="4"/>
      <c r="B24" s="32" t="s">
        <v>6</v>
      </c>
      <c r="C24" s="2"/>
      <c r="D24" s="2"/>
      <c r="E24" s="2"/>
    </row>
    <row r="25" spans="1:26" ht="30" customHeight="1">
      <c r="A25" s="4">
        <f>+A22-1</f>
        <v>-5</v>
      </c>
      <c r="B25" s="19" t="s">
        <v>7</v>
      </c>
      <c r="C25" s="150" t="s">
        <v>128</v>
      </c>
      <c r="D25" s="150"/>
      <c r="E25" s="2"/>
      <c r="F25" s="36">
        <f>100%/10</f>
        <v>0.1</v>
      </c>
      <c r="G25" s="36">
        <f>+F25</f>
        <v>0.1</v>
      </c>
      <c r="H25" s="36">
        <f t="shared" ref="H25:P25" si="3">+G25</f>
        <v>0.1</v>
      </c>
      <c r="I25" s="36">
        <f t="shared" si="3"/>
        <v>0.1</v>
      </c>
      <c r="J25" s="36">
        <f t="shared" si="3"/>
        <v>0.1</v>
      </c>
      <c r="K25" s="36">
        <f t="shared" si="3"/>
        <v>0.1</v>
      </c>
      <c r="L25" s="36">
        <f t="shared" si="3"/>
        <v>0.1</v>
      </c>
      <c r="M25" s="36">
        <f t="shared" si="3"/>
        <v>0.1</v>
      </c>
      <c r="N25" s="36">
        <f t="shared" si="3"/>
        <v>0.1</v>
      </c>
      <c r="O25" s="36">
        <f t="shared" si="3"/>
        <v>0.1</v>
      </c>
      <c r="P25" s="36">
        <f t="shared" si="3"/>
        <v>0.1</v>
      </c>
      <c r="Q25" s="36"/>
    </row>
    <row r="26" spans="1:26">
      <c r="A26" s="4"/>
      <c r="C26" s="2"/>
      <c r="D26" s="2"/>
      <c r="E26" s="2"/>
      <c r="F26" s="29"/>
      <c r="G26" s="36"/>
      <c r="H26" s="36"/>
      <c r="I26" s="36"/>
      <c r="J26" s="36"/>
      <c r="K26" s="36"/>
      <c r="L26" s="36"/>
      <c r="M26" s="36"/>
      <c r="N26" s="36"/>
      <c r="O26" s="36"/>
      <c r="P26" s="36"/>
    </row>
    <row r="27" spans="1:26">
      <c r="A27" s="4"/>
      <c r="B27" s="19" t="s">
        <v>8</v>
      </c>
      <c r="C27" s="33"/>
      <c r="D27" s="33"/>
      <c r="E27" s="33"/>
      <c r="F27" s="28"/>
      <c r="G27" s="33"/>
      <c r="H27" s="33"/>
      <c r="I27" s="33"/>
      <c r="J27" s="33"/>
      <c r="K27" s="33"/>
      <c r="L27" s="33"/>
      <c r="M27" s="33"/>
      <c r="N27" s="33"/>
      <c r="O27" s="33"/>
      <c r="P27" s="33"/>
    </row>
    <row r="28" spans="1:26">
      <c r="A28" s="4">
        <f>+A25-1</f>
        <v>-6</v>
      </c>
      <c r="B28" s="19" t="s">
        <v>9</v>
      </c>
      <c r="C28" s="149" t="s">
        <v>146</v>
      </c>
      <c r="D28" s="149"/>
      <c r="E28" s="2"/>
      <c r="F28" s="25">
        <f>+'Tax Depr 1'!E44</f>
        <v>60072400</v>
      </c>
      <c r="G28" s="25">
        <f>+'Tax Depr 1'!F44</f>
        <v>54106020</v>
      </c>
      <c r="H28" s="25">
        <f>+'Tax Depr 1'!G44</f>
        <v>43284816</v>
      </c>
      <c r="I28" s="25">
        <f>+'Tax Depr 1'!H44</f>
        <v>34627853</v>
      </c>
      <c r="J28" s="25">
        <f>+'Tax Depr 1'!I44</f>
        <v>27714306</v>
      </c>
      <c r="K28" s="25">
        <f>+'Tax Depr 1'!J44</f>
        <v>22153409</v>
      </c>
      <c r="L28" s="25">
        <f>+'Tax Depr 1'!K44</f>
        <v>19688580</v>
      </c>
      <c r="M28" s="25">
        <f>+'Tax Depr 1'!L44</f>
        <v>19688580</v>
      </c>
      <c r="N28" s="25">
        <f>+'Tax Depr 1'!M44</f>
        <v>19718638</v>
      </c>
      <c r="O28" s="25">
        <f>+'Tax Depr 1'!N44</f>
        <v>19688580</v>
      </c>
      <c r="P28" s="25">
        <f>+'Tax Depr 1'!O44</f>
        <v>9859319</v>
      </c>
    </row>
    <row r="29" spans="1:26">
      <c r="A29" s="4">
        <f>+A28-1</f>
        <v>-7</v>
      </c>
      <c r="B29" s="5" t="s">
        <v>10</v>
      </c>
      <c r="C29" s="149" t="s">
        <v>116</v>
      </c>
      <c r="D29" s="149"/>
      <c r="E29" s="2"/>
      <c r="F29" s="34">
        <f>+F28</f>
        <v>60072400</v>
      </c>
      <c r="G29" s="34">
        <f t="shared" ref="G29" si="4">+F29+G28</f>
        <v>114178420</v>
      </c>
      <c r="H29" s="34">
        <f>+G29+H28</f>
        <v>157463236</v>
      </c>
      <c r="I29" s="34">
        <f t="shared" ref="I29:P29" si="5">+H29+I28</f>
        <v>192091089</v>
      </c>
      <c r="J29" s="34">
        <f t="shared" si="5"/>
        <v>219805395</v>
      </c>
      <c r="K29" s="34">
        <f t="shared" si="5"/>
        <v>241958804</v>
      </c>
      <c r="L29" s="34">
        <f t="shared" si="5"/>
        <v>261647384</v>
      </c>
      <c r="M29" s="34">
        <f t="shared" si="5"/>
        <v>281335964</v>
      </c>
      <c r="N29" s="34">
        <f t="shared" si="5"/>
        <v>301054602</v>
      </c>
      <c r="O29" s="34">
        <f t="shared" si="5"/>
        <v>320743182</v>
      </c>
      <c r="P29" s="34">
        <f t="shared" si="5"/>
        <v>330602501</v>
      </c>
    </row>
    <row r="30" spans="1:26">
      <c r="A30" s="4"/>
    </row>
    <row r="31" spans="1:26">
      <c r="A31" s="4">
        <f>+A29-1</f>
        <v>-8</v>
      </c>
      <c r="B31" s="19" t="s">
        <v>12</v>
      </c>
      <c r="C31" s="149" t="s">
        <v>147</v>
      </c>
      <c r="D31" s="149"/>
      <c r="E31" s="2"/>
      <c r="F31" s="25">
        <f>'Tax Depr 1'!E68</f>
        <v>60072400</v>
      </c>
      <c r="G31" s="25">
        <f>'Tax Depr 1'!F68</f>
        <v>54106020</v>
      </c>
      <c r="H31" s="25">
        <f>'Tax Depr 1'!G68</f>
        <v>43284816</v>
      </c>
      <c r="I31" s="25">
        <f>'Tax Depr 1'!H68</f>
        <v>34627853</v>
      </c>
      <c r="J31" s="25">
        <f>'Tax Depr 1'!I68</f>
        <v>27714306</v>
      </c>
      <c r="K31" s="25">
        <f>'Tax Depr 1'!J68</f>
        <v>22153409</v>
      </c>
      <c r="L31" s="25">
        <f>'Tax Depr 1'!K68</f>
        <v>19688580</v>
      </c>
      <c r="M31" s="25">
        <f>'Tax Depr 1'!L68</f>
        <v>19688580</v>
      </c>
      <c r="N31" s="25">
        <f>'Tax Depr 1'!M68</f>
        <v>19718638</v>
      </c>
      <c r="O31" s="25">
        <f>'Tax Depr 1'!N68</f>
        <v>19688580</v>
      </c>
      <c r="P31" s="25">
        <f>'Tax Depr 1'!O68</f>
        <v>9859319</v>
      </c>
    </row>
    <row r="32" spans="1:26">
      <c r="A32" s="4">
        <f>+A31-1</f>
        <v>-9</v>
      </c>
      <c r="B32" s="5" t="s">
        <v>13</v>
      </c>
      <c r="C32" s="149" t="s">
        <v>11</v>
      </c>
      <c r="D32" s="149"/>
      <c r="E32" s="2"/>
      <c r="F32" s="34">
        <f>+F31</f>
        <v>60072400</v>
      </c>
      <c r="G32" s="34">
        <f t="shared" ref="G32" si="6">+F32+G31</f>
        <v>114178420</v>
      </c>
      <c r="H32" s="34">
        <f>+G32+H31</f>
        <v>157463236</v>
      </c>
      <c r="I32" s="34">
        <f t="shared" ref="I32:P32" si="7">+H32+I31</f>
        <v>192091089</v>
      </c>
      <c r="J32" s="34">
        <f t="shared" si="7"/>
        <v>219805395</v>
      </c>
      <c r="K32" s="34">
        <f t="shared" si="7"/>
        <v>241958804</v>
      </c>
      <c r="L32" s="34">
        <f t="shared" si="7"/>
        <v>261647384</v>
      </c>
      <c r="M32" s="34">
        <f t="shared" si="7"/>
        <v>281335964</v>
      </c>
      <c r="N32" s="34">
        <f t="shared" si="7"/>
        <v>301054602</v>
      </c>
      <c r="O32" s="34">
        <f t="shared" si="7"/>
        <v>320743182</v>
      </c>
      <c r="P32" s="34">
        <f t="shared" si="7"/>
        <v>330602501</v>
      </c>
    </row>
    <row r="33" spans="1:17">
      <c r="A33" s="4"/>
      <c r="B33" s="5"/>
      <c r="C33" s="2"/>
      <c r="D33" s="2"/>
      <c r="E33" s="2"/>
      <c r="F33" s="34"/>
      <c r="G33" s="34"/>
      <c r="H33" s="34"/>
      <c r="I33" s="34"/>
      <c r="J33" s="34"/>
      <c r="K33" s="34"/>
      <c r="L33" s="34"/>
      <c r="M33" s="34"/>
      <c r="N33" s="34"/>
      <c r="O33" s="34"/>
      <c r="P33" s="34"/>
    </row>
    <row r="34" spans="1:17" ht="30" customHeight="1">
      <c r="A34" s="4">
        <f>+A32-1</f>
        <v>-10</v>
      </c>
      <c r="B34" s="5" t="s">
        <v>14</v>
      </c>
      <c r="C34" s="150" t="s">
        <v>148</v>
      </c>
      <c r="D34" s="150"/>
      <c r="E34" s="18"/>
      <c r="F34" s="34">
        <f>ROUND(F20*F25*0.5,0)</f>
        <v>15029450</v>
      </c>
      <c r="G34" s="34">
        <f>ROUND(G20*G25,0)</f>
        <v>28137100</v>
      </c>
      <c r="H34" s="34">
        <f t="shared" ref="H34:P34" si="8">ROUND(H20*H25,0)</f>
        <v>26163100</v>
      </c>
      <c r="I34" s="34">
        <f t="shared" si="8"/>
        <v>24137000</v>
      </c>
      <c r="J34" s="34">
        <f t="shared" si="8"/>
        <v>22158100</v>
      </c>
      <c r="K34" s="34">
        <f t="shared" si="8"/>
        <v>22158100</v>
      </c>
      <c r="L34" s="34">
        <f t="shared" si="8"/>
        <v>22158100</v>
      </c>
      <c r="M34" s="34">
        <f t="shared" si="8"/>
        <v>22158100</v>
      </c>
      <c r="N34" s="34">
        <f t="shared" si="8"/>
        <v>22158100</v>
      </c>
      <c r="O34" s="34">
        <f t="shared" si="8"/>
        <v>22158100</v>
      </c>
      <c r="P34" s="34">
        <f t="shared" si="8"/>
        <v>22158100</v>
      </c>
      <c r="Q34" s="34"/>
    </row>
    <row r="35" spans="1:17">
      <c r="A35" s="4">
        <f>+A34-1</f>
        <v>-11</v>
      </c>
      <c r="B35" s="5" t="s">
        <v>15</v>
      </c>
      <c r="C35" s="149" t="s">
        <v>149</v>
      </c>
      <c r="D35" s="149"/>
      <c r="E35" s="2"/>
      <c r="F35" s="34">
        <f>F34</f>
        <v>15029450</v>
      </c>
      <c r="G35" s="34">
        <f t="shared" ref="G35" si="9">+F35+G34</f>
        <v>43166550</v>
      </c>
      <c r="H35" s="34">
        <f>+G35+H34</f>
        <v>69329650</v>
      </c>
      <c r="I35" s="34">
        <f t="shared" ref="I35:P35" si="10">+H35+I34</f>
        <v>93466650</v>
      </c>
      <c r="J35" s="34">
        <f t="shared" si="10"/>
        <v>115624750</v>
      </c>
      <c r="K35" s="34">
        <f t="shared" si="10"/>
        <v>137782850</v>
      </c>
      <c r="L35" s="34">
        <f t="shared" si="10"/>
        <v>159940950</v>
      </c>
      <c r="M35" s="34">
        <f t="shared" si="10"/>
        <v>182099050</v>
      </c>
      <c r="N35" s="34">
        <f t="shared" si="10"/>
        <v>204257150</v>
      </c>
      <c r="O35" s="34">
        <f t="shared" si="10"/>
        <v>226415250</v>
      </c>
      <c r="P35" s="34">
        <f t="shared" si="10"/>
        <v>248573350</v>
      </c>
      <c r="Q35" s="34"/>
    </row>
    <row r="36" spans="1:17">
      <c r="A36" s="4"/>
      <c r="C36" s="2"/>
      <c r="D36" s="2"/>
      <c r="E36" s="2"/>
      <c r="F36" s="34"/>
      <c r="G36" s="34"/>
      <c r="H36" s="34"/>
      <c r="I36" s="34"/>
      <c r="J36" s="34"/>
      <c r="K36" s="34"/>
      <c r="L36" s="34"/>
      <c r="M36" s="34"/>
      <c r="N36" s="34"/>
      <c r="O36" s="34"/>
      <c r="P36" s="34"/>
      <c r="Q36" s="34"/>
    </row>
    <row r="37" spans="1:17">
      <c r="A37" s="4">
        <f>+A35-1</f>
        <v>-12</v>
      </c>
      <c r="B37" s="5" t="s">
        <v>16</v>
      </c>
      <c r="C37" s="149" t="s">
        <v>150</v>
      </c>
      <c r="D37" s="149"/>
      <c r="F37" s="34">
        <f>+F32-F35</f>
        <v>45042950</v>
      </c>
      <c r="G37" s="34">
        <f t="shared" ref="G37:H37" si="11">+G32-G35</f>
        <v>71011870</v>
      </c>
      <c r="H37" s="34">
        <f t="shared" si="11"/>
        <v>88133586</v>
      </c>
      <c r="I37" s="34">
        <f t="shared" ref="I37:P37" si="12">+I32-I35</f>
        <v>98624439</v>
      </c>
      <c r="J37" s="34">
        <f>+J32-J35</f>
        <v>104180645</v>
      </c>
      <c r="K37" s="34">
        <f t="shared" si="12"/>
        <v>104175954</v>
      </c>
      <c r="L37" s="34">
        <f t="shared" si="12"/>
        <v>101706434</v>
      </c>
      <c r="M37" s="34">
        <f t="shared" si="12"/>
        <v>99236914</v>
      </c>
      <c r="N37" s="34">
        <f t="shared" si="12"/>
        <v>96797452</v>
      </c>
      <c r="O37" s="34">
        <f t="shared" si="12"/>
        <v>94327932</v>
      </c>
      <c r="P37" s="34">
        <f t="shared" si="12"/>
        <v>82029151</v>
      </c>
    </row>
    <row r="38" spans="1:17">
      <c r="A38" s="4">
        <f>+A37-1</f>
        <v>-13</v>
      </c>
      <c r="B38" s="5" t="s">
        <v>17</v>
      </c>
      <c r="C38" s="2"/>
      <c r="D38" s="2"/>
      <c r="E38" s="2"/>
      <c r="F38" s="37">
        <v>0.08</v>
      </c>
      <c r="G38" s="37">
        <v>0.08</v>
      </c>
      <c r="H38" s="37">
        <f>+G38</f>
        <v>0.08</v>
      </c>
      <c r="I38" s="37">
        <f t="shared" ref="I38:P38" si="13">+H38</f>
        <v>0.08</v>
      </c>
      <c r="J38" s="37">
        <f t="shared" si="13"/>
        <v>0.08</v>
      </c>
      <c r="K38" s="37">
        <f t="shared" si="13"/>
        <v>0.08</v>
      </c>
      <c r="L38" s="37">
        <f t="shared" si="13"/>
        <v>0.08</v>
      </c>
      <c r="M38" s="37">
        <f t="shared" si="13"/>
        <v>0.08</v>
      </c>
      <c r="N38" s="37">
        <f t="shared" si="13"/>
        <v>0.08</v>
      </c>
      <c r="O38" s="37">
        <f t="shared" si="13"/>
        <v>0.08</v>
      </c>
      <c r="P38" s="37">
        <f t="shared" si="13"/>
        <v>0.08</v>
      </c>
    </row>
    <row r="39" spans="1:17">
      <c r="A39" s="4">
        <f>+A38-1</f>
        <v>-14</v>
      </c>
      <c r="B39" s="5" t="s">
        <v>18</v>
      </c>
      <c r="C39" s="149" t="s">
        <v>111</v>
      </c>
      <c r="D39" s="149"/>
      <c r="E39" s="2"/>
      <c r="F39" s="25">
        <f>ROUND(+F37*F38,0)</f>
        <v>3603436</v>
      </c>
      <c r="G39" s="25">
        <f t="shared" ref="G39:H39" si="14">ROUND(+G37*G38,0)</f>
        <v>5680950</v>
      </c>
      <c r="H39" s="25">
        <f t="shared" si="14"/>
        <v>7050687</v>
      </c>
      <c r="I39" s="25">
        <f t="shared" ref="I39:P39" si="15">ROUND(+I37*I38,0)</f>
        <v>7889955</v>
      </c>
      <c r="J39" s="25">
        <f t="shared" si="15"/>
        <v>8334452</v>
      </c>
      <c r="K39" s="25">
        <f t="shared" si="15"/>
        <v>8334076</v>
      </c>
      <c r="L39" s="25">
        <f t="shared" si="15"/>
        <v>8136515</v>
      </c>
      <c r="M39" s="25">
        <f t="shared" si="15"/>
        <v>7938953</v>
      </c>
      <c r="N39" s="25">
        <f t="shared" si="15"/>
        <v>7743796</v>
      </c>
      <c r="O39" s="25">
        <f t="shared" si="15"/>
        <v>7546235</v>
      </c>
      <c r="P39" s="25">
        <f t="shared" si="15"/>
        <v>6562332</v>
      </c>
    </row>
    <row r="40" spans="1:17" ht="30.6" customHeight="1">
      <c r="A40" s="4" t="s">
        <v>151</v>
      </c>
      <c r="B40" s="5" t="s">
        <v>63</v>
      </c>
      <c r="C40" s="150" t="s">
        <v>109</v>
      </c>
      <c r="D40" s="150"/>
      <c r="E40" s="30"/>
      <c r="F40" s="35">
        <v>0</v>
      </c>
      <c r="G40" s="35">
        <v>0</v>
      </c>
      <c r="H40" s="35">
        <v>0</v>
      </c>
      <c r="I40" s="35">
        <v>0</v>
      </c>
      <c r="J40" s="35">
        <v>0</v>
      </c>
      <c r="K40" s="35">
        <v>0</v>
      </c>
      <c r="L40" s="35">
        <v>0</v>
      </c>
      <c r="M40" s="35">
        <v>0</v>
      </c>
      <c r="N40" s="35">
        <v>0</v>
      </c>
      <c r="O40" s="35">
        <v>0</v>
      </c>
      <c r="P40" s="35">
        <v>0</v>
      </c>
    </row>
    <row r="41" spans="1:17">
      <c r="A41" s="4" t="s">
        <v>156</v>
      </c>
      <c r="B41" s="5" t="s">
        <v>64</v>
      </c>
      <c r="C41" s="149" t="s">
        <v>152</v>
      </c>
      <c r="D41" s="149"/>
      <c r="E41" s="2"/>
      <c r="F41" s="25">
        <f>+F39+F40</f>
        <v>3603436</v>
      </c>
      <c r="G41" s="25">
        <f t="shared" ref="G41:H41" si="16">+G39+G40</f>
        <v>5680950</v>
      </c>
      <c r="H41" s="25">
        <f t="shared" si="16"/>
        <v>7050687</v>
      </c>
      <c r="I41" s="25">
        <f t="shared" ref="I41:P41" si="17">+I39+I40</f>
        <v>7889955</v>
      </c>
      <c r="J41" s="25">
        <f t="shared" si="17"/>
        <v>8334452</v>
      </c>
      <c r="K41" s="25">
        <f t="shared" si="17"/>
        <v>8334076</v>
      </c>
      <c r="L41" s="25">
        <f t="shared" si="17"/>
        <v>8136515</v>
      </c>
      <c r="M41" s="25">
        <f t="shared" si="17"/>
        <v>7938953</v>
      </c>
      <c r="N41" s="25">
        <f t="shared" si="17"/>
        <v>7743796</v>
      </c>
      <c r="O41" s="25">
        <f t="shared" si="17"/>
        <v>7546235</v>
      </c>
      <c r="P41" s="25">
        <f t="shared" si="17"/>
        <v>6562332</v>
      </c>
    </row>
    <row r="42" spans="1:17">
      <c r="A42" s="4"/>
      <c r="B42" s="5"/>
      <c r="C42" s="2"/>
      <c r="D42" s="2"/>
      <c r="E42" s="2"/>
      <c r="F42" s="25"/>
      <c r="G42" s="25"/>
      <c r="H42" s="25"/>
      <c r="I42" s="25"/>
      <c r="J42" s="25"/>
      <c r="K42" s="25"/>
      <c r="L42" s="25"/>
      <c r="M42" s="25"/>
      <c r="N42" s="25"/>
      <c r="O42" s="25"/>
      <c r="P42" s="25"/>
    </row>
    <row r="43" spans="1:17">
      <c r="A43" s="4">
        <f>+A39-1</f>
        <v>-15</v>
      </c>
      <c r="B43" s="5" t="s">
        <v>19</v>
      </c>
      <c r="C43" s="149" t="s">
        <v>153</v>
      </c>
      <c r="D43" s="149"/>
      <c r="E43" s="2"/>
      <c r="F43" s="34">
        <f>+F29-F35</f>
        <v>45042950</v>
      </c>
      <c r="G43" s="34">
        <f t="shared" ref="G43:H43" si="18">+G29-G35</f>
        <v>71011870</v>
      </c>
      <c r="H43" s="34">
        <f t="shared" si="18"/>
        <v>88133586</v>
      </c>
      <c r="I43" s="34">
        <f t="shared" ref="I43:P43" si="19">+I29-I35</f>
        <v>98624439</v>
      </c>
      <c r="J43" s="34">
        <f t="shared" si="19"/>
        <v>104180645</v>
      </c>
      <c r="K43" s="34">
        <f t="shared" si="19"/>
        <v>104175954</v>
      </c>
      <c r="L43" s="34">
        <f t="shared" si="19"/>
        <v>101706434</v>
      </c>
      <c r="M43" s="34">
        <f t="shared" si="19"/>
        <v>99236914</v>
      </c>
      <c r="N43" s="34">
        <f t="shared" si="19"/>
        <v>96797452</v>
      </c>
      <c r="O43" s="34">
        <f t="shared" si="19"/>
        <v>94327932</v>
      </c>
      <c r="P43" s="34">
        <f t="shared" si="19"/>
        <v>82029151</v>
      </c>
    </row>
    <row r="44" spans="1:17">
      <c r="A44" s="4">
        <f>+A43-1</f>
        <v>-16</v>
      </c>
      <c r="B44" s="5" t="s">
        <v>20</v>
      </c>
      <c r="C44" s="2"/>
      <c r="D44" s="2"/>
      <c r="E44" s="2"/>
      <c r="F44" s="37">
        <v>0.21</v>
      </c>
      <c r="G44" s="37">
        <f>+F44</f>
        <v>0.21</v>
      </c>
      <c r="H44" s="37">
        <f>+G44</f>
        <v>0.21</v>
      </c>
      <c r="I44" s="37">
        <f t="shared" ref="I44:P44" si="20">+H44</f>
        <v>0.21</v>
      </c>
      <c r="J44" s="37">
        <f t="shared" si="20"/>
        <v>0.21</v>
      </c>
      <c r="K44" s="37">
        <f t="shared" si="20"/>
        <v>0.21</v>
      </c>
      <c r="L44" s="37">
        <f t="shared" si="20"/>
        <v>0.21</v>
      </c>
      <c r="M44" s="37">
        <f t="shared" si="20"/>
        <v>0.21</v>
      </c>
      <c r="N44" s="37">
        <f t="shared" si="20"/>
        <v>0.21</v>
      </c>
      <c r="O44" s="37">
        <f t="shared" si="20"/>
        <v>0.21</v>
      </c>
      <c r="P44" s="37">
        <f t="shared" si="20"/>
        <v>0.21</v>
      </c>
    </row>
    <row r="45" spans="1:17">
      <c r="A45" s="4">
        <f>+A44-1</f>
        <v>-17</v>
      </c>
      <c r="B45" s="5" t="s">
        <v>21</v>
      </c>
      <c r="C45" s="149" t="s">
        <v>154</v>
      </c>
      <c r="D45" s="149"/>
      <c r="E45" s="2"/>
      <c r="F45" s="39">
        <f t="shared" ref="F45:H45" si="21">ROUND(+F43*F44,0)</f>
        <v>9459020</v>
      </c>
      <c r="G45" s="39">
        <f t="shared" si="21"/>
        <v>14912493</v>
      </c>
      <c r="H45" s="39">
        <f t="shared" si="21"/>
        <v>18508053</v>
      </c>
      <c r="I45" s="39">
        <f t="shared" ref="I45:P45" si="22">ROUND(+I43*I44,0)</f>
        <v>20711132</v>
      </c>
      <c r="J45" s="39">
        <f t="shared" si="22"/>
        <v>21877935</v>
      </c>
      <c r="K45" s="39">
        <f t="shared" si="22"/>
        <v>21876950</v>
      </c>
      <c r="L45" s="39">
        <f t="shared" si="22"/>
        <v>21358351</v>
      </c>
      <c r="M45" s="39">
        <f t="shared" si="22"/>
        <v>20839752</v>
      </c>
      <c r="N45" s="39">
        <f t="shared" si="22"/>
        <v>20327465</v>
      </c>
      <c r="O45" s="39">
        <f t="shared" si="22"/>
        <v>19808866</v>
      </c>
      <c r="P45" s="39">
        <f t="shared" si="22"/>
        <v>17226122</v>
      </c>
    </row>
    <row r="46" spans="1:17" ht="45" customHeight="1">
      <c r="A46" s="4">
        <f>+A45-1</f>
        <v>-18</v>
      </c>
      <c r="B46" s="75" t="s">
        <v>60</v>
      </c>
      <c r="C46" s="150" t="s">
        <v>155</v>
      </c>
      <c r="D46" s="150"/>
      <c r="E46" s="71"/>
      <c r="F46" s="25">
        <f t="shared" ref="F46:H46" si="23">IF(F41&gt;0,-21%*F41,0)</f>
        <v>-756721.55999999994</v>
      </c>
      <c r="G46" s="25">
        <f t="shared" si="23"/>
        <v>-1192999.5</v>
      </c>
      <c r="H46" s="25">
        <f t="shared" si="23"/>
        <v>-1480644.27</v>
      </c>
      <c r="I46" s="25">
        <f t="shared" ref="I46:P46" si="24">IF(I41&gt;0,-21%*I41,0)</f>
        <v>-1656890.55</v>
      </c>
      <c r="J46" s="25">
        <f t="shared" si="24"/>
        <v>-1750234.92</v>
      </c>
      <c r="K46" s="25">
        <f t="shared" si="24"/>
        <v>-1750155.96</v>
      </c>
      <c r="L46" s="25">
        <f t="shared" si="24"/>
        <v>-1708668.15</v>
      </c>
      <c r="M46" s="25">
        <f t="shared" si="24"/>
        <v>-1667180.13</v>
      </c>
      <c r="N46" s="25">
        <f t="shared" si="24"/>
        <v>-1626197.16</v>
      </c>
      <c r="O46" s="25">
        <f t="shared" si="24"/>
        <v>-1584709.3499999999</v>
      </c>
      <c r="P46" s="25">
        <f t="shared" si="24"/>
        <v>-1378089.72</v>
      </c>
    </row>
    <row r="47" spans="1:17" ht="30" customHeight="1">
      <c r="A47" s="4">
        <f t="shared" ref="A47:A48" si="25">+A46-1</f>
        <v>-19</v>
      </c>
      <c r="B47" s="19" t="s">
        <v>51</v>
      </c>
      <c r="C47" s="150" t="s">
        <v>109</v>
      </c>
      <c r="D47" s="150"/>
      <c r="E47" s="30"/>
      <c r="F47" s="38">
        <v>0</v>
      </c>
      <c r="G47" s="35">
        <f>F47</f>
        <v>0</v>
      </c>
      <c r="H47" s="35">
        <f>G47</f>
        <v>0</v>
      </c>
      <c r="I47" s="35">
        <f t="shared" ref="I47:P47" si="26">H47</f>
        <v>0</v>
      </c>
      <c r="J47" s="35">
        <f t="shared" si="26"/>
        <v>0</v>
      </c>
      <c r="K47" s="35">
        <f t="shared" si="26"/>
        <v>0</v>
      </c>
      <c r="L47" s="35">
        <f t="shared" si="26"/>
        <v>0</v>
      </c>
      <c r="M47" s="35">
        <f t="shared" si="26"/>
        <v>0</v>
      </c>
      <c r="N47" s="35">
        <f t="shared" si="26"/>
        <v>0</v>
      </c>
      <c r="O47" s="35">
        <f t="shared" si="26"/>
        <v>0</v>
      </c>
      <c r="P47" s="35">
        <f t="shared" si="26"/>
        <v>0</v>
      </c>
    </row>
    <row r="48" spans="1:17">
      <c r="A48" s="4">
        <f t="shared" si="25"/>
        <v>-20</v>
      </c>
      <c r="B48" s="5" t="s">
        <v>61</v>
      </c>
      <c r="C48" s="149" t="s">
        <v>157</v>
      </c>
      <c r="D48" s="149"/>
      <c r="E48" s="2"/>
      <c r="F48" s="25">
        <f>SUM(F45:F47)</f>
        <v>8702298.4399999995</v>
      </c>
      <c r="G48" s="25">
        <f t="shared" ref="G48:H48" si="27">SUM(G45:G47)</f>
        <v>13719493.5</v>
      </c>
      <c r="H48" s="25">
        <f t="shared" si="27"/>
        <v>17027408.73</v>
      </c>
      <c r="I48" s="25">
        <f t="shared" ref="I48:P48" si="28">SUM(I45:I47)</f>
        <v>19054241.449999999</v>
      </c>
      <c r="J48" s="25">
        <f t="shared" si="28"/>
        <v>20127700.079999998</v>
      </c>
      <c r="K48" s="25">
        <f t="shared" si="28"/>
        <v>20126794.039999999</v>
      </c>
      <c r="L48" s="25">
        <f t="shared" si="28"/>
        <v>19649682.850000001</v>
      </c>
      <c r="M48" s="25">
        <f t="shared" si="28"/>
        <v>19172571.870000001</v>
      </c>
      <c r="N48" s="25">
        <f t="shared" si="28"/>
        <v>18701267.84</v>
      </c>
      <c r="O48" s="25">
        <f t="shared" si="28"/>
        <v>18224156.649999999</v>
      </c>
      <c r="P48" s="25">
        <f t="shared" si="28"/>
        <v>15848032.279999999</v>
      </c>
    </row>
    <row r="49" spans="1:16">
      <c r="A49" s="4"/>
      <c r="B49" s="5"/>
      <c r="C49" s="2"/>
      <c r="D49" s="2"/>
      <c r="E49" s="2"/>
      <c r="F49" s="25"/>
      <c r="G49" s="25"/>
      <c r="H49" s="25"/>
      <c r="I49" s="25"/>
      <c r="J49" s="25"/>
      <c r="K49" s="25"/>
      <c r="L49" s="25"/>
      <c r="M49" s="25"/>
      <c r="N49" s="25"/>
      <c r="O49" s="25"/>
      <c r="P49" s="25"/>
    </row>
    <row r="50" spans="1:16" ht="15.75" thickBot="1">
      <c r="A50" s="4">
        <f>+A48-1</f>
        <v>-21</v>
      </c>
      <c r="B50" s="19" t="s">
        <v>22</v>
      </c>
      <c r="C50" s="2" t="s">
        <v>158</v>
      </c>
      <c r="D50" s="2"/>
      <c r="E50" s="2"/>
      <c r="F50" s="40">
        <f>+F48+F41</f>
        <v>12305734.439999999</v>
      </c>
      <c r="G50" s="40">
        <f t="shared" ref="G50:H50" si="29">+G48+G41</f>
        <v>19400443.5</v>
      </c>
      <c r="H50" s="40">
        <f t="shared" si="29"/>
        <v>24078095.73</v>
      </c>
      <c r="I50" s="40">
        <f t="shared" ref="I50:P50" si="30">+I48+I41</f>
        <v>26944196.449999999</v>
      </c>
      <c r="J50" s="40">
        <f t="shared" si="30"/>
        <v>28462152.079999998</v>
      </c>
      <c r="K50" s="40">
        <f t="shared" si="30"/>
        <v>28460870.039999999</v>
      </c>
      <c r="L50" s="40">
        <f t="shared" si="30"/>
        <v>27786197.850000001</v>
      </c>
      <c r="M50" s="40">
        <f t="shared" si="30"/>
        <v>27111524.870000001</v>
      </c>
      <c r="N50" s="40">
        <f t="shared" si="30"/>
        <v>26445063.84</v>
      </c>
      <c r="O50" s="40">
        <f t="shared" si="30"/>
        <v>25770391.649999999</v>
      </c>
      <c r="P50" s="40">
        <f t="shared" si="30"/>
        <v>22410364.280000001</v>
      </c>
    </row>
    <row r="51" spans="1:16" ht="15.75" thickTop="1">
      <c r="A51" s="4"/>
      <c r="C51" s="2"/>
      <c r="D51" s="2"/>
      <c r="E51" s="2"/>
      <c r="F51" s="33"/>
      <c r="G51" s="33"/>
      <c r="H51" s="33"/>
      <c r="I51" s="33"/>
      <c r="J51" s="33"/>
      <c r="K51" s="33"/>
      <c r="L51" s="33"/>
      <c r="M51" s="33"/>
      <c r="N51" s="33"/>
      <c r="O51" s="33"/>
      <c r="P51" s="33"/>
    </row>
    <row r="52" spans="1:16">
      <c r="A52" s="4"/>
      <c r="B52" s="7" t="s">
        <v>23</v>
      </c>
      <c r="C52" s="8"/>
      <c r="D52" s="8"/>
      <c r="E52" s="8"/>
    </row>
    <row r="53" spans="1:16">
      <c r="A53" s="4">
        <f>+A50-1</f>
        <v>-22</v>
      </c>
      <c r="B53" s="19" t="s">
        <v>115</v>
      </c>
      <c r="C53" s="149" t="s">
        <v>39</v>
      </c>
      <c r="D53" s="149"/>
      <c r="E53" s="63"/>
      <c r="F53" s="34">
        <f t="shared" ref="F53:P53" si="31">+F20</f>
        <v>300589000</v>
      </c>
      <c r="G53" s="34">
        <f t="shared" si="31"/>
        <v>281371000</v>
      </c>
      <c r="H53" s="34">
        <f t="shared" si="31"/>
        <v>261631000</v>
      </c>
      <c r="I53" s="34">
        <f t="shared" si="31"/>
        <v>241370000</v>
      </c>
      <c r="J53" s="34">
        <f t="shared" si="31"/>
        <v>221581000</v>
      </c>
      <c r="K53" s="34">
        <f t="shared" si="31"/>
        <v>221581000</v>
      </c>
      <c r="L53" s="34">
        <f t="shared" si="31"/>
        <v>221581000</v>
      </c>
      <c r="M53" s="34">
        <f t="shared" si="31"/>
        <v>221581000</v>
      </c>
      <c r="N53" s="34">
        <f t="shared" si="31"/>
        <v>221581000</v>
      </c>
      <c r="O53" s="34">
        <f t="shared" si="31"/>
        <v>221581000</v>
      </c>
      <c r="P53" s="34">
        <f t="shared" si="31"/>
        <v>221581000</v>
      </c>
    </row>
    <row r="54" spans="1:16">
      <c r="A54" s="4">
        <f>+A53-1</f>
        <v>-23</v>
      </c>
      <c r="B54" s="19" t="s">
        <v>24</v>
      </c>
      <c r="C54" s="148" t="s">
        <v>159</v>
      </c>
      <c r="D54" s="149"/>
      <c r="E54" s="63"/>
      <c r="F54" s="34">
        <f>-F35</f>
        <v>-15029450</v>
      </c>
      <c r="G54" s="34">
        <f t="shared" ref="G54:H54" si="32">-G35</f>
        <v>-43166550</v>
      </c>
      <c r="H54" s="34">
        <f t="shared" si="32"/>
        <v>-69329650</v>
      </c>
      <c r="I54" s="34">
        <f t="shared" ref="I54:P54" si="33">-I35</f>
        <v>-93466650</v>
      </c>
      <c r="J54" s="34">
        <f t="shared" si="33"/>
        <v>-115624750</v>
      </c>
      <c r="K54" s="34">
        <f t="shared" si="33"/>
        <v>-137782850</v>
      </c>
      <c r="L54" s="34">
        <f t="shared" si="33"/>
        <v>-159940950</v>
      </c>
      <c r="M54" s="34">
        <f t="shared" si="33"/>
        <v>-182099050</v>
      </c>
      <c r="N54" s="34">
        <f t="shared" si="33"/>
        <v>-204257150</v>
      </c>
      <c r="O54" s="34">
        <f t="shared" si="33"/>
        <v>-226415250</v>
      </c>
      <c r="P54" s="34">
        <f t="shared" si="33"/>
        <v>-248573350</v>
      </c>
    </row>
    <row r="55" spans="1:16">
      <c r="A55" s="4">
        <f>+A54-1</f>
        <v>-24</v>
      </c>
      <c r="B55" s="19" t="s">
        <v>25</v>
      </c>
      <c r="C55" s="148" t="s">
        <v>160</v>
      </c>
      <c r="D55" s="149"/>
      <c r="E55" s="63"/>
      <c r="F55" s="25">
        <f>-F50</f>
        <v>-12305734.439999999</v>
      </c>
      <c r="G55" s="25">
        <f t="shared" ref="G55:H55" si="34">-G50</f>
        <v>-19400443.5</v>
      </c>
      <c r="H55" s="25">
        <f t="shared" si="34"/>
        <v>-24078095.73</v>
      </c>
      <c r="I55" s="25">
        <f t="shared" ref="I55:P55" si="35">-I50</f>
        <v>-26944196.449999999</v>
      </c>
      <c r="J55" s="25">
        <f t="shared" si="35"/>
        <v>-28462152.079999998</v>
      </c>
      <c r="K55" s="25">
        <f t="shared" si="35"/>
        <v>-28460870.039999999</v>
      </c>
      <c r="L55" s="25">
        <f t="shared" si="35"/>
        <v>-27786197.850000001</v>
      </c>
      <c r="M55" s="25">
        <f t="shared" si="35"/>
        <v>-27111524.870000001</v>
      </c>
      <c r="N55" s="25">
        <f t="shared" si="35"/>
        <v>-26445063.84</v>
      </c>
      <c r="O55" s="25">
        <f t="shared" si="35"/>
        <v>-25770391.649999999</v>
      </c>
      <c r="P55" s="25">
        <f t="shared" si="35"/>
        <v>-22410364.280000001</v>
      </c>
    </row>
    <row r="56" spans="1:16">
      <c r="A56" s="4">
        <f t="shared" ref="A56:A57" si="36">+A55-1</f>
        <v>-25</v>
      </c>
      <c r="B56" s="19" t="s">
        <v>135</v>
      </c>
      <c r="C56" s="148" t="s">
        <v>136</v>
      </c>
      <c r="D56" s="149"/>
      <c r="E56" s="63"/>
      <c r="F56" s="34">
        <f>+F22</f>
        <v>30013500</v>
      </c>
      <c r="G56" s="34">
        <f t="shared" ref="G56:P56" si="37">+G22</f>
        <v>30013500</v>
      </c>
      <c r="H56" s="34">
        <f t="shared" si="37"/>
        <v>30013500</v>
      </c>
      <c r="I56" s="34">
        <f t="shared" si="37"/>
        <v>30013500</v>
      </c>
      <c r="J56" s="34">
        <f t="shared" si="37"/>
        <v>30013500</v>
      </c>
      <c r="K56" s="34">
        <f t="shared" si="37"/>
        <v>30013500</v>
      </c>
      <c r="L56" s="34">
        <f t="shared" si="37"/>
        <v>30013500</v>
      </c>
      <c r="M56" s="34">
        <f t="shared" si="37"/>
        <v>30013500</v>
      </c>
      <c r="N56" s="34">
        <f t="shared" si="37"/>
        <v>30013500</v>
      </c>
      <c r="O56" s="34">
        <f t="shared" si="37"/>
        <v>30013500</v>
      </c>
      <c r="P56" s="34">
        <f t="shared" si="37"/>
        <v>30013500</v>
      </c>
    </row>
    <row r="57" spans="1:16" ht="15.75" thickBot="1">
      <c r="A57" s="4">
        <f t="shared" si="36"/>
        <v>-26</v>
      </c>
      <c r="B57" s="19" t="s">
        <v>26</v>
      </c>
      <c r="C57" s="149" t="s">
        <v>161</v>
      </c>
      <c r="D57" s="149"/>
      <c r="E57" s="63"/>
      <c r="F57" s="40">
        <f>SUM(F53:F56)</f>
        <v>303267315.56</v>
      </c>
      <c r="G57" s="40">
        <f t="shared" ref="G57:H57" si="38">SUM(G53:G56)</f>
        <v>248817506.5</v>
      </c>
      <c r="H57" s="40">
        <f t="shared" si="38"/>
        <v>198236754.27000001</v>
      </c>
      <c r="I57" s="40">
        <f t="shared" ref="I57:P57" si="39">SUM(I53:I56)</f>
        <v>150972653.55000001</v>
      </c>
      <c r="J57" s="40">
        <f t="shared" si="39"/>
        <v>107507597.92</v>
      </c>
      <c r="K57" s="40">
        <f t="shared" si="39"/>
        <v>85350779.960000008</v>
      </c>
      <c r="L57" s="40">
        <f t="shared" si="39"/>
        <v>63867352.149999999</v>
      </c>
      <c r="M57" s="40">
        <f t="shared" si="39"/>
        <v>42383925.129999995</v>
      </c>
      <c r="N57" s="40">
        <f t="shared" si="39"/>
        <v>20892286.16</v>
      </c>
      <c r="O57" s="40">
        <f t="shared" si="39"/>
        <v>-591141.64999999851</v>
      </c>
      <c r="P57" s="40">
        <f t="shared" si="39"/>
        <v>-19389214.280000001</v>
      </c>
    </row>
    <row r="58" spans="1:16" ht="15.75" thickTop="1">
      <c r="A58" s="4"/>
      <c r="C58" s="2"/>
      <c r="D58" s="2"/>
      <c r="E58" s="2"/>
    </row>
    <row r="59" spans="1:16">
      <c r="A59" s="4"/>
      <c r="B59" s="32" t="s">
        <v>27</v>
      </c>
      <c r="C59" s="8"/>
      <c r="D59" s="8"/>
      <c r="E59" s="8"/>
      <c r="F59" s="41"/>
      <c r="G59" s="41"/>
      <c r="H59" s="41"/>
      <c r="I59" s="41"/>
      <c r="J59" s="41"/>
      <c r="K59" s="41"/>
      <c r="L59" s="41"/>
      <c r="M59" s="41"/>
      <c r="N59" s="41"/>
      <c r="O59" s="41"/>
      <c r="P59" s="41"/>
    </row>
    <row r="60" spans="1:16" ht="30.75" customHeight="1">
      <c r="A60" s="4">
        <f>A57-1</f>
        <v>-27</v>
      </c>
      <c r="B60" s="19" t="s">
        <v>28</v>
      </c>
      <c r="C60" s="150" t="s">
        <v>162</v>
      </c>
      <c r="D60" s="150"/>
      <c r="E60" s="6"/>
      <c r="F60" s="25">
        <f>ROUND((0+F57)/2,0)</f>
        <v>151633658</v>
      </c>
      <c r="G60" s="25">
        <f t="shared" ref="G60" si="40">ROUND((F57+G57)/2,0)</f>
        <v>276042411</v>
      </c>
      <c r="H60" s="25">
        <f>ROUND((G57+H57)/2,0)</f>
        <v>223527130</v>
      </c>
      <c r="I60" s="25">
        <f t="shared" ref="I60:P60" si="41">ROUND((H57+I57)/2,0)</f>
        <v>174604704</v>
      </c>
      <c r="J60" s="25">
        <f t="shared" si="41"/>
        <v>129240126</v>
      </c>
      <c r="K60" s="25">
        <f t="shared" si="41"/>
        <v>96429189</v>
      </c>
      <c r="L60" s="25">
        <f t="shared" si="41"/>
        <v>74609066</v>
      </c>
      <c r="M60" s="25">
        <f t="shared" si="41"/>
        <v>53125639</v>
      </c>
      <c r="N60" s="25">
        <f t="shared" si="41"/>
        <v>31638106</v>
      </c>
      <c r="O60" s="25">
        <f t="shared" si="41"/>
        <v>10150572</v>
      </c>
      <c r="P60" s="25">
        <f t="shared" si="41"/>
        <v>-9990178</v>
      </c>
    </row>
    <row r="61" spans="1:16" ht="15" customHeight="1">
      <c r="A61" s="4">
        <f>+A60-1</f>
        <v>-28</v>
      </c>
      <c r="B61" s="19" t="s">
        <v>29</v>
      </c>
      <c r="C61" s="150" t="s">
        <v>110</v>
      </c>
      <c r="D61" s="150"/>
      <c r="E61" s="63"/>
      <c r="F61" s="42">
        <f>+'Cap Struct MECO Rate Case'!L24</f>
        <v>9.4899999999999998E-2</v>
      </c>
      <c r="G61" s="42">
        <f>+F61</f>
        <v>9.4899999999999998E-2</v>
      </c>
      <c r="H61" s="42">
        <f>+G61</f>
        <v>9.4899999999999998E-2</v>
      </c>
      <c r="I61" s="42">
        <f>+H61</f>
        <v>9.4899999999999998E-2</v>
      </c>
      <c r="J61" s="42">
        <f t="shared" ref="J61:P61" si="42">+I61</f>
        <v>9.4899999999999998E-2</v>
      </c>
      <c r="K61" s="42">
        <f t="shared" si="42"/>
        <v>9.4899999999999998E-2</v>
      </c>
      <c r="L61" s="42">
        <f t="shared" si="42"/>
        <v>9.4899999999999998E-2</v>
      </c>
      <c r="M61" s="42">
        <f t="shared" si="42"/>
        <v>9.4899999999999998E-2</v>
      </c>
      <c r="N61" s="42">
        <f t="shared" si="42"/>
        <v>9.4899999999999998E-2</v>
      </c>
      <c r="O61" s="42">
        <f t="shared" si="42"/>
        <v>9.4899999999999998E-2</v>
      </c>
      <c r="P61" s="42">
        <f t="shared" si="42"/>
        <v>9.4899999999999998E-2</v>
      </c>
    </row>
    <row r="62" spans="1:16">
      <c r="A62" s="4">
        <f>+A61-1</f>
        <v>-29</v>
      </c>
      <c r="B62" s="19" t="s">
        <v>30</v>
      </c>
      <c r="C62" s="149" t="s">
        <v>163</v>
      </c>
      <c r="D62" s="149"/>
      <c r="E62" s="63"/>
      <c r="F62" s="34">
        <f t="shared" ref="F62:H62" si="43">ROUND(F60*F61,0)</f>
        <v>14390034</v>
      </c>
      <c r="G62" s="34">
        <f>ROUND(G60*G61,0)</f>
        <v>26196425</v>
      </c>
      <c r="H62" s="34">
        <f t="shared" si="43"/>
        <v>21212725</v>
      </c>
      <c r="I62" s="34">
        <f t="shared" ref="I62:P62" si="44">ROUND(I60*I61,0)</f>
        <v>16569986</v>
      </c>
      <c r="J62" s="34">
        <f t="shared" si="44"/>
        <v>12264888</v>
      </c>
      <c r="K62" s="34">
        <f t="shared" si="44"/>
        <v>9151130</v>
      </c>
      <c r="L62" s="34">
        <f t="shared" si="44"/>
        <v>7080400</v>
      </c>
      <c r="M62" s="34">
        <f t="shared" si="44"/>
        <v>5041623</v>
      </c>
      <c r="N62" s="34">
        <f t="shared" si="44"/>
        <v>3002456</v>
      </c>
      <c r="O62" s="34">
        <f t="shared" si="44"/>
        <v>963289</v>
      </c>
      <c r="P62" s="34">
        <f t="shared" si="44"/>
        <v>-948068</v>
      </c>
    </row>
    <row r="63" spans="1:16">
      <c r="A63" s="4">
        <f>A62-1</f>
        <v>-30</v>
      </c>
      <c r="B63" s="19" t="s">
        <v>14</v>
      </c>
      <c r="C63" s="149" t="s">
        <v>164</v>
      </c>
      <c r="D63" s="149"/>
      <c r="E63" s="63"/>
      <c r="F63" s="34">
        <f>F34</f>
        <v>15029450</v>
      </c>
      <c r="G63" s="34">
        <f>G34</f>
        <v>28137100</v>
      </c>
      <c r="H63" s="34">
        <f>H34</f>
        <v>26163100</v>
      </c>
      <c r="I63" s="34">
        <f t="shared" ref="I63:P63" si="45">I34</f>
        <v>24137000</v>
      </c>
      <c r="J63" s="34">
        <f t="shared" si="45"/>
        <v>22158100</v>
      </c>
      <c r="K63" s="34">
        <f t="shared" si="45"/>
        <v>22158100</v>
      </c>
      <c r="L63" s="34">
        <f t="shared" si="45"/>
        <v>22158100</v>
      </c>
      <c r="M63" s="34">
        <f t="shared" si="45"/>
        <v>22158100</v>
      </c>
      <c r="N63" s="34">
        <f t="shared" si="45"/>
        <v>22158100</v>
      </c>
      <c r="O63" s="34">
        <f t="shared" si="45"/>
        <v>22158100</v>
      </c>
      <c r="P63" s="34">
        <f t="shared" si="45"/>
        <v>22158100</v>
      </c>
    </row>
    <row r="64" spans="1:16" ht="62.25" customHeight="1">
      <c r="A64" s="4">
        <f>++A63-1</f>
        <v>-31</v>
      </c>
      <c r="B64" s="82" t="s">
        <v>59</v>
      </c>
      <c r="C64" s="150" t="s">
        <v>165</v>
      </c>
      <c r="D64" s="150"/>
      <c r="E64" s="81" t="s">
        <v>32</v>
      </c>
      <c r="F64" s="34">
        <v>0</v>
      </c>
      <c r="G64" s="34">
        <f>(($F$20-F35)*$F$75)/2</f>
        <v>3383880.6675</v>
      </c>
      <c r="H64" s="34">
        <f>(($F$20-G35)*$F$75)</f>
        <v>6100912.0649999995</v>
      </c>
      <c r="I64" s="34">
        <f t="shared" ref="I64:P64" si="46">(($F$20-H35)*$F$75)</f>
        <v>5480846.5949999997</v>
      </c>
      <c r="J64" s="34">
        <f t="shared" si="46"/>
        <v>4908799.6949999994</v>
      </c>
      <c r="K64" s="34">
        <f t="shared" si="46"/>
        <v>4383652.7249999996</v>
      </c>
      <c r="L64" s="34">
        <f t="shared" si="46"/>
        <v>3858505.7549999999</v>
      </c>
      <c r="M64" s="34">
        <f t="shared" si="46"/>
        <v>3333358.7849999997</v>
      </c>
      <c r="N64" s="34">
        <f t="shared" si="46"/>
        <v>2808211.8149999999</v>
      </c>
      <c r="O64" s="34">
        <f t="shared" si="46"/>
        <v>2283064.8449999997</v>
      </c>
      <c r="P64" s="34">
        <f t="shared" si="46"/>
        <v>1757917.875</v>
      </c>
    </row>
    <row r="65" spans="1:28" ht="31.5" customHeight="1" thickBot="1">
      <c r="A65" s="83">
        <f t="shared" ref="A65" si="47">++A64-1</f>
        <v>-32</v>
      </c>
      <c r="B65" s="84" t="s">
        <v>31</v>
      </c>
      <c r="C65" s="149" t="s">
        <v>166</v>
      </c>
      <c r="D65" s="149"/>
      <c r="E65" s="30"/>
      <c r="F65" s="40">
        <f>SUM(F62:F64)</f>
        <v>29419484</v>
      </c>
      <c r="G65" s="40">
        <f>SUM(G62:G64)</f>
        <v>57717405.667499997</v>
      </c>
      <c r="H65" s="40">
        <f>SUM(H62:H64)</f>
        <v>53476737.064999998</v>
      </c>
      <c r="I65" s="40">
        <f t="shared" ref="I65:P65" si="48">SUM(I62:I64)</f>
        <v>46187832.594999999</v>
      </c>
      <c r="J65" s="40">
        <f t="shared" si="48"/>
        <v>39331787.695</v>
      </c>
      <c r="K65" s="40">
        <f t="shared" si="48"/>
        <v>35692882.725000001</v>
      </c>
      <c r="L65" s="40">
        <f t="shared" si="48"/>
        <v>33097005.754999999</v>
      </c>
      <c r="M65" s="40">
        <f t="shared" si="48"/>
        <v>30533081.785</v>
      </c>
      <c r="N65" s="40">
        <f t="shared" si="48"/>
        <v>27968767.815000001</v>
      </c>
      <c r="O65" s="40">
        <f t="shared" si="48"/>
        <v>25404453.844999999</v>
      </c>
      <c r="P65" s="40">
        <f t="shared" si="48"/>
        <v>22967949.875</v>
      </c>
      <c r="Q65" s="89">
        <f>SUM(F65:P65)</f>
        <v>401797388.82249999</v>
      </c>
    </row>
    <row r="66" spans="1:28" ht="15.75" thickTop="1">
      <c r="A66" s="4"/>
      <c r="C66" s="149"/>
      <c r="D66" s="149"/>
      <c r="E66" s="2"/>
      <c r="F66" s="25"/>
      <c r="G66" s="25"/>
      <c r="H66" s="25"/>
      <c r="I66" s="25"/>
      <c r="J66" s="25"/>
      <c r="K66" s="25"/>
      <c r="L66" s="25"/>
      <c r="M66" s="25"/>
      <c r="N66" s="25"/>
      <c r="O66" s="25"/>
      <c r="P66" s="25"/>
    </row>
    <row r="67" spans="1:28">
      <c r="A67" s="4"/>
      <c r="C67" s="9"/>
      <c r="D67" s="9"/>
      <c r="E67" s="23"/>
      <c r="F67" s="21"/>
      <c r="G67" s="21"/>
      <c r="H67" s="21"/>
      <c r="I67" s="22"/>
      <c r="J67" s="22"/>
      <c r="K67" s="78"/>
    </row>
    <row r="68" spans="1:28">
      <c r="B68" s="1"/>
      <c r="C68" s="74"/>
      <c r="D68" s="73"/>
      <c r="E68" s="1" t="s">
        <v>32</v>
      </c>
      <c r="F68" s="24" t="s">
        <v>108</v>
      </c>
      <c r="G68" s="68"/>
      <c r="H68" s="70"/>
    </row>
    <row r="69" spans="1:28" s="77" customFormat="1" ht="15.75">
      <c r="B69" s="151"/>
      <c r="C69" s="151"/>
      <c r="D69" s="76"/>
      <c r="E69" s="1" t="s">
        <v>56</v>
      </c>
      <c r="F69" s="43">
        <v>4554343860</v>
      </c>
      <c r="G69" s="19" t="s">
        <v>118</v>
      </c>
      <c r="H69" s="70"/>
      <c r="R69" s="145"/>
      <c r="S69" s="145"/>
      <c r="T69" s="145"/>
      <c r="U69" s="145"/>
      <c r="V69" s="145"/>
      <c r="W69" s="145"/>
      <c r="X69" s="145"/>
      <c r="Y69" s="145"/>
      <c r="Z69" s="145"/>
      <c r="AA69" s="145"/>
      <c r="AB69" s="145"/>
    </row>
    <row r="70" spans="1:28">
      <c r="E70" s="1" t="s">
        <v>57</v>
      </c>
      <c r="F70" s="44">
        <f>1783103879*-1</f>
        <v>-1783103879</v>
      </c>
      <c r="G70" s="19" t="s">
        <v>118</v>
      </c>
      <c r="H70" s="41"/>
    </row>
    <row r="71" spans="1:28">
      <c r="E71" s="1" t="s">
        <v>58</v>
      </c>
      <c r="F71" s="43">
        <f>+F69+F70</f>
        <v>2771239981</v>
      </c>
      <c r="H71" s="41"/>
    </row>
    <row r="72" spans="1:28">
      <c r="E72" s="1"/>
      <c r="F72" s="27"/>
      <c r="H72" s="25"/>
    </row>
    <row r="73" spans="1:28">
      <c r="B73" s="1"/>
      <c r="E73" s="1" t="s">
        <v>52</v>
      </c>
      <c r="F73" s="43">
        <v>65650673</v>
      </c>
      <c r="G73" s="19" t="s">
        <v>119</v>
      </c>
      <c r="H73" s="25"/>
    </row>
    <row r="74" spans="1:28">
      <c r="B74" s="1"/>
      <c r="E74" s="1"/>
      <c r="H74" s="26"/>
    </row>
    <row r="75" spans="1:28" ht="15.75" thickBot="1">
      <c r="B75" s="1"/>
      <c r="E75" s="1" t="s">
        <v>53</v>
      </c>
      <c r="F75" s="45">
        <f>ROUND(F73/F71,4)</f>
        <v>2.3699999999999999E-2</v>
      </c>
      <c r="H75" s="25"/>
    </row>
    <row r="76" spans="1:28" ht="15.75" thickTop="1">
      <c r="B76" s="1"/>
      <c r="C76" s="43"/>
      <c r="E76" s="20"/>
      <c r="F76" s="68"/>
      <c r="G76" s="69"/>
      <c r="H76" s="70"/>
      <c r="I76" s="26"/>
    </row>
    <row r="77" spans="1:28" ht="15.75">
      <c r="B77" s="1"/>
      <c r="C77" s="43"/>
      <c r="E77" s="20"/>
      <c r="F77" s="76"/>
      <c r="G77" s="79"/>
      <c r="H77" s="70"/>
      <c r="I77" s="25"/>
    </row>
    <row r="78" spans="1:28">
      <c r="B78" s="1"/>
      <c r="C78" s="43"/>
    </row>
    <row r="79" spans="1:28">
      <c r="C79" s="43"/>
      <c r="F79" s="26"/>
      <c r="G79" s="41"/>
      <c r="H79" s="41"/>
    </row>
    <row r="80" spans="1:28">
      <c r="C80" s="43"/>
      <c r="F80" s="26"/>
      <c r="G80" s="26"/>
      <c r="H80" s="25"/>
    </row>
    <row r="81" spans="2:14">
      <c r="C81" s="43"/>
      <c r="F81" s="60"/>
      <c r="G81" s="60"/>
      <c r="H81" s="26"/>
    </row>
    <row r="82" spans="2:14">
      <c r="C82" s="43"/>
      <c r="F82" s="60"/>
      <c r="G82" s="60"/>
      <c r="H82" s="26"/>
    </row>
    <row r="83" spans="2:14">
      <c r="C83" s="43"/>
      <c r="F83" s="25"/>
      <c r="G83" s="25"/>
      <c r="H83" s="25"/>
    </row>
    <row r="84" spans="2:14">
      <c r="C84" s="43"/>
      <c r="F84" s="61"/>
      <c r="G84" s="61"/>
      <c r="H84" s="26"/>
    </row>
    <row r="85" spans="2:14">
      <c r="C85" s="43"/>
      <c r="F85" s="25"/>
      <c r="G85" s="25"/>
      <c r="H85" s="25"/>
    </row>
    <row r="86" spans="2:14">
      <c r="C86" s="43"/>
    </row>
    <row r="87" spans="2:14">
      <c r="C87" s="43"/>
    </row>
    <row r="88" spans="2:14">
      <c r="C88" s="43"/>
    </row>
    <row r="89" spans="2:14">
      <c r="C89" s="43"/>
      <c r="G89" s="59"/>
    </row>
    <row r="90" spans="2:14">
      <c r="C90" s="43"/>
    </row>
    <row r="91" spans="2:14">
      <c r="C91" s="43"/>
    </row>
    <row r="92" spans="2:14">
      <c r="C92" s="43"/>
      <c r="I92" s="62"/>
      <c r="J92" s="62"/>
      <c r="K92" s="62"/>
      <c r="L92" s="62"/>
      <c r="M92" s="58"/>
      <c r="N92" s="58"/>
    </row>
    <row r="93" spans="2:14">
      <c r="B93" s="73"/>
      <c r="C93" s="43"/>
      <c r="I93" s="62"/>
      <c r="J93" s="62"/>
      <c r="K93" s="62"/>
      <c r="L93" s="62"/>
      <c r="M93" s="58"/>
      <c r="N93" s="58"/>
    </row>
    <row r="94" spans="2:14">
      <c r="C94" s="43"/>
      <c r="I94" s="62"/>
      <c r="J94" s="62"/>
      <c r="K94" s="62"/>
      <c r="L94" s="62"/>
      <c r="M94" s="58"/>
      <c r="N94" s="58"/>
    </row>
    <row r="95" spans="2:14">
      <c r="I95" s="62"/>
      <c r="J95" s="62"/>
      <c r="K95" s="62"/>
      <c r="L95" s="62"/>
      <c r="M95" s="58"/>
      <c r="N95" s="58"/>
    </row>
    <row r="96" spans="2:14">
      <c r="I96" s="62"/>
      <c r="J96" s="62"/>
      <c r="K96" s="62"/>
      <c r="L96" s="62"/>
      <c r="M96" s="58"/>
      <c r="N96" s="58"/>
    </row>
    <row r="97" spans="6:14">
      <c r="I97" s="62"/>
      <c r="J97" s="62"/>
      <c r="K97" s="62"/>
      <c r="L97" s="62"/>
      <c r="M97" s="58"/>
      <c r="N97" s="58"/>
    </row>
    <row r="98" spans="6:14">
      <c r="I98" s="62"/>
      <c r="J98" s="62"/>
      <c r="K98" s="62"/>
      <c r="L98" s="62"/>
      <c r="M98" s="58"/>
      <c r="N98" s="58"/>
    </row>
    <row r="99" spans="6:14">
      <c r="I99" s="62"/>
      <c r="J99" s="62"/>
      <c r="K99" s="62"/>
      <c r="L99" s="62"/>
      <c r="M99" s="58"/>
      <c r="N99" s="58"/>
    </row>
    <row r="100" spans="6:14">
      <c r="F100" s="62"/>
      <c r="G100" s="62"/>
      <c r="H100" s="62"/>
      <c r="I100" s="62"/>
      <c r="J100" s="62"/>
      <c r="K100" s="62"/>
      <c r="L100" s="62"/>
      <c r="M100" s="58"/>
      <c r="N100" s="58"/>
    </row>
    <row r="101" spans="6:14">
      <c r="F101" s="62"/>
      <c r="G101" s="62"/>
      <c r="H101" s="62"/>
      <c r="I101" s="62"/>
      <c r="J101" s="62"/>
      <c r="K101" s="62"/>
      <c r="L101" s="62"/>
      <c r="M101" s="58"/>
      <c r="N101" s="58"/>
    </row>
    <row r="102" spans="6:14">
      <c r="F102" s="62"/>
      <c r="G102" s="62"/>
      <c r="H102" s="62"/>
      <c r="I102" s="62"/>
      <c r="J102" s="62"/>
      <c r="K102" s="62"/>
      <c r="L102" s="62"/>
      <c r="M102" s="58"/>
      <c r="N102" s="58"/>
    </row>
    <row r="103" spans="6:14">
      <c r="F103" s="62"/>
      <c r="G103" s="62"/>
      <c r="H103" s="62"/>
      <c r="I103" s="62"/>
      <c r="J103" s="62"/>
      <c r="K103" s="62"/>
      <c r="L103" s="62"/>
      <c r="M103" s="58"/>
      <c r="N103" s="58"/>
    </row>
    <row r="104" spans="6:14">
      <c r="F104" s="62"/>
      <c r="G104" s="62"/>
      <c r="H104" s="62"/>
      <c r="I104" s="58"/>
      <c r="J104" s="58"/>
      <c r="K104" s="58"/>
      <c r="L104" s="58"/>
      <c r="M104" s="58"/>
      <c r="N104" s="58"/>
    </row>
    <row r="105" spans="6:14">
      <c r="F105" s="62"/>
      <c r="G105" s="62"/>
      <c r="H105" s="62"/>
      <c r="I105" s="58"/>
      <c r="J105" s="58"/>
      <c r="K105" s="58"/>
      <c r="L105" s="58"/>
      <c r="M105" s="58"/>
      <c r="N105" s="58"/>
    </row>
    <row r="106" spans="6:14">
      <c r="F106" s="62"/>
      <c r="G106" s="62"/>
      <c r="H106" s="62"/>
    </row>
    <row r="107" spans="6:14">
      <c r="F107" s="62"/>
      <c r="G107" s="62"/>
      <c r="H107" s="62"/>
    </row>
    <row r="108" spans="6:14">
      <c r="F108" s="62"/>
      <c r="G108" s="62"/>
      <c r="H108" s="62"/>
    </row>
    <row r="109" spans="6:14">
      <c r="F109" s="62"/>
      <c r="G109" s="62"/>
      <c r="H109" s="62"/>
    </row>
    <row r="110" spans="6:14">
      <c r="F110" s="62"/>
      <c r="G110" s="62"/>
      <c r="H110" s="62"/>
    </row>
    <row r="111" spans="6:14">
      <c r="F111" s="62"/>
      <c r="G111" s="62"/>
      <c r="H111" s="62"/>
    </row>
    <row r="112" spans="6:14">
      <c r="F112" s="58"/>
      <c r="G112" s="58"/>
      <c r="H112" s="58"/>
    </row>
    <row r="113" spans="6:8">
      <c r="F113" s="58"/>
      <c r="G113" s="58"/>
      <c r="H113" s="58"/>
    </row>
  </sheetData>
  <mergeCells count="34">
    <mergeCell ref="C66:D66"/>
    <mergeCell ref="C28:D28"/>
    <mergeCell ref="C29:D29"/>
    <mergeCell ref="C31:D31"/>
    <mergeCell ref="C32:D32"/>
    <mergeCell ref="C34:D34"/>
    <mergeCell ref="C57:D57"/>
    <mergeCell ref="C35:D35"/>
    <mergeCell ref="C37:D37"/>
    <mergeCell ref="C39:D39"/>
    <mergeCell ref="C53:D53"/>
    <mergeCell ref="C54:D54"/>
    <mergeCell ref="A10:J10"/>
    <mergeCell ref="A11:J11"/>
    <mergeCell ref="A12:J12"/>
    <mergeCell ref="C18:D18"/>
    <mergeCell ref="C25:D25"/>
    <mergeCell ref="C20:D20"/>
    <mergeCell ref="C55:D55"/>
    <mergeCell ref="C56:D56"/>
    <mergeCell ref="C41:D41"/>
    <mergeCell ref="C40:D40"/>
    <mergeCell ref="B69:C69"/>
    <mergeCell ref="C65:D65"/>
    <mergeCell ref="C43:D43"/>
    <mergeCell ref="C60:D60"/>
    <mergeCell ref="C61:D61"/>
    <mergeCell ref="C62:D62"/>
    <mergeCell ref="C63:D63"/>
    <mergeCell ref="C64:D64"/>
    <mergeCell ref="C45:D45"/>
    <mergeCell ref="C46:D46"/>
    <mergeCell ref="C47:D47"/>
    <mergeCell ref="C48:D48"/>
  </mergeCells>
  <printOptions horizontalCentered="1"/>
  <pageMargins left="0.75" right="0.5" top="0.5" bottom="0.5" header="0.5" footer="0.5"/>
  <pageSetup scale="57"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71"/>
  <sheetViews>
    <sheetView zoomScaleNormal="100" zoomScaleSheetLayoutView="100" workbookViewId="0">
      <pane xSplit="4" ySplit="15" topLeftCell="E16" activePane="bottomRight" state="frozen"/>
      <selection pane="topRight" activeCell="E1" sqref="E1"/>
      <selection pane="bottomLeft" activeCell="A16" sqref="A16"/>
      <selection pane="bottomRight" activeCell="E16" sqref="E16"/>
    </sheetView>
  </sheetViews>
  <sheetFormatPr defaultColWidth="9.140625" defaultRowHeight="15"/>
  <cols>
    <col min="1" max="1" width="4.85546875" style="46" customWidth="1"/>
    <col min="2" max="2" width="61.42578125" style="46" customWidth="1"/>
    <col min="3" max="3" width="32" style="46" customWidth="1"/>
    <col min="4" max="4" width="3.42578125" style="46" customWidth="1"/>
    <col min="5" max="5" width="15.7109375" style="46" customWidth="1"/>
    <col min="6" max="9" width="13.7109375" style="46" bestFit="1" customWidth="1"/>
    <col min="10" max="15" width="13.7109375" style="46" hidden="1" customWidth="1"/>
    <col min="16" max="16" width="13.28515625" style="46" customWidth="1"/>
    <col min="17" max="16384" width="9.140625" style="46"/>
  </cols>
  <sheetData>
    <row r="1" spans="1:15">
      <c r="B1" s="19"/>
      <c r="G1" s="10"/>
      <c r="I1" s="110" t="s">
        <v>55</v>
      </c>
    </row>
    <row r="2" spans="1:15">
      <c r="A2" s="11"/>
      <c r="B2" s="12"/>
      <c r="C2" s="12"/>
      <c r="D2" s="12"/>
      <c r="G2" s="10"/>
      <c r="I2" s="110" t="s">
        <v>54</v>
      </c>
    </row>
    <row r="3" spans="1:15">
      <c r="A3" s="11"/>
      <c r="B3" s="12"/>
      <c r="C3" s="12"/>
      <c r="D3" s="12"/>
      <c r="G3" s="10"/>
      <c r="I3" s="110" t="s">
        <v>137</v>
      </c>
    </row>
    <row r="4" spans="1:15">
      <c r="A4" s="11"/>
      <c r="B4" s="12"/>
      <c r="C4" s="12"/>
      <c r="D4" s="12"/>
      <c r="G4" s="10"/>
      <c r="I4" s="110" t="s">
        <v>138</v>
      </c>
    </row>
    <row r="5" spans="1:15">
      <c r="A5" s="11"/>
      <c r="B5" s="12"/>
      <c r="C5" s="12"/>
      <c r="D5" s="12"/>
      <c r="G5" s="10"/>
      <c r="I5" s="1" t="s">
        <v>141</v>
      </c>
    </row>
    <row r="6" spans="1:15">
      <c r="A6" s="11"/>
      <c r="B6" s="12"/>
      <c r="C6" s="12"/>
      <c r="D6" s="12"/>
      <c r="G6" s="10"/>
      <c r="I6" s="110" t="s">
        <v>167</v>
      </c>
    </row>
    <row r="7" spans="1:15">
      <c r="A7" s="11"/>
      <c r="B7" s="12"/>
      <c r="C7" s="12"/>
      <c r="D7" s="12"/>
      <c r="E7" s="12"/>
      <c r="F7" s="12"/>
      <c r="G7" s="10"/>
      <c r="I7" s="111" t="s">
        <v>140</v>
      </c>
    </row>
    <row r="8" spans="1:15">
      <c r="A8" s="11"/>
      <c r="B8" s="12"/>
      <c r="C8" s="12"/>
      <c r="D8" s="12"/>
      <c r="E8" s="12"/>
      <c r="F8" s="12"/>
      <c r="G8" s="10"/>
      <c r="H8" s="10"/>
    </row>
    <row r="9" spans="1:15">
      <c r="A9" s="153" t="s">
        <v>55</v>
      </c>
      <c r="B9" s="153"/>
      <c r="C9" s="153"/>
      <c r="D9" s="153"/>
      <c r="E9" s="153"/>
      <c r="F9" s="153"/>
      <c r="G9" s="153"/>
      <c r="H9" s="153"/>
      <c r="I9" s="153"/>
    </row>
    <row r="10" spans="1:15">
      <c r="A10" s="153" t="s">
        <v>113</v>
      </c>
      <c r="B10" s="153"/>
      <c r="C10" s="153"/>
      <c r="D10" s="153"/>
      <c r="E10" s="153"/>
      <c r="F10" s="153"/>
      <c r="G10" s="153"/>
      <c r="H10" s="153"/>
      <c r="I10" s="153"/>
    </row>
    <row r="11" spans="1:15">
      <c r="A11" s="153" t="s">
        <v>189</v>
      </c>
      <c r="B11" s="153"/>
      <c r="C11" s="153"/>
      <c r="D11" s="153"/>
      <c r="E11" s="153"/>
      <c r="F11" s="153"/>
      <c r="G11" s="153"/>
      <c r="H11" s="153"/>
      <c r="I11" s="153"/>
    </row>
    <row r="12" spans="1:15">
      <c r="A12" s="153"/>
      <c r="B12" s="153"/>
      <c r="C12" s="153"/>
      <c r="D12" s="153"/>
      <c r="E12" s="153"/>
      <c r="F12" s="153"/>
      <c r="G12" s="153"/>
    </row>
    <row r="13" spans="1:15">
      <c r="A13" s="153"/>
      <c r="B13" s="153"/>
      <c r="C13" s="153"/>
      <c r="D13" s="153"/>
      <c r="E13" s="153"/>
      <c r="F13" s="153"/>
      <c r="G13" s="153"/>
    </row>
    <row r="14" spans="1:15">
      <c r="A14" s="13"/>
      <c r="B14" s="88" t="s">
        <v>73</v>
      </c>
      <c r="E14" s="13">
        <f>'Exh NG-5 Cap Adds 1'!F15</f>
        <v>1</v>
      </c>
      <c r="F14" s="13">
        <f>'Exh NG-5 Cap Adds 1'!G15</f>
        <v>2</v>
      </c>
      <c r="G14" s="13">
        <f>'Exh NG-5 Cap Adds 1'!H15</f>
        <v>3</v>
      </c>
      <c r="H14" s="13">
        <f>'Exh NG-5 Cap Adds 1'!I15</f>
        <v>4</v>
      </c>
      <c r="I14" s="13">
        <f>'Exh NG-5 Cap Adds 1'!J15</f>
        <v>5</v>
      </c>
      <c r="J14" s="13">
        <f>'Exh NG-5 Cap Adds 1'!K15</f>
        <v>6</v>
      </c>
      <c r="K14" s="13">
        <f>'Exh NG-5 Cap Adds 1'!L15</f>
        <v>7</v>
      </c>
      <c r="L14" s="13">
        <f>'Exh NG-5 Cap Adds 1'!M15</f>
        <v>8</v>
      </c>
      <c r="M14" s="13">
        <f>'Exh NG-5 Cap Adds 1'!N15</f>
        <v>9</v>
      </c>
      <c r="N14" s="13">
        <f>'Exh NG-5 Cap Adds 1'!O15</f>
        <v>10</v>
      </c>
      <c r="O14" s="13">
        <f>'Exh NG-5 Cap Adds 1'!P15</f>
        <v>11</v>
      </c>
    </row>
    <row r="15" spans="1:15">
      <c r="A15" s="13"/>
      <c r="E15" s="31" t="s">
        <v>0</v>
      </c>
      <c r="F15" s="31" t="s">
        <v>1</v>
      </c>
      <c r="G15" s="31" t="s">
        <v>2</v>
      </c>
      <c r="H15" s="87" t="s">
        <v>62</v>
      </c>
      <c r="I15" s="87" t="s">
        <v>130</v>
      </c>
      <c r="J15" s="87"/>
      <c r="K15" s="87"/>
      <c r="L15" s="87"/>
      <c r="M15" s="87"/>
      <c r="N15" s="87"/>
      <c r="O15" s="87"/>
    </row>
    <row r="16" spans="1:15">
      <c r="A16" s="31"/>
      <c r="B16" s="49" t="s">
        <v>9</v>
      </c>
      <c r="C16" s="48"/>
      <c r="D16" s="48"/>
      <c r="E16" s="50"/>
      <c r="F16" s="50"/>
      <c r="G16" s="50"/>
      <c r="H16" s="67"/>
      <c r="I16" s="67"/>
      <c r="J16" s="53"/>
    </row>
    <row r="17" spans="1:15">
      <c r="A17" s="31"/>
      <c r="B17" s="48" t="s">
        <v>33</v>
      </c>
      <c r="C17" s="48"/>
      <c r="D17" s="48"/>
      <c r="F17" s="51"/>
      <c r="G17" s="51"/>
      <c r="H17" s="52"/>
      <c r="I17" s="52"/>
      <c r="J17" s="53"/>
    </row>
    <row r="18" spans="1:15">
      <c r="A18" s="14">
        <v>-1</v>
      </c>
      <c r="B18" s="46" t="s">
        <v>3</v>
      </c>
      <c r="C18" s="31" t="s">
        <v>168</v>
      </c>
      <c r="D18" s="31"/>
      <c r="E18" s="51">
        <f>+'Exh NG-5 Cap Adds 1'!F20</f>
        <v>300589000</v>
      </c>
      <c r="F18" s="52"/>
      <c r="G18" s="52"/>
      <c r="H18" s="52"/>
      <c r="I18" s="52"/>
      <c r="J18" s="53"/>
    </row>
    <row r="19" spans="1:15">
      <c r="A19" s="14">
        <f>A18-1</f>
        <v>-2</v>
      </c>
      <c r="B19" s="46" t="s">
        <v>34</v>
      </c>
      <c r="C19" s="31" t="s">
        <v>35</v>
      </c>
      <c r="D19" s="31" t="s">
        <v>32</v>
      </c>
      <c r="E19" s="54">
        <v>0</v>
      </c>
      <c r="F19" s="51"/>
      <c r="G19" s="51"/>
      <c r="H19" s="52"/>
      <c r="I19" s="52"/>
      <c r="J19" s="53"/>
    </row>
    <row r="20" spans="1:15">
      <c r="A20" s="14">
        <f>+A19-1</f>
        <v>-3</v>
      </c>
      <c r="B20" s="53" t="s">
        <v>33</v>
      </c>
      <c r="C20" s="15" t="s">
        <v>36</v>
      </c>
      <c r="D20" s="15"/>
      <c r="E20" s="51">
        <f>E18*E19</f>
        <v>0</v>
      </c>
      <c r="F20" s="51"/>
      <c r="G20" s="51"/>
      <c r="H20" s="52"/>
      <c r="I20" s="52"/>
      <c r="J20" s="53"/>
    </row>
    <row r="21" spans="1:15">
      <c r="A21" s="14"/>
      <c r="C21" s="31"/>
      <c r="D21" s="31"/>
      <c r="F21" s="51"/>
      <c r="G21" s="51"/>
      <c r="H21" s="52"/>
      <c r="I21" s="52"/>
      <c r="J21" s="53"/>
    </row>
    <row r="22" spans="1:15">
      <c r="A22" s="14"/>
      <c r="B22" s="48" t="s">
        <v>37</v>
      </c>
      <c r="C22" s="13"/>
      <c r="D22" s="13"/>
      <c r="E22" s="51"/>
      <c r="F22" s="51"/>
      <c r="G22" s="51"/>
      <c r="H22" s="52"/>
      <c r="I22" s="52"/>
      <c r="J22" s="53"/>
    </row>
    <row r="23" spans="1:15">
      <c r="A23" s="14">
        <f>+A20-1</f>
        <v>-4</v>
      </c>
      <c r="B23" s="46" t="s">
        <v>3</v>
      </c>
      <c r="C23" s="31" t="s">
        <v>4</v>
      </c>
      <c r="D23" s="31"/>
      <c r="E23" s="52">
        <f>+E18</f>
        <v>300589000</v>
      </c>
      <c r="F23" s="52"/>
      <c r="G23" s="52"/>
      <c r="H23" s="52"/>
      <c r="I23" s="52"/>
      <c r="J23" s="53"/>
    </row>
    <row r="24" spans="1:15">
      <c r="A24" s="14">
        <f t="shared" ref="A24:A25" si="0">+A23-1</f>
        <v>-5</v>
      </c>
      <c r="B24" s="46" t="s">
        <v>38</v>
      </c>
      <c r="C24" s="31" t="s">
        <v>39</v>
      </c>
      <c r="D24" s="31"/>
      <c r="E24" s="47">
        <f>+E20</f>
        <v>0</v>
      </c>
      <c r="F24" s="51"/>
      <c r="G24" s="51"/>
      <c r="H24" s="52"/>
      <c r="I24" s="52"/>
      <c r="J24" s="53"/>
    </row>
    <row r="25" spans="1:15">
      <c r="A25" s="14">
        <f t="shared" si="0"/>
        <v>-6</v>
      </c>
      <c r="B25" s="46" t="s">
        <v>40</v>
      </c>
      <c r="C25" s="31" t="s">
        <v>5</v>
      </c>
      <c r="D25" s="31"/>
      <c r="E25" s="51">
        <f>+E23-E24</f>
        <v>300589000</v>
      </c>
      <c r="H25" s="53"/>
      <c r="I25" s="53"/>
      <c r="J25" s="53"/>
    </row>
    <row r="26" spans="1:15">
      <c r="A26" s="14"/>
      <c r="C26" s="72"/>
      <c r="D26" s="72"/>
      <c r="E26" s="52"/>
      <c r="H26" s="53"/>
      <c r="I26" s="53"/>
      <c r="J26" s="53"/>
      <c r="K26" s="53"/>
    </row>
    <row r="27" spans="1:15">
      <c r="A27" s="14"/>
      <c r="B27" s="48" t="s">
        <v>42</v>
      </c>
      <c r="C27" s="13"/>
      <c r="D27" s="13"/>
      <c r="H27" s="53"/>
      <c r="I27" s="53"/>
      <c r="J27" s="53"/>
      <c r="K27" s="53"/>
    </row>
    <row r="28" spans="1:15">
      <c r="A28" s="14">
        <f>+A25-1</f>
        <v>-7</v>
      </c>
      <c r="B28" s="46" t="s">
        <v>3</v>
      </c>
      <c r="C28" s="31" t="s">
        <v>4</v>
      </c>
      <c r="D28" s="31"/>
      <c r="E28" s="51">
        <f>+E18</f>
        <v>300589000</v>
      </c>
      <c r="H28" s="53"/>
      <c r="I28" s="53"/>
      <c r="J28" s="53"/>
      <c r="K28" s="53"/>
    </row>
    <row r="29" spans="1:15">
      <c r="A29" s="14">
        <f>+A28-1</f>
        <v>-8</v>
      </c>
      <c r="B29" s="53" t="s">
        <v>38</v>
      </c>
      <c r="C29" s="31" t="s">
        <v>39</v>
      </c>
      <c r="D29" s="31"/>
      <c r="E29" s="51">
        <f>+E20</f>
        <v>0</v>
      </c>
      <c r="H29" s="53"/>
      <c r="I29" s="53"/>
      <c r="J29" s="53"/>
      <c r="K29" s="53"/>
    </row>
    <row r="30" spans="1:15">
      <c r="A30" s="14">
        <f>+A29-1</f>
        <v>-9</v>
      </c>
      <c r="B30" s="46" t="s">
        <v>43</v>
      </c>
      <c r="C30" s="109" t="s">
        <v>169</v>
      </c>
      <c r="D30" s="31"/>
      <c r="E30" s="52">
        <v>0</v>
      </c>
      <c r="H30" s="53"/>
      <c r="I30" s="53"/>
      <c r="J30" s="53"/>
      <c r="K30" s="53"/>
    </row>
    <row r="31" spans="1:15">
      <c r="A31" s="14">
        <f>+A30-1</f>
        <v>-10</v>
      </c>
      <c r="B31" s="46" t="s">
        <v>65</v>
      </c>
      <c r="C31" s="31" t="s">
        <v>66</v>
      </c>
      <c r="D31" s="85" t="s">
        <v>32</v>
      </c>
      <c r="E31" s="47">
        <v>0</v>
      </c>
      <c r="H31" s="53"/>
      <c r="I31" s="53"/>
      <c r="J31" s="53"/>
      <c r="K31" s="53"/>
    </row>
    <row r="32" spans="1:15">
      <c r="A32" s="14">
        <f t="shared" ref="A32:A34" si="1">+A31-1</f>
        <v>-11</v>
      </c>
      <c r="B32" s="46" t="s">
        <v>133</v>
      </c>
      <c r="C32" s="31" t="s">
        <v>170</v>
      </c>
      <c r="D32" s="31"/>
      <c r="E32" s="51">
        <f>+E28-E29-E30-E31</f>
        <v>300589000</v>
      </c>
      <c r="F32" s="51">
        <f t="shared" ref="F32:G32" si="2">+E32</f>
        <v>300589000</v>
      </c>
      <c r="G32" s="51">
        <f t="shared" si="2"/>
        <v>300589000</v>
      </c>
      <c r="H32" s="51">
        <f t="shared" ref="H32" si="3">+G32</f>
        <v>300589000</v>
      </c>
      <c r="I32" s="51">
        <f t="shared" ref="I32" si="4">+H32</f>
        <v>300589000</v>
      </c>
      <c r="J32" s="51">
        <f t="shared" ref="J32" si="5">+I32</f>
        <v>300589000</v>
      </c>
      <c r="K32" s="51">
        <f t="shared" ref="K32" si="6">+J32</f>
        <v>300589000</v>
      </c>
      <c r="L32" s="51">
        <f t="shared" ref="L32" si="7">+K32</f>
        <v>300589000</v>
      </c>
      <c r="M32" s="51">
        <f t="shared" ref="M32" si="8">+L32</f>
        <v>300589000</v>
      </c>
      <c r="N32" s="51">
        <f t="shared" ref="N32" si="9">+M32</f>
        <v>300589000</v>
      </c>
      <c r="O32" s="51">
        <f t="shared" ref="O32" si="10">+N32</f>
        <v>300589000</v>
      </c>
    </row>
    <row r="33" spans="1:16">
      <c r="A33" s="14">
        <f>+A32-1</f>
        <v>-12</v>
      </c>
      <c r="B33" s="46" t="s">
        <v>132</v>
      </c>
      <c r="C33" s="31" t="s">
        <v>44</v>
      </c>
      <c r="D33" s="31"/>
      <c r="E33" s="54">
        <f>MACRS!E19</f>
        <v>0.1</v>
      </c>
      <c r="F33" s="54">
        <f>MACRS!E20</f>
        <v>0.18</v>
      </c>
      <c r="G33" s="54">
        <f>MACRS!E21</f>
        <v>0.14399999999999999</v>
      </c>
      <c r="H33" s="54">
        <f>MACRS!E22</f>
        <v>0.1152</v>
      </c>
      <c r="I33" s="54">
        <f>MACRS!E23</f>
        <v>9.2200000000000004E-2</v>
      </c>
      <c r="J33" s="54">
        <f>MACRS!E24</f>
        <v>7.3700000000000002E-2</v>
      </c>
      <c r="K33" s="54">
        <f>MACRS!E25</f>
        <v>6.5500000000000003E-2</v>
      </c>
      <c r="L33" s="54">
        <f>MACRS!E26</f>
        <v>6.5500000000000003E-2</v>
      </c>
      <c r="M33" s="54">
        <f>MACRS!E27</f>
        <v>6.5600000000000006E-2</v>
      </c>
      <c r="N33" s="54">
        <f>MACRS!E28</f>
        <v>6.5500000000000003E-2</v>
      </c>
      <c r="O33" s="54">
        <f>MACRS!E29</f>
        <v>3.2800000000000003E-2</v>
      </c>
    </row>
    <row r="34" spans="1:16">
      <c r="A34" s="14">
        <f t="shared" si="1"/>
        <v>-13</v>
      </c>
      <c r="B34" s="46" t="s">
        <v>134</v>
      </c>
      <c r="C34" s="31" t="s">
        <v>171</v>
      </c>
      <c r="D34" s="31"/>
      <c r="E34" s="51">
        <f>ROUND(E32*E33,0)</f>
        <v>30058900</v>
      </c>
      <c r="F34" s="51">
        <f t="shared" ref="F34:G34" si="11">ROUND(F32*F33,0)</f>
        <v>54106020</v>
      </c>
      <c r="G34" s="51">
        <f t="shared" si="11"/>
        <v>43284816</v>
      </c>
      <c r="H34" s="51">
        <f t="shared" ref="H34:O34" si="12">ROUND(H32*H33,0)</f>
        <v>34627853</v>
      </c>
      <c r="I34" s="51">
        <f t="shared" si="12"/>
        <v>27714306</v>
      </c>
      <c r="J34" s="51">
        <f t="shared" si="12"/>
        <v>22153409</v>
      </c>
      <c r="K34" s="51">
        <f t="shared" si="12"/>
        <v>19688580</v>
      </c>
      <c r="L34" s="51">
        <f t="shared" si="12"/>
        <v>19688580</v>
      </c>
      <c r="M34" s="51">
        <f t="shared" si="12"/>
        <v>19718638</v>
      </c>
      <c r="N34" s="51">
        <f t="shared" si="12"/>
        <v>19688580</v>
      </c>
      <c r="O34" s="51">
        <f t="shared" si="12"/>
        <v>9859319</v>
      </c>
    </row>
    <row r="35" spans="1:16">
      <c r="A35" s="14"/>
      <c r="C35" s="31"/>
      <c r="D35" s="31"/>
      <c r="E35" s="51"/>
      <c r="F35" s="51"/>
      <c r="G35" s="51"/>
      <c r="H35" s="51"/>
      <c r="I35" s="51"/>
      <c r="J35" s="51"/>
      <c r="K35" s="51"/>
      <c r="L35" s="51"/>
      <c r="M35" s="51"/>
      <c r="N35" s="51"/>
      <c r="O35" s="51"/>
    </row>
    <row r="36" spans="1:16">
      <c r="A36" s="14">
        <f>+A34-1</f>
        <v>-14</v>
      </c>
      <c r="B36" s="46" t="s">
        <v>67</v>
      </c>
      <c r="C36" s="31" t="s">
        <v>164</v>
      </c>
      <c r="D36" s="31"/>
      <c r="E36" s="51">
        <f>+E31</f>
        <v>0</v>
      </c>
      <c r="F36" s="51">
        <f>+E36</f>
        <v>0</v>
      </c>
      <c r="G36" s="51">
        <f t="shared" ref="G36" si="13">+F36</f>
        <v>0</v>
      </c>
      <c r="H36" s="51">
        <f t="shared" ref="H36" si="14">+G36</f>
        <v>0</v>
      </c>
      <c r="I36" s="51">
        <f t="shared" ref="I36" si="15">+H36</f>
        <v>0</v>
      </c>
      <c r="J36" s="51">
        <f t="shared" ref="J36" si="16">+I36</f>
        <v>0</v>
      </c>
      <c r="K36" s="51">
        <f t="shared" ref="K36" si="17">+J36</f>
        <v>0</v>
      </c>
      <c r="L36" s="51">
        <f t="shared" ref="L36" si="18">+K36</f>
        <v>0</v>
      </c>
      <c r="M36" s="51">
        <f t="shared" ref="M36" si="19">+L36</f>
        <v>0</v>
      </c>
      <c r="N36" s="51">
        <f t="shared" ref="N36" si="20">+M36</f>
        <v>0</v>
      </c>
      <c r="O36" s="51">
        <f t="shared" ref="O36" si="21">+N36</f>
        <v>0</v>
      </c>
    </row>
    <row r="37" spans="1:16">
      <c r="A37" s="14">
        <f>+A36-1</f>
        <v>-15</v>
      </c>
      <c r="B37" s="46" t="s">
        <v>68</v>
      </c>
      <c r="C37" s="31" t="s">
        <v>71</v>
      </c>
      <c r="D37" s="31"/>
      <c r="E37" s="80">
        <f>1/39</f>
        <v>2.564102564102564E-2</v>
      </c>
      <c r="F37" s="80">
        <f>E37</f>
        <v>2.564102564102564E-2</v>
      </c>
      <c r="G37" s="80">
        <f>F37</f>
        <v>2.564102564102564E-2</v>
      </c>
      <c r="H37" s="80">
        <f t="shared" ref="H37:O37" si="22">G37</f>
        <v>2.564102564102564E-2</v>
      </c>
      <c r="I37" s="80">
        <f t="shared" si="22"/>
        <v>2.564102564102564E-2</v>
      </c>
      <c r="J37" s="80">
        <f t="shared" si="22"/>
        <v>2.564102564102564E-2</v>
      </c>
      <c r="K37" s="80">
        <f t="shared" si="22"/>
        <v>2.564102564102564E-2</v>
      </c>
      <c r="L37" s="80">
        <f t="shared" si="22"/>
        <v>2.564102564102564E-2</v>
      </c>
      <c r="M37" s="80">
        <f t="shared" si="22"/>
        <v>2.564102564102564E-2</v>
      </c>
      <c r="N37" s="80">
        <f t="shared" si="22"/>
        <v>2.564102564102564E-2</v>
      </c>
      <c r="O37" s="80">
        <f t="shared" si="22"/>
        <v>2.564102564102564E-2</v>
      </c>
    </row>
    <row r="38" spans="1:16">
      <c r="A38" s="14">
        <f>+A37-1</f>
        <v>-16</v>
      </c>
      <c r="B38" s="46" t="s">
        <v>69</v>
      </c>
      <c r="C38" s="31" t="s">
        <v>172</v>
      </c>
      <c r="D38" s="31"/>
      <c r="E38" s="51">
        <f>+E36*E37</f>
        <v>0</v>
      </c>
      <c r="F38" s="51">
        <f t="shared" ref="F38:G38" si="23">+F36*F37</f>
        <v>0</v>
      </c>
      <c r="G38" s="51">
        <f t="shared" si="23"/>
        <v>0</v>
      </c>
      <c r="H38" s="51">
        <f t="shared" ref="H38:O38" si="24">+H36*H37</f>
        <v>0</v>
      </c>
      <c r="I38" s="51">
        <f t="shared" si="24"/>
        <v>0</v>
      </c>
      <c r="J38" s="51">
        <f t="shared" si="24"/>
        <v>0</v>
      </c>
      <c r="K38" s="51">
        <f t="shared" si="24"/>
        <v>0</v>
      </c>
      <c r="L38" s="51">
        <f t="shared" si="24"/>
        <v>0</v>
      </c>
      <c r="M38" s="51">
        <f t="shared" si="24"/>
        <v>0</v>
      </c>
      <c r="N38" s="51">
        <f t="shared" si="24"/>
        <v>0</v>
      </c>
      <c r="O38" s="51">
        <f t="shared" si="24"/>
        <v>0</v>
      </c>
    </row>
    <row r="39" spans="1:16">
      <c r="A39" s="14"/>
      <c r="C39" s="31"/>
      <c r="D39" s="31"/>
    </row>
    <row r="40" spans="1:16">
      <c r="A40" s="14">
        <f>+A38-1</f>
        <v>-17</v>
      </c>
      <c r="B40" s="46" t="s">
        <v>45</v>
      </c>
      <c r="C40" s="109" t="s">
        <v>173</v>
      </c>
      <c r="D40" s="31"/>
      <c r="E40" s="47">
        <f>+E34+E20+E38</f>
        <v>30058900</v>
      </c>
      <c r="F40" s="47">
        <f t="shared" ref="F40:O40" si="25">+F34+F20+F38</f>
        <v>54106020</v>
      </c>
      <c r="G40" s="47">
        <f t="shared" si="25"/>
        <v>43284816</v>
      </c>
      <c r="H40" s="47">
        <f t="shared" si="25"/>
        <v>34627853</v>
      </c>
      <c r="I40" s="47">
        <f t="shared" si="25"/>
        <v>27714306</v>
      </c>
      <c r="J40" s="47">
        <f t="shared" si="25"/>
        <v>22153409</v>
      </c>
      <c r="K40" s="47">
        <f t="shared" si="25"/>
        <v>19688580</v>
      </c>
      <c r="L40" s="47">
        <f t="shared" si="25"/>
        <v>19688580</v>
      </c>
      <c r="M40" s="47">
        <f t="shared" si="25"/>
        <v>19718638</v>
      </c>
      <c r="N40" s="47">
        <f t="shared" si="25"/>
        <v>19688580</v>
      </c>
      <c r="O40" s="47">
        <f t="shared" si="25"/>
        <v>9859319</v>
      </c>
    </row>
    <row r="41" spans="1:16">
      <c r="A41" s="14"/>
      <c r="C41" s="31"/>
      <c r="D41" s="31"/>
      <c r="E41" s="52"/>
      <c r="F41" s="52"/>
      <c r="G41" s="52"/>
      <c r="H41" s="52"/>
      <c r="I41" s="52"/>
      <c r="J41" s="52"/>
      <c r="K41" s="52"/>
      <c r="L41" s="52"/>
      <c r="M41" s="52"/>
      <c r="N41" s="52"/>
      <c r="O41" s="52"/>
    </row>
    <row r="42" spans="1:16">
      <c r="A42" s="14">
        <f>+A40-1</f>
        <v>-18</v>
      </c>
      <c r="B42" s="46" t="s">
        <v>50</v>
      </c>
      <c r="C42" s="31" t="s">
        <v>174</v>
      </c>
      <c r="D42" s="31"/>
      <c r="E42" s="52">
        <f>+'Exh NG-5 Cap Adds 1'!F22</f>
        <v>30013500</v>
      </c>
      <c r="F42" s="52">
        <v>0</v>
      </c>
      <c r="G42" s="52">
        <v>0</v>
      </c>
      <c r="H42" s="52">
        <v>0</v>
      </c>
      <c r="I42" s="52">
        <v>0</v>
      </c>
      <c r="J42" s="52">
        <v>0</v>
      </c>
      <c r="K42" s="52">
        <v>0</v>
      </c>
      <c r="L42" s="52">
        <v>0</v>
      </c>
      <c r="M42" s="52">
        <v>0</v>
      </c>
      <c r="N42" s="52">
        <v>0</v>
      </c>
      <c r="O42" s="52">
        <v>0</v>
      </c>
    </row>
    <row r="43" spans="1:16">
      <c r="A43" s="31"/>
      <c r="C43" s="55"/>
    </row>
    <row r="44" spans="1:16" ht="15" customHeight="1" thickBot="1">
      <c r="A44" s="14">
        <f>+A42-1</f>
        <v>-19</v>
      </c>
      <c r="B44" s="16" t="s">
        <v>46</v>
      </c>
      <c r="C44" s="31" t="s">
        <v>175</v>
      </c>
      <c r="D44" s="31"/>
      <c r="E44" s="56">
        <f>+E40+E42</f>
        <v>60072400</v>
      </c>
      <c r="F44" s="56">
        <f>+F40+F42</f>
        <v>54106020</v>
      </c>
      <c r="G44" s="56">
        <f>+G40+G42</f>
        <v>43284816</v>
      </c>
      <c r="H44" s="56">
        <f t="shared" ref="H44:O44" si="26">+H40+H42</f>
        <v>34627853</v>
      </c>
      <c r="I44" s="56">
        <f t="shared" si="26"/>
        <v>27714306</v>
      </c>
      <c r="J44" s="56">
        <f t="shared" si="26"/>
        <v>22153409</v>
      </c>
      <c r="K44" s="56">
        <f t="shared" si="26"/>
        <v>19688580</v>
      </c>
      <c r="L44" s="56">
        <f t="shared" si="26"/>
        <v>19688580</v>
      </c>
      <c r="M44" s="56">
        <f t="shared" si="26"/>
        <v>19718638</v>
      </c>
      <c r="N44" s="56">
        <f t="shared" si="26"/>
        <v>19688580</v>
      </c>
      <c r="O44" s="56">
        <f t="shared" si="26"/>
        <v>9859319</v>
      </c>
      <c r="P44" s="51"/>
    </row>
    <row r="45" spans="1:16" ht="15.75" thickTop="1">
      <c r="H45" s="53"/>
      <c r="I45" s="53"/>
      <c r="J45" s="53"/>
    </row>
    <row r="46" spans="1:16">
      <c r="H46" s="53"/>
      <c r="I46" s="53"/>
      <c r="J46" s="53"/>
    </row>
    <row r="47" spans="1:16">
      <c r="B47" s="49" t="s">
        <v>47</v>
      </c>
      <c r="H47" s="53"/>
      <c r="I47" s="53"/>
      <c r="J47" s="53"/>
    </row>
    <row r="48" spans="1:16">
      <c r="A48" s="57">
        <f>+A44-1</f>
        <v>-20</v>
      </c>
      <c r="B48" s="46" t="s">
        <v>3</v>
      </c>
      <c r="C48" s="31" t="str">
        <f>CONCATENATE("Line (",A18*-1,")")</f>
        <v>Line (1)</v>
      </c>
      <c r="D48" s="31"/>
      <c r="E48" s="52">
        <f>+E18</f>
        <v>300589000</v>
      </c>
      <c r="F48" s="52"/>
      <c r="G48" s="52"/>
      <c r="H48" s="52"/>
      <c r="I48" s="52"/>
      <c r="J48" s="53"/>
    </row>
    <row r="49" spans="1:15">
      <c r="A49" s="57">
        <f>A48-1</f>
        <v>-21</v>
      </c>
      <c r="B49" s="46" t="s">
        <v>34</v>
      </c>
      <c r="C49" s="31" t="str">
        <f>CONCATENATE("Line (",A19*-1,")")</f>
        <v>Line (2)</v>
      </c>
      <c r="D49" s="31"/>
      <c r="E49" s="54">
        <f>+E19</f>
        <v>0</v>
      </c>
      <c r="H49" s="53"/>
      <c r="I49" s="53"/>
      <c r="J49" s="53"/>
    </row>
    <row r="50" spans="1:15">
      <c r="A50" s="57">
        <f>+A49-1</f>
        <v>-22</v>
      </c>
      <c r="B50" s="53" t="s">
        <v>33</v>
      </c>
      <c r="C50" s="31" t="s">
        <v>176</v>
      </c>
      <c r="D50" s="31"/>
      <c r="E50" s="52">
        <f>E48*E49</f>
        <v>0</v>
      </c>
      <c r="H50" s="53"/>
      <c r="I50" s="53"/>
      <c r="J50" s="53"/>
    </row>
    <row r="51" spans="1:15">
      <c r="H51" s="53"/>
      <c r="I51" s="53"/>
      <c r="J51" s="53"/>
    </row>
    <row r="52" spans="1:15">
      <c r="A52" s="14"/>
      <c r="B52" s="48" t="s">
        <v>42</v>
      </c>
      <c r="C52" s="13"/>
      <c r="D52" s="13"/>
      <c r="H52" s="53"/>
      <c r="I52" s="53"/>
      <c r="J52" s="53"/>
    </row>
    <row r="53" spans="1:15">
      <c r="A53" s="14">
        <f>+A50-1</f>
        <v>-23</v>
      </c>
      <c r="B53" s="46" t="s">
        <v>3</v>
      </c>
      <c r="C53" s="31" t="s">
        <v>177</v>
      </c>
      <c r="D53" s="31"/>
      <c r="E53" s="51">
        <f>E48</f>
        <v>300589000</v>
      </c>
      <c r="H53" s="53"/>
      <c r="I53" s="53"/>
      <c r="J53" s="53"/>
    </row>
    <row r="54" spans="1:15">
      <c r="A54" s="14">
        <f>+A53-1</f>
        <v>-24</v>
      </c>
      <c r="B54" s="53" t="s">
        <v>38</v>
      </c>
      <c r="C54" s="15" t="s">
        <v>70</v>
      </c>
      <c r="D54" s="15"/>
      <c r="E54" s="52">
        <f>E50</f>
        <v>0</v>
      </c>
      <c r="H54" s="53"/>
      <c r="I54" s="53"/>
      <c r="J54" s="53"/>
    </row>
    <row r="55" spans="1:15">
      <c r="A55" s="14">
        <f t="shared" ref="A55:A58" si="27">+A54-1</f>
        <v>-25</v>
      </c>
      <c r="B55" s="53" t="s">
        <v>65</v>
      </c>
      <c r="C55" s="31" t="s">
        <v>66</v>
      </c>
      <c r="D55" s="10" t="s">
        <v>32</v>
      </c>
      <c r="E55" s="47">
        <f>E31</f>
        <v>0</v>
      </c>
      <c r="H55" s="53"/>
      <c r="I55" s="53"/>
      <c r="J55" s="53"/>
    </row>
    <row r="56" spans="1:15" ht="17.25" customHeight="1">
      <c r="A56" s="14">
        <f t="shared" si="27"/>
        <v>-26</v>
      </c>
      <c r="B56" s="46" t="s">
        <v>133</v>
      </c>
      <c r="C56" s="31" t="s">
        <v>178</v>
      </c>
      <c r="D56" s="31"/>
      <c r="E56" s="51">
        <f>E53-E54-E55</f>
        <v>300589000</v>
      </c>
      <c r="F56" s="51">
        <f t="shared" ref="F56:G56" si="28">+E56</f>
        <v>300589000</v>
      </c>
      <c r="G56" s="51">
        <f t="shared" si="28"/>
        <v>300589000</v>
      </c>
      <c r="H56" s="51">
        <f t="shared" ref="H56" si="29">+G56</f>
        <v>300589000</v>
      </c>
      <c r="I56" s="51">
        <f t="shared" ref="I56" si="30">+H56</f>
        <v>300589000</v>
      </c>
      <c r="J56" s="51">
        <f t="shared" ref="J56" si="31">+I56</f>
        <v>300589000</v>
      </c>
      <c r="K56" s="51">
        <f t="shared" ref="K56" si="32">+J56</f>
        <v>300589000</v>
      </c>
      <c r="L56" s="51">
        <f t="shared" ref="L56" si="33">+K56</f>
        <v>300589000</v>
      </c>
      <c r="M56" s="51">
        <f t="shared" ref="M56" si="34">+L56</f>
        <v>300589000</v>
      </c>
      <c r="N56" s="51">
        <f t="shared" ref="N56" si="35">+M56</f>
        <v>300589000</v>
      </c>
      <c r="O56" s="51">
        <f t="shared" ref="O56" si="36">+N56</f>
        <v>300589000</v>
      </c>
    </row>
    <row r="57" spans="1:15">
      <c r="A57" s="14">
        <f t="shared" si="27"/>
        <v>-27</v>
      </c>
      <c r="B57" s="46" t="s">
        <v>132</v>
      </c>
      <c r="C57" s="31" t="s">
        <v>44</v>
      </c>
      <c r="D57" s="31"/>
      <c r="E57" s="80">
        <f>E33</f>
        <v>0.1</v>
      </c>
      <c r="F57" s="80">
        <f>F33</f>
        <v>0.18</v>
      </c>
      <c r="G57" s="80">
        <f>G33</f>
        <v>0.14399999999999999</v>
      </c>
      <c r="H57" s="80">
        <f t="shared" ref="H57:O57" si="37">H33</f>
        <v>0.1152</v>
      </c>
      <c r="I57" s="80">
        <f t="shared" si="37"/>
        <v>9.2200000000000004E-2</v>
      </c>
      <c r="J57" s="80">
        <f t="shared" si="37"/>
        <v>7.3700000000000002E-2</v>
      </c>
      <c r="K57" s="80">
        <f t="shared" si="37"/>
        <v>6.5500000000000003E-2</v>
      </c>
      <c r="L57" s="80">
        <f t="shared" si="37"/>
        <v>6.5500000000000003E-2</v>
      </c>
      <c r="M57" s="80">
        <f t="shared" si="37"/>
        <v>6.5600000000000006E-2</v>
      </c>
      <c r="N57" s="80">
        <f t="shared" si="37"/>
        <v>6.5500000000000003E-2</v>
      </c>
      <c r="O57" s="80">
        <f t="shared" si="37"/>
        <v>3.2800000000000003E-2</v>
      </c>
    </row>
    <row r="58" spans="1:15">
      <c r="A58" s="14">
        <f t="shared" si="27"/>
        <v>-28</v>
      </c>
      <c r="B58" s="46" t="s">
        <v>134</v>
      </c>
      <c r="C58" s="31" t="s">
        <v>179</v>
      </c>
      <c r="D58" s="31"/>
      <c r="E58" s="51">
        <f>ROUND(E56*E57,0)</f>
        <v>30058900</v>
      </c>
      <c r="F58" s="51">
        <f t="shared" ref="F58:G58" si="38">ROUND(F56*F57,0)</f>
        <v>54106020</v>
      </c>
      <c r="G58" s="51">
        <f t="shared" si="38"/>
        <v>43284816</v>
      </c>
      <c r="H58" s="51">
        <f t="shared" ref="H58:O58" si="39">ROUND(H56*H57,0)</f>
        <v>34627853</v>
      </c>
      <c r="I58" s="51">
        <f t="shared" si="39"/>
        <v>27714306</v>
      </c>
      <c r="J58" s="51">
        <f t="shared" si="39"/>
        <v>22153409</v>
      </c>
      <c r="K58" s="51">
        <f t="shared" si="39"/>
        <v>19688580</v>
      </c>
      <c r="L58" s="51">
        <f t="shared" si="39"/>
        <v>19688580</v>
      </c>
      <c r="M58" s="51">
        <f t="shared" si="39"/>
        <v>19718638</v>
      </c>
      <c r="N58" s="51">
        <f t="shared" si="39"/>
        <v>19688580</v>
      </c>
      <c r="O58" s="51">
        <f t="shared" si="39"/>
        <v>9859319</v>
      </c>
    </row>
    <row r="59" spans="1:15">
      <c r="A59" s="14"/>
      <c r="C59" s="31"/>
      <c r="D59" s="31"/>
    </row>
    <row r="60" spans="1:15">
      <c r="A60" s="14">
        <f>+A58-1</f>
        <v>-29</v>
      </c>
      <c r="B60" s="46" t="s">
        <v>67</v>
      </c>
      <c r="C60" s="31" t="s">
        <v>180</v>
      </c>
      <c r="D60" s="31"/>
      <c r="E60" s="51">
        <f>+E55</f>
        <v>0</v>
      </c>
      <c r="F60" s="51">
        <f>+E60</f>
        <v>0</v>
      </c>
      <c r="G60" s="51">
        <f t="shared" ref="G60" si="40">+F60</f>
        <v>0</v>
      </c>
      <c r="H60" s="51">
        <f t="shared" ref="H60" si="41">+G60</f>
        <v>0</v>
      </c>
      <c r="I60" s="51">
        <f t="shared" ref="I60" si="42">+H60</f>
        <v>0</v>
      </c>
      <c r="J60" s="51">
        <f t="shared" ref="J60" si="43">+I60</f>
        <v>0</v>
      </c>
      <c r="K60" s="51">
        <f t="shared" ref="K60" si="44">+J60</f>
        <v>0</v>
      </c>
      <c r="L60" s="51">
        <f t="shared" ref="L60" si="45">+K60</f>
        <v>0</v>
      </c>
      <c r="M60" s="51">
        <f t="shared" ref="M60" si="46">+L60</f>
        <v>0</v>
      </c>
      <c r="N60" s="51">
        <f t="shared" ref="N60" si="47">+M60</f>
        <v>0</v>
      </c>
      <c r="O60" s="51">
        <f t="shared" ref="O60" si="48">+N60</f>
        <v>0</v>
      </c>
    </row>
    <row r="61" spans="1:15">
      <c r="A61" s="14">
        <f>+A60-1</f>
        <v>-30</v>
      </c>
      <c r="B61" s="46" t="s">
        <v>68</v>
      </c>
      <c r="C61" s="31" t="s">
        <v>71</v>
      </c>
      <c r="D61" s="31"/>
      <c r="E61" s="80">
        <f>E37</f>
        <v>2.564102564102564E-2</v>
      </c>
      <c r="F61" s="80">
        <f>E61</f>
        <v>2.564102564102564E-2</v>
      </c>
      <c r="G61" s="80">
        <f>F61</f>
        <v>2.564102564102564E-2</v>
      </c>
      <c r="H61" s="80">
        <f t="shared" ref="H61:O61" si="49">G61</f>
        <v>2.564102564102564E-2</v>
      </c>
      <c r="I61" s="80">
        <f t="shared" si="49"/>
        <v>2.564102564102564E-2</v>
      </c>
      <c r="J61" s="80">
        <f t="shared" si="49"/>
        <v>2.564102564102564E-2</v>
      </c>
      <c r="K61" s="80">
        <f t="shared" si="49"/>
        <v>2.564102564102564E-2</v>
      </c>
      <c r="L61" s="80">
        <f t="shared" si="49"/>
        <v>2.564102564102564E-2</v>
      </c>
      <c r="M61" s="80">
        <f t="shared" si="49"/>
        <v>2.564102564102564E-2</v>
      </c>
      <c r="N61" s="80">
        <f t="shared" si="49"/>
        <v>2.564102564102564E-2</v>
      </c>
      <c r="O61" s="80">
        <f t="shared" si="49"/>
        <v>2.564102564102564E-2</v>
      </c>
    </row>
    <row r="62" spans="1:15">
      <c r="A62" s="14">
        <f>+A61-1</f>
        <v>-31</v>
      </c>
      <c r="B62" s="46" t="s">
        <v>69</v>
      </c>
      <c r="C62" s="31" t="s">
        <v>181</v>
      </c>
      <c r="D62" s="31"/>
      <c r="E62" s="51">
        <f>+E60*E61</f>
        <v>0</v>
      </c>
      <c r="F62" s="51">
        <f t="shared" ref="F62:G62" si="50">+F60*F61</f>
        <v>0</v>
      </c>
      <c r="G62" s="51">
        <f t="shared" si="50"/>
        <v>0</v>
      </c>
      <c r="H62" s="51">
        <f t="shared" ref="H62:O62" si="51">+H60*H61</f>
        <v>0</v>
      </c>
      <c r="I62" s="51">
        <f t="shared" si="51"/>
        <v>0</v>
      </c>
      <c r="J62" s="51">
        <f t="shared" si="51"/>
        <v>0</v>
      </c>
      <c r="K62" s="51">
        <f t="shared" si="51"/>
        <v>0</v>
      </c>
      <c r="L62" s="51">
        <f t="shared" si="51"/>
        <v>0</v>
      </c>
      <c r="M62" s="51">
        <f t="shared" si="51"/>
        <v>0</v>
      </c>
      <c r="N62" s="51">
        <f t="shared" si="51"/>
        <v>0</v>
      </c>
      <c r="O62" s="51">
        <f t="shared" si="51"/>
        <v>0</v>
      </c>
    </row>
    <row r="63" spans="1:15">
      <c r="A63" s="14"/>
      <c r="C63" s="31"/>
      <c r="D63" s="31"/>
    </row>
    <row r="64" spans="1:15">
      <c r="A64" s="14">
        <f>+A62-1</f>
        <v>-32</v>
      </c>
      <c r="B64" s="46" t="s">
        <v>45</v>
      </c>
      <c r="C64" s="31" t="s">
        <v>182</v>
      </c>
      <c r="D64" s="31"/>
      <c r="E64" s="47">
        <f>+E58+E50+E62</f>
        <v>30058900</v>
      </c>
      <c r="F64" s="47">
        <f t="shared" ref="F64:G64" si="52">+F58+F50+F62</f>
        <v>54106020</v>
      </c>
      <c r="G64" s="47">
        <f t="shared" si="52"/>
        <v>43284816</v>
      </c>
      <c r="H64" s="47">
        <f t="shared" ref="H64:O64" si="53">+H58+H50+H62</f>
        <v>34627853</v>
      </c>
      <c r="I64" s="47">
        <f t="shared" si="53"/>
        <v>27714306</v>
      </c>
      <c r="J64" s="47">
        <f t="shared" si="53"/>
        <v>22153409</v>
      </c>
      <c r="K64" s="47">
        <f t="shared" si="53"/>
        <v>19688580</v>
      </c>
      <c r="L64" s="47">
        <f t="shared" si="53"/>
        <v>19688580</v>
      </c>
      <c r="M64" s="47">
        <f t="shared" si="53"/>
        <v>19718638</v>
      </c>
      <c r="N64" s="47">
        <f t="shared" si="53"/>
        <v>19688580</v>
      </c>
      <c r="O64" s="47">
        <f t="shared" si="53"/>
        <v>9859319</v>
      </c>
    </row>
    <row r="65" spans="1:16">
      <c r="A65" s="14"/>
      <c r="C65" s="31"/>
      <c r="D65" s="31"/>
      <c r="E65" s="52"/>
      <c r="F65" s="52"/>
      <c r="G65" s="52"/>
      <c r="H65" s="52"/>
      <c r="I65" s="52"/>
      <c r="J65" s="52"/>
      <c r="K65" s="52"/>
      <c r="L65" s="52"/>
      <c r="M65" s="52"/>
      <c r="N65" s="52"/>
      <c r="O65" s="52"/>
    </row>
    <row r="66" spans="1:16">
      <c r="A66" s="14">
        <f>+A64-1</f>
        <v>-33</v>
      </c>
      <c r="B66" s="46" t="s">
        <v>50</v>
      </c>
      <c r="C66" s="31" t="str">
        <f>+C42</f>
        <v>Page 2, Line (4)</v>
      </c>
      <c r="D66" s="31"/>
      <c r="E66" s="47">
        <f>+E42</f>
        <v>30013500</v>
      </c>
      <c r="F66" s="47">
        <f t="shared" ref="F66:O66" si="54">+F42</f>
        <v>0</v>
      </c>
      <c r="G66" s="47">
        <f t="shared" si="54"/>
        <v>0</v>
      </c>
      <c r="H66" s="47">
        <f t="shared" si="54"/>
        <v>0</v>
      </c>
      <c r="I66" s="47">
        <f t="shared" si="54"/>
        <v>0</v>
      </c>
      <c r="J66" s="47">
        <f t="shared" si="54"/>
        <v>0</v>
      </c>
      <c r="K66" s="47">
        <f t="shared" si="54"/>
        <v>0</v>
      </c>
      <c r="L66" s="47">
        <f t="shared" si="54"/>
        <v>0</v>
      </c>
      <c r="M66" s="47">
        <f t="shared" si="54"/>
        <v>0</v>
      </c>
      <c r="N66" s="47">
        <f t="shared" si="54"/>
        <v>0</v>
      </c>
      <c r="O66" s="47">
        <f t="shared" si="54"/>
        <v>0</v>
      </c>
    </row>
    <row r="67" spans="1:16">
      <c r="A67" s="31"/>
      <c r="C67" s="55"/>
    </row>
    <row r="68" spans="1:16" ht="15.75" thickBot="1">
      <c r="A68" s="14">
        <f>A66-1</f>
        <v>-34</v>
      </c>
      <c r="B68" s="46" t="s">
        <v>48</v>
      </c>
      <c r="C68" s="31" t="s">
        <v>183</v>
      </c>
      <c r="D68" s="31"/>
      <c r="E68" s="56">
        <f>E64+E66</f>
        <v>60072400</v>
      </c>
      <c r="F68" s="56">
        <f>F64+F66</f>
        <v>54106020</v>
      </c>
      <c r="G68" s="56">
        <f>G64+G66</f>
        <v>43284816</v>
      </c>
      <c r="H68" s="56">
        <f t="shared" ref="H68:O68" si="55">H64+H66</f>
        <v>34627853</v>
      </c>
      <c r="I68" s="56">
        <f t="shared" si="55"/>
        <v>27714306</v>
      </c>
      <c r="J68" s="56">
        <f t="shared" si="55"/>
        <v>22153409</v>
      </c>
      <c r="K68" s="56">
        <f t="shared" si="55"/>
        <v>19688580</v>
      </c>
      <c r="L68" s="56">
        <f t="shared" si="55"/>
        <v>19688580</v>
      </c>
      <c r="M68" s="56">
        <f t="shared" si="55"/>
        <v>19718638</v>
      </c>
      <c r="N68" s="56">
        <f t="shared" si="55"/>
        <v>19688580</v>
      </c>
      <c r="O68" s="56">
        <f t="shared" si="55"/>
        <v>9859319</v>
      </c>
      <c r="P68" s="51"/>
    </row>
    <row r="69" spans="1:16" ht="15.75" thickTop="1"/>
    <row r="70" spans="1:16">
      <c r="A70" s="10" t="s">
        <v>32</v>
      </c>
      <c r="B70" s="46" t="s">
        <v>112</v>
      </c>
    </row>
    <row r="71" spans="1:16">
      <c r="A71" s="17"/>
    </row>
  </sheetData>
  <mergeCells count="5">
    <mergeCell ref="A13:G13"/>
    <mergeCell ref="A12:G12"/>
    <mergeCell ref="A9:I9"/>
    <mergeCell ref="A10:I10"/>
    <mergeCell ref="A11:I11"/>
  </mergeCells>
  <printOptions horizontalCentered="1"/>
  <pageMargins left="0.75" right="0.5" top="0.5" bottom="0.5" header="0.5" footer="0.5"/>
  <pageSetup scale="54"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sheetPr>
  <dimension ref="A1:I46"/>
  <sheetViews>
    <sheetView workbookViewId="0">
      <pane xSplit="1" ySplit="18" topLeftCell="B19" activePane="bottomRight" state="frozen"/>
      <selection pane="topRight" activeCell="B1" sqref="B1"/>
      <selection pane="bottomLeft" activeCell="A19" sqref="A19"/>
      <selection pane="bottomRight" activeCell="B19" sqref="B19"/>
    </sheetView>
  </sheetViews>
  <sheetFormatPr defaultColWidth="9.140625" defaultRowHeight="15"/>
  <cols>
    <col min="1" max="1" width="9.140625" style="114"/>
    <col min="2" max="7" width="13.7109375" style="114" customWidth="1"/>
    <col min="8" max="16384" width="9.140625" style="114"/>
  </cols>
  <sheetData>
    <row r="1" spans="1:9">
      <c r="G1" s="110" t="s">
        <v>55</v>
      </c>
    </row>
    <row r="2" spans="1:9">
      <c r="G2" s="110" t="s">
        <v>54</v>
      </c>
    </row>
    <row r="3" spans="1:9">
      <c r="G3" s="110" t="s">
        <v>137</v>
      </c>
    </row>
    <row r="4" spans="1:9">
      <c r="G4" s="110" t="s">
        <v>138</v>
      </c>
    </row>
    <row r="5" spans="1:9">
      <c r="G5" s="1" t="s">
        <v>141</v>
      </c>
    </row>
    <row r="6" spans="1:9">
      <c r="G6" s="110" t="s">
        <v>184</v>
      </c>
    </row>
    <row r="7" spans="1:9">
      <c r="G7" s="111" t="s">
        <v>140</v>
      </c>
    </row>
    <row r="8" spans="1:9">
      <c r="B8" s="19"/>
    </row>
    <row r="9" spans="1:9">
      <c r="B9" s="19"/>
    </row>
    <row r="10" spans="1:9">
      <c r="A10" s="153" t="s">
        <v>55</v>
      </c>
      <c r="B10" s="153"/>
      <c r="C10" s="153"/>
      <c r="D10" s="153"/>
      <c r="E10" s="153"/>
      <c r="F10" s="153"/>
      <c r="G10" s="153"/>
      <c r="H10" s="46"/>
      <c r="I10" s="46"/>
    </row>
    <row r="11" spans="1:9">
      <c r="A11" s="153" t="s">
        <v>113</v>
      </c>
      <c r="B11" s="153"/>
      <c r="C11" s="153"/>
      <c r="D11" s="153"/>
      <c r="E11" s="153"/>
      <c r="F11" s="153"/>
      <c r="G11" s="153"/>
      <c r="H11" s="46"/>
      <c r="I11" s="46"/>
    </row>
    <row r="12" spans="1:9">
      <c r="A12" s="153" t="s">
        <v>190</v>
      </c>
      <c r="B12" s="153"/>
      <c r="C12" s="153"/>
      <c r="D12" s="153"/>
      <c r="E12" s="153"/>
      <c r="F12" s="153"/>
      <c r="G12" s="153"/>
      <c r="H12" s="46"/>
      <c r="I12" s="46"/>
    </row>
    <row r="13" spans="1:9">
      <c r="B13" s="19"/>
    </row>
    <row r="14" spans="1:9">
      <c r="B14" s="19"/>
    </row>
    <row r="16" spans="1:9" s="115" customFormat="1">
      <c r="A16" s="154" t="s">
        <v>99</v>
      </c>
      <c r="B16" s="154"/>
      <c r="C16" s="154"/>
      <c r="D16" s="154"/>
      <c r="E16" s="154"/>
      <c r="F16" s="154"/>
      <c r="G16" s="154"/>
    </row>
    <row r="17" spans="1:7" ht="6" customHeight="1">
      <c r="A17" s="117"/>
    </row>
    <row r="18" spans="1:7">
      <c r="A18" s="118" t="s">
        <v>73</v>
      </c>
      <c r="B18" s="119" t="s">
        <v>100</v>
      </c>
      <c r="C18" s="119" t="s">
        <v>101</v>
      </c>
      <c r="D18" s="119" t="s">
        <v>102</v>
      </c>
      <c r="E18" s="119" t="s">
        <v>103</v>
      </c>
      <c r="F18" s="119" t="s">
        <v>104</v>
      </c>
      <c r="G18" s="119" t="s">
        <v>105</v>
      </c>
    </row>
    <row r="19" spans="1:7">
      <c r="A19" s="120">
        <v>1</v>
      </c>
      <c r="B19" s="121">
        <v>0.33329999999999999</v>
      </c>
      <c r="C19" s="121">
        <v>0.2</v>
      </c>
      <c r="D19" s="121">
        <v>0.1429</v>
      </c>
      <c r="E19" s="121">
        <v>0.1</v>
      </c>
      <c r="F19" s="121">
        <v>0.05</v>
      </c>
      <c r="G19" s="122">
        <v>3.7499999999999999E-2</v>
      </c>
    </row>
    <row r="20" spans="1:7">
      <c r="A20" s="120">
        <v>2</v>
      </c>
      <c r="B20" s="123">
        <v>44.45</v>
      </c>
      <c r="C20" s="124">
        <v>32</v>
      </c>
      <c r="D20" s="124">
        <v>24.49</v>
      </c>
      <c r="E20" s="125">
        <v>0.18</v>
      </c>
      <c r="F20" s="124">
        <v>9.5</v>
      </c>
      <c r="G20" s="123">
        <v>7.2190000000000003</v>
      </c>
    </row>
    <row r="21" spans="1:7">
      <c r="A21" s="120">
        <v>3</v>
      </c>
      <c r="B21" s="123">
        <v>14.81</v>
      </c>
      <c r="C21" s="124">
        <v>19.2</v>
      </c>
      <c r="D21" s="124">
        <v>17.489999999999998</v>
      </c>
      <c r="E21" s="121">
        <v>0.14399999999999999</v>
      </c>
      <c r="F21" s="124">
        <v>8.5500000000000007</v>
      </c>
      <c r="G21" s="123">
        <v>6.6769999999999996</v>
      </c>
    </row>
    <row r="22" spans="1:7">
      <c r="A22" s="120">
        <v>4</v>
      </c>
      <c r="B22" s="123">
        <v>7.41</v>
      </c>
      <c r="C22" s="124">
        <v>11.52</v>
      </c>
      <c r="D22" s="124">
        <v>12.49</v>
      </c>
      <c r="E22" s="121">
        <v>0.1152</v>
      </c>
      <c r="F22" s="124">
        <v>7.7</v>
      </c>
      <c r="G22" s="123">
        <v>6.1769999999999996</v>
      </c>
    </row>
    <row r="23" spans="1:7">
      <c r="A23" s="120">
        <v>5</v>
      </c>
      <c r="B23" s="124"/>
      <c r="C23" s="124">
        <v>11.52</v>
      </c>
      <c r="D23" s="123" t="s">
        <v>106</v>
      </c>
      <c r="E23" s="121">
        <v>9.2200000000000004E-2</v>
      </c>
      <c r="F23" s="124">
        <v>6.93</v>
      </c>
      <c r="G23" s="123">
        <v>5.7130000000000001</v>
      </c>
    </row>
    <row r="24" spans="1:7">
      <c r="A24" s="120">
        <v>6</v>
      </c>
      <c r="B24" s="124"/>
      <c r="C24" s="123" t="s">
        <v>107</v>
      </c>
      <c r="D24" s="124">
        <v>8.92</v>
      </c>
      <c r="E24" s="121">
        <v>7.3700000000000002E-2</v>
      </c>
      <c r="F24" s="124">
        <v>6.23</v>
      </c>
      <c r="G24" s="123">
        <v>5.2850000000000001</v>
      </c>
    </row>
    <row r="25" spans="1:7">
      <c r="A25" s="120">
        <v>7</v>
      </c>
      <c r="B25" s="124"/>
      <c r="C25" s="124"/>
      <c r="D25" s="124">
        <v>8.93</v>
      </c>
      <c r="E25" s="121">
        <v>6.5500000000000003E-2</v>
      </c>
      <c r="F25" s="123">
        <v>5.9</v>
      </c>
      <c r="G25" s="123">
        <v>4.8879999999999999</v>
      </c>
    </row>
    <row r="26" spans="1:7">
      <c r="A26" s="120">
        <v>8</v>
      </c>
      <c r="B26" s="124"/>
      <c r="C26" s="124"/>
      <c r="D26" s="124">
        <v>4.46</v>
      </c>
      <c r="E26" s="121">
        <v>6.5500000000000003E-2</v>
      </c>
      <c r="F26" s="124">
        <v>5.9</v>
      </c>
      <c r="G26" s="123">
        <v>4.5220000000000002</v>
      </c>
    </row>
    <row r="27" spans="1:7">
      <c r="A27" s="120">
        <v>9</v>
      </c>
      <c r="B27" s="124"/>
      <c r="C27" s="124"/>
      <c r="D27" s="124"/>
      <c r="E27" s="121">
        <v>6.5600000000000006E-2</v>
      </c>
      <c r="F27" s="124">
        <v>5.91</v>
      </c>
      <c r="G27" s="123">
        <v>4.4619999999999997</v>
      </c>
    </row>
    <row r="28" spans="1:7">
      <c r="A28" s="120">
        <v>10</v>
      </c>
      <c r="B28" s="124"/>
      <c r="C28" s="124"/>
      <c r="D28" s="124"/>
      <c r="E28" s="121">
        <v>6.5500000000000003E-2</v>
      </c>
      <c r="F28" s="124">
        <v>5.9</v>
      </c>
      <c r="G28" s="123">
        <v>4.4610000000000003</v>
      </c>
    </row>
    <row r="29" spans="1:7">
      <c r="A29" s="120">
        <v>11</v>
      </c>
      <c r="B29" s="124"/>
      <c r="C29" s="124"/>
      <c r="D29" s="124"/>
      <c r="E29" s="121">
        <v>3.2800000000000003E-2</v>
      </c>
      <c r="F29" s="124">
        <v>5.9</v>
      </c>
      <c r="G29" s="123">
        <v>4.4619999999999997</v>
      </c>
    </row>
    <row r="30" spans="1:7">
      <c r="A30" s="120">
        <v>12</v>
      </c>
      <c r="B30" s="124"/>
      <c r="C30" s="124"/>
      <c r="D30" s="124"/>
      <c r="E30" s="121"/>
      <c r="F30" s="124">
        <v>5.9</v>
      </c>
      <c r="G30" s="123">
        <v>4.4610000000000003</v>
      </c>
    </row>
    <row r="31" spans="1:7">
      <c r="A31" s="120">
        <v>13</v>
      </c>
      <c r="B31" s="124"/>
      <c r="C31" s="124"/>
      <c r="D31" s="124"/>
      <c r="E31" s="121"/>
      <c r="F31" s="124">
        <v>5.91</v>
      </c>
      <c r="G31" s="123">
        <v>4.4619999999999997</v>
      </c>
    </row>
    <row r="32" spans="1:7">
      <c r="A32" s="120">
        <v>14</v>
      </c>
      <c r="B32" s="124"/>
      <c r="C32" s="124"/>
      <c r="D32" s="124"/>
      <c r="E32" s="121"/>
      <c r="F32" s="124">
        <v>5.9</v>
      </c>
      <c r="G32" s="123">
        <v>4.4610000000000003</v>
      </c>
    </row>
    <row r="33" spans="1:7">
      <c r="A33" s="120">
        <v>15</v>
      </c>
      <c r="B33" s="124"/>
      <c r="C33" s="124"/>
      <c r="D33" s="124"/>
      <c r="E33" s="121"/>
      <c r="F33" s="124">
        <v>5.91</v>
      </c>
      <c r="G33" s="123">
        <v>4.4619999999999997</v>
      </c>
    </row>
    <row r="34" spans="1:7">
      <c r="A34" s="120">
        <v>16</v>
      </c>
      <c r="B34" s="124"/>
      <c r="C34" s="124"/>
      <c r="D34" s="124"/>
      <c r="E34" s="121"/>
      <c r="F34" s="124">
        <v>2.95</v>
      </c>
      <c r="G34" s="123">
        <v>4.4610000000000003</v>
      </c>
    </row>
    <row r="35" spans="1:7">
      <c r="A35" s="120">
        <v>17</v>
      </c>
      <c r="B35" s="124"/>
      <c r="C35" s="124"/>
      <c r="D35" s="124"/>
      <c r="E35" s="121"/>
      <c r="F35" s="124"/>
      <c r="G35" s="123">
        <v>4.4619999999999997</v>
      </c>
    </row>
    <row r="36" spans="1:7">
      <c r="A36" s="120">
        <v>18</v>
      </c>
      <c r="B36" s="124"/>
      <c r="C36" s="124"/>
      <c r="D36" s="124"/>
      <c r="E36" s="121"/>
      <c r="F36" s="124"/>
      <c r="G36" s="123">
        <v>4.4610000000000003</v>
      </c>
    </row>
    <row r="37" spans="1:7">
      <c r="A37" s="120">
        <v>19</v>
      </c>
      <c r="B37" s="124"/>
      <c r="C37" s="124"/>
      <c r="D37" s="124"/>
      <c r="E37" s="124"/>
      <c r="F37" s="124"/>
      <c r="G37" s="123">
        <v>4.4619999999999997</v>
      </c>
    </row>
    <row r="38" spans="1:7">
      <c r="A38" s="120">
        <v>20</v>
      </c>
      <c r="B38" s="124"/>
      <c r="C38" s="124"/>
      <c r="D38" s="124"/>
      <c r="E38" s="124"/>
      <c r="F38" s="124"/>
      <c r="G38" s="123">
        <v>4.4610000000000003</v>
      </c>
    </row>
    <row r="39" spans="1:7">
      <c r="A39" s="128">
        <v>21</v>
      </c>
      <c r="B39" s="129"/>
      <c r="C39" s="129"/>
      <c r="D39" s="129"/>
      <c r="E39" s="129"/>
      <c r="F39" s="129"/>
      <c r="G39" s="130">
        <v>2.2309999999999999</v>
      </c>
    </row>
    <row r="40" spans="1:7" ht="15.75">
      <c r="E40" s="103"/>
    </row>
    <row r="41" spans="1:7" ht="15.75">
      <c r="A41" s="116"/>
      <c r="E41" s="104"/>
    </row>
    <row r="42" spans="1:7" ht="15.75">
      <c r="E42" s="104"/>
    </row>
    <row r="43" spans="1:7" ht="15.75">
      <c r="E43" s="104"/>
    </row>
    <row r="44" spans="1:7" ht="15.75">
      <c r="E44" s="104"/>
    </row>
    <row r="45" spans="1:7" ht="15.75">
      <c r="E45" s="104"/>
    </row>
    <row r="46" spans="1:7" ht="15.75">
      <c r="E46" s="104"/>
    </row>
  </sheetData>
  <mergeCells count="4">
    <mergeCell ref="A16:G16"/>
    <mergeCell ref="A10:G10"/>
    <mergeCell ref="A11:G11"/>
    <mergeCell ref="A12:G12"/>
  </mergeCells>
  <pageMargins left="0.75"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sheetPr>
  <dimension ref="A1:M38"/>
  <sheetViews>
    <sheetView zoomScaleNormal="100" zoomScaleSheetLayoutView="100" workbookViewId="0"/>
  </sheetViews>
  <sheetFormatPr defaultColWidth="9.140625" defaultRowHeight="15"/>
  <cols>
    <col min="1" max="1" width="5.42578125" style="131" customWidth="1"/>
    <col min="2" max="2" width="2.7109375" style="132" customWidth="1"/>
    <col min="3" max="3" width="22.140625" style="131" customWidth="1"/>
    <col min="4" max="4" width="12.5703125" style="131" customWidth="1"/>
    <col min="5" max="5" width="1.7109375" style="131" customWidth="1"/>
    <col min="6" max="6" width="14.5703125" style="131" customWidth="1"/>
    <col min="7" max="7" width="3" style="131" customWidth="1"/>
    <col min="8" max="8" width="13" style="131" customWidth="1"/>
    <col min="9" max="9" width="1.7109375" style="131" customWidth="1"/>
    <col min="10" max="10" width="9.140625" style="131"/>
    <col min="11" max="11" width="3.28515625" style="131" customWidth="1"/>
    <col min="12" max="12" width="12" style="131" customWidth="1"/>
    <col min="13" max="13" width="5.85546875" style="131" customWidth="1"/>
    <col min="14" max="16384" width="9.140625" style="131"/>
  </cols>
  <sheetData>
    <row r="1" spans="1:13">
      <c r="C1" s="19"/>
      <c r="L1" s="110" t="s">
        <v>55</v>
      </c>
      <c r="M1" s="133"/>
    </row>
    <row r="2" spans="1:13">
      <c r="L2" s="110" t="s">
        <v>54</v>
      </c>
      <c r="M2" s="133"/>
    </row>
    <row r="3" spans="1:13">
      <c r="L3" s="110" t="s">
        <v>137</v>
      </c>
      <c r="M3" s="133"/>
    </row>
    <row r="4" spans="1:13">
      <c r="L4" s="110" t="s">
        <v>138</v>
      </c>
      <c r="M4" s="133"/>
    </row>
    <row r="5" spans="1:13">
      <c r="L5" s="1" t="s">
        <v>141</v>
      </c>
      <c r="M5" s="133"/>
    </row>
    <row r="6" spans="1:13">
      <c r="L6" s="110" t="s">
        <v>185</v>
      </c>
      <c r="M6" s="133"/>
    </row>
    <row r="7" spans="1:13" hidden="1">
      <c r="L7" s="111" t="s">
        <v>140</v>
      </c>
      <c r="M7" s="133"/>
    </row>
    <row r="8" spans="1:13">
      <c r="M8" s="133"/>
    </row>
    <row r="10" spans="1:13">
      <c r="A10" s="153" t="s">
        <v>55</v>
      </c>
      <c r="B10" s="153"/>
      <c r="C10" s="153"/>
      <c r="D10" s="153"/>
      <c r="E10" s="153"/>
      <c r="F10" s="153"/>
      <c r="G10" s="153"/>
      <c r="H10" s="153"/>
      <c r="I10" s="153"/>
      <c r="J10" s="153"/>
      <c r="K10" s="153"/>
      <c r="L10" s="153"/>
    </row>
    <row r="11" spans="1:13">
      <c r="A11" s="153" t="s">
        <v>113</v>
      </c>
      <c r="B11" s="153"/>
      <c r="C11" s="153"/>
      <c r="D11" s="153"/>
      <c r="E11" s="153"/>
      <c r="F11" s="153"/>
      <c r="G11" s="153"/>
      <c r="H11" s="153"/>
      <c r="I11" s="153"/>
      <c r="J11" s="153"/>
      <c r="K11" s="153"/>
      <c r="L11" s="153"/>
    </row>
    <row r="12" spans="1:13">
      <c r="A12" s="153" t="s">
        <v>81</v>
      </c>
      <c r="B12" s="153"/>
      <c r="C12" s="153"/>
      <c r="D12" s="153"/>
      <c r="E12" s="153"/>
      <c r="F12" s="153"/>
      <c r="G12" s="153"/>
      <c r="H12" s="153"/>
      <c r="I12" s="153"/>
      <c r="J12" s="153"/>
      <c r="K12" s="153"/>
      <c r="L12" s="153"/>
    </row>
    <row r="14" spans="1:13">
      <c r="D14" s="134" t="s">
        <v>82</v>
      </c>
      <c r="F14" s="134" t="s">
        <v>83</v>
      </c>
      <c r="H14" s="134" t="s">
        <v>74</v>
      </c>
      <c r="J14" s="134"/>
      <c r="L14" s="134" t="s">
        <v>84</v>
      </c>
    </row>
    <row r="15" spans="1:13">
      <c r="C15" s="134" t="s">
        <v>75</v>
      </c>
      <c r="D15" s="135" t="s">
        <v>85</v>
      </c>
      <c r="F15" s="135" t="s">
        <v>86</v>
      </c>
      <c r="H15" s="135" t="s">
        <v>87</v>
      </c>
      <c r="J15" s="135" t="s">
        <v>76</v>
      </c>
      <c r="L15" s="135" t="s">
        <v>88</v>
      </c>
    </row>
    <row r="16" spans="1:13">
      <c r="D16" s="134" t="s">
        <v>0</v>
      </c>
      <c r="F16" s="134" t="s">
        <v>1</v>
      </c>
      <c r="H16" s="134" t="s">
        <v>89</v>
      </c>
      <c r="J16" s="134" t="s">
        <v>62</v>
      </c>
      <c r="L16" s="134" t="s">
        <v>90</v>
      </c>
    </row>
    <row r="18" spans="1:12" ht="18">
      <c r="A18" s="134" t="str">
        <f>TRIM(B18)</f>
        <v>1</v>
      </c>
      <c r="B18" s="136">
        <v>1</v>
      </c>
      <c r="C18" s="131" t="s">
        <v>77</v>
      </c>
      <c r="D18" s="142">
        <v>0.46426766000000003</v>
      </c>
      <c r="F18" s="142">
        <v>5.2174199999999997E-2</v>
      </c>
      <c r="G18" s="64" t="s">
        <v>32</v>
      </c>
      <c r="H18" s="142">
        <f>ROUND(D18*F18,4)</f>
        <v>2.4199999999999999E-2</v>
      </c>
      <c r="J18" s="142"/>
      <c r="L18" s="142">
        <f>H18+J18</f>
        <v>2.4199999999999999E-2</v>
      </c>
    </row>
    <row r="19" spans="1:12">
      <c r="A19" s="134" t="str">
        <f t="shared" ref="A19:A23" si="0">TRIM(B19)</f>
        <v>2</v>
      </c>
      <c r="B19" s="136">
        <v>2</v>
      </c>
      <c r="F19" s="142"/>
    </row>
    <row r="20" spans="1:12" ht="18">
      <c r="A20" s="134" t="str">
        <f t="shared" si="0"/>
        <v>3</v>
      </c>
      <c r="B20" s="136">
        <v>3</v>
      </c>
      <c r="C20" s="131" t="s">
        <v>78</v>
      </c>
      <c r="D20" s="142">
        <v>8.0657999999999999E-4</v>
      </c>
      <c r="F20" s="142">
        <v>4.4399800000000003E-2</v>
      </c>
      <c r="G20" s="64" t="s">
        <v>32</v>
      </c>
      <c r="H20" s="142">
        <f>ROUND(D20*F20,4)</f>
        <v>0</v>
      </c>
      <c r="J20" s="142"/>
      <c r="L20" s="142">
        <f>H20+J20</f>
        <v>0</v>
      </c>
    </row>
    <row r="21" spans="1:12">
      <c r="A21" s="134" t="str">
        <f t="shared" si="0"/>
        <v>4</v>
      </c>
      <c r="B21" s="136">
        <v>4</v>
      </c>
      <c r="F21" s="142"/>
    </row>
    <row r="22" spans="1:12" ht="18">
      <c r="A22" s="134" t="str">
        <f t="shared" si="0"/>
        <v>5</v>
      </c>
      <c r="B22" s="136">
        <v>5</v>
      </c>
      <c r="C22" s="131" t="s">
        <v>79</v>
      </c>
      <c r="D22" s="143">
        <v>0.53492576999999997</v>
      </c>
      <c r="F22" s="142">
        <v>9.6000000000000002E-2</v>
      </c>
      <c r="G22" s="64" t="s">
        <v>72</v>
      </c>
      <c r="H22" s="143">
        <f>ROUND(D22*F22,4)</f>
        <v>5.1400000000000001E-2</v>
      </c>
      <c r="J22" s="143">
        <f>(ROUND(H22/(1-0.2732)-H22,4))</f>
        <v>1.9300000000000001E-2</v>
      </c>
      <c r="K22" s="64" t="s">
        <v>41</v>
      </c>
      <c r="L22" s="143">
        <f>H22+J22</f>
        <v>7.0699999999999999E-2</v>
      </c>
    </row>
    <row r="23" spans="1:12">
      <c r="A23" s="134" t="str">
        <f t="shared" si="0"/>
        <v>6</v>
      </c>
      <c r="B23" s="136">
        <v>6</v>
      </c>
    </row>
    <row r="24" spans="1:12" ht="15.75" thickBot="1">
      <c r="A24" s="134" t="str">
        <f>TRIM(B24)</f>
        <v>7</v>
      </c>
      <c r="B24" s="136">
        <v>7</v>
      </c>
      <c r="C24" s="131" t="s">
        <v>80</v>
      </c>
      <c r="D24" s="144">
        <f>SUM(D18:D22)</f>
        <v>1.0000000099999999</v>
      </c>
      <c r="H24" s="144">
        <f>SUM(H18:H22)</f>
        <v>7.5600000000000001E-2</v>
      </c>
      <c r="J24" s="144">
        <f>SUM(J18:J22)</f>
        <v>1.9300000000000001E-2</v>
      </c>
      <c r="L24" s="144">
        <f>SUM(L18:L22)</f>
        <v>9.4899999999999998E-2</v>
      </c>
    </row>
    <row r="25" spans="1:12" ht="15.75" thickTop="1"/>
    <row r="26" spans="1:12">
      <c r="A26" s="137"/>
      <c r="B26" s="138"/>
    </row>
    <row r="27" spans="1:12" ht="18">
      <c r="A27" s="134" t="str">
        <f>G18</f>
        <v>1/</v>
      </c>
      <c r="B27" s="139"/>
      <c r="C27" s="131" t="s">
        <v>91</v>
      </c>
    </row>
    <row r="28" spans="1:12" ht="18">
      <c r="A28" s="134" t="str">
        <f>K22</f>
        <v>2/</v>
      </c>
      <c r="B28" s="139"/>
      <c r="C28" s="131" t="str">
        <f>CONCATENATE("Line ",A22,"(c) /(1-",F38,") - Line ",A22,"(c)")</f>
        <v>Line 5(c) /(1-0.2732) - Line 5(c)</v>
      </c>
    </row>
    <row r="29" spans="1:12" ht="18">
      <c r="A29" s="134" t="str">
        <f>G22</f>
        <v>3/</v>
      </c>
      <c r="B29" s="139"/>
      <c r="C29" s="131" t="s">
        <v>92</v>
      </c>
    </row>
    <row r="31" spans="1:12" ht="29.25">
      <c r="C31" s="65" t="s">
        <v>20</v>
      </c>
      <c r="F31" s="66" t="s">
        <v>93</v>
      </c>
    </row>
    <row r="32" spans="1:12">
      <c r="C32" s="131" t="s">
        <v>94</v>
      </c>
      <c r="F32" s="140">
        <v>0.21</v>
      </c>
    </row>
    <row r="33" spans="3:6">
      <c r="C33" s="131" t="s">
        <v>95</v>
      </c>
      <c r="F33" s="141">
        <v>0.08</v>
      </c>
    </row>
    <row r="34" spans="3:6">
      <c r="C34" s="131" t="s">
        <v>96</v>
      </c>
      <c r="F34" s="140">
        <f>F32*F33</f>
        <v>1.6799999999999999E-2</v>
      </c>
    </row>
    <row r="36" spans="3:6">
      <c r="C36" s="131" t="s">
        <v>97</v>
      </c>
      <c r="F36" s="140">
        <f>F33-F34</f>
        <v>6.3200000000000006E-2</v>
      </c>
    </row>
    <row r="37" spans="3:6">
      <c r="C37" s="131" t="s">
        <v>94</v>
      </c>
      <c r="F37" s="141">
        <f>F32</f>
        <v>0.21</v>
      </c>
    </row>
    <row r="38" spans="3:6">
      <c r="C38" s="131" t="s">
        <v>98</v>
      </c>
      <c r="F38" s="140">
        <f>F36+F37</f>
        <v>0.2732</v>
      </c>
    </row>
  </sheetData>
  <mergeCells count="3">
    <mergeCell ref="A10:L10"/>
    <mergeCell ref="A11:L11"/>
    <mergeCell ref="A12:L12"/>
  </mergeCells>
  <printOptions horizontalCentered="1"/>
  <pageMargins left="0.75" right="0.5" top="0.5" bottom="0.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07B44-9B34-4166-8BC1-07900C3AA12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9984dcb-58f2-4374-af9f-0bb0e3f8c7f5"/>
    <ds:schemaRef ds:uri="8d4b8821-ef37-4f53-aebe-b776e57a5947"/>
    <ds:schemaRef ds:uri="http://www.w3.org/XML/1998/namespace"/>
    <ds:schemaRef ds:uri="http://purl.org/dc/dcmitype/"/>
  </ds:schemaRefs>
</ds:datastoreItem>
</file>

<file path=customXml/itemProps2.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3.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Exh NG-5 Cap Adds 1</vt:lpstr>
      <vt:lpstr>Tax Depr 1</vt:lpstr>
      <vt:lpstr>MACRS</vt:lpstr>
      <vt:lpstr>Cap Struct MECO Rate Case</vt:lpstr>
      <vt:lpstr>'Cap Struct MECO Rate Case'!Print_Area</vt:lpstr>
      <vt:lpstr>'Exh NG-5 Cap Adds 1'!Print_Area</vt:lpstr>
      <vt:lpstr>MACRS!Print_Area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Burns, Theresa M.</cp:lastModifiedBy>
  <cp:lastPrinted>2021-04-06T16:58:30Z</cp:lastPrinted>
  <dcterms:created xsi:type="dcterms:W3CDTF">2015-12-22T16:05:24Z</dcterms:created>
  <dcterms:modified xsi:type="dcterms:W3CDTF">2021-04-06T20:38:16Z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