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energy\13. NSTAR ELECTRIC\20-75 DG Cost Allocation\Discovery\Individuals Filed by Set\4-6-21 IRs\4-6-21\"/>
    </mc:Choice>
  </mc:AlternateContent>
  <xr:revisionPtr revIDLastSave="0" documentId="13_ncr:1_{3E13050B-DF71-4E1A-8C44-D52ABFD4C3C8}" xr6:coauthVersionLast="46" xr6:coauthVersionMax="46" xr10:uidLastSave="{00000000-0000-0000-0000-000000000000}"/>
  <bookViews>
    <workbookView xWindow="-28920" yWindow="360" windowWidth="29040" windowHeight="15840" tabRatio="893" xr2:uid="{BEF47584-5D78-440D-9144-4EA1011DE972}"/>
  </bookViews>
  <sheets>
    <sheet name="Summary" sheetId="30" r:id="rId1"/>
    <sheet name="Final Station Group" sheetId="44" r:id="rId2"/>
    <sheet name="Group 1 Cost" sheetId="40" r:id="rId3"/>
    <sheet name="Group 2 Cost" sheetId="45" r:id="rId4"/>
    <sheet name="Group 3 Cost" sheetId="46" r:id="rId5"/>
    <sheet name="Group 4 Cost" sheetId="47" r:id="rId6"/>
    <sheet name="Group 5 Cost" sheetId="48" r:id="rId7"/>
    <sheet name="Group 6 Cost" sheetId="50" r:id="rId8"/>
    <sheet name="Group 7 Cost" sheetId="49" r:id="rId9"/>
    <sheet name="ASO Study Transmission Cost" sheetId="41" r:id="rId10"/>
  </sheets>
  <externalReferences>
    <externalReference r:id="rId11"/>
    <externalReference r:id="rId12"/>
  </externalReferences>
  <definedNames>
    <definedName name="_xlnm._FilterDatabase" localSheetId="1" hidden="1">'Final Station Group'!$A$3:$AB$25</definedName>
    <definedName name="_xlnm._FilterDatabase" localSheetId="2" hidden="1">'Group 1 Cost'!$B$3:$J$7</definedName>
    <definedName name="_xlnm._FilterDatabase" localSheetId="3" hidden="1">'Group 2 Cost'!$B$3:$J$10</definedName>
    <definedName name="_xlnm._FilterDatabase" localSheetId="4" hidden="1">'Group 3 Cost'!$B$3:$J$9</definedName>
    <definedName name="_xlnm._FilterDatabase" localSheetId="5" hidden="1">'Group 4 Cost'!$B$3:$J$4</definedName>
    <definedName name="_xlnm._FilterDatabase" localSheetId="6" hidden="1">'Group 5 Cost'!$B$3:$J$5</definedName>
    <definedName name="_xlnm._FilterDatabase" localSheetId="7" hidden="1">'Group 6 Cost'!$B$3:$J$4</definedName>
    <definedName name="_xlnm._FilterDatabase" localSheetId="8" hidden="1">'Group 7 Cost'!$B$3:$I$4</definedName>
    <definedName name="MALegalHolidays">[1]MALegalHolidays!$C$4:$C$14</definedName>
    <definedName name="Townfix">'[2]Towns and Zips'!$F$5:$H$400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49" l="1"/>
  <c r="H5" i="48" l="1"/>
  <c r="H10" i="46"/>
  <c r="H7" i="40"/>
  <c r="H5" i="40"/>
  <c r="I4" i="47"/>
  <c r="C10" i="30" l="1"/>
  <c r="L16" i="44" l="1"/>
  <c r="H8" i="40" l="1"/>
  <c r="H6" i="48"/>
  <c r="H11" i="45"/>
  <c r="I4" i="30" l="1"/>
  <c r="I5" i="30"/>
  <c r="I6" i="30"/>
  <c r="I7" i="30"/>
  <c r="I8" i="30"/>
  <c r="I9" i="30"/>
  <c r="I3" i="30"/>
  <c r="R23" i="44"/>
  <c r="W5" i="44" l="1"/>
  <c r="U4" i="44"/>
  <c r="U5" i="44"/>
  <c r="U6" i="44"/>
  <c r="U7" i="44"/>
  <c r="W4" i="44"/>
  <c r="J4" i="44"/>
  <c r="W25" i="44" l="1"/>
  <c r="W18" i="44"/>
  <c r="W17" i="44"/>
  <c r="W16" i="44"/>
  <c r="W15" i="44"/>
  <c r="W14" i="44"/>
  <c r="W13" i="44"/>
  <c r="W12" i="44"/>
  <c r="W11" i="44"/>
  <c r="W10" i="44"/>
  <c r="W9" i="44"/>
  <c r="W8" i="44"/>
  <c r="W7" i="44"/>
  <c r="W6" i="44"/>
  <c r="S6" i="44"/>
  <c r="S7" i="44"/>
  <c r="S9" i="44"/>
  <c r="S10" i="44"/>
  <c r="S12" i="44"/>
  <c r="S15" i="44"/>
  <c r="S16" i="44"/>
  <c r="S17" i="44"/>
  <c r="S18" i="44"/>
  <c r="S19" i="44"/>
  <c r="S20" i="44"/>
  <c r="S22" i="44"/>
  <c r="S23" i="44"/>
  <c r="Q25" i="44"/>
  <c r="Y25" i="44" s="1"/>
  <c r="Q24" i="44"/>
  <c r="Y24" i="44" s="1"/>
  <c r="Q23" i="44"/>
  <c r="Y23" i="44" s="1"/>
  <c r="Q22" i="44"/>
  <c r="Y22" i="44" s="1"/>
  <c r="Q21" i="44"/>
  <c r="Y21" i="44" s="1"/>
  <c r="Q20" i="44"/>
  <c r="Y20" i="44" s="1"/>
  <c r="Q19" i="44"/>
  <c r="Y19" i="44" s="1"/>
  <c r="Q18" i="44"/>
  <c r="Y18" i="44" s="1"/>
  <c r="Q17" i="44"/>
  <c r="Y17" i="44" s="1"/>
  <c r="Q16" i="44"/>
  <c r="Y16" i="44" s="1"/>
  <c r="Q15" i="44"/>
  <c r="Y15" i="44" s="1"/>
  <c r="Q14" i="44"/>
  <c r="Y14" i="44" s="1"/>
  <c r="Q13" i="44"/>
  <c r="Y13" i="44" s="1"/>
  <c r="Q12" i="44"/>
  <c r="Y12" i="44" s="1"/>
  <c r="Q11" i="44"/>
  <c r="Y11" i="44" s="1"/>
  <c r="Q10" i="44"/>
  <c r="Y10" i="44" s="1"/>
  <c r="Q9" i="44"/>
  <c r="Y9" i="44" s="1"/>
  <c r="Q8" i="44"/>
  <c r="Y8" i="44" s="1"/>
  <c r="Q7" i="44"/>
  <c r="Y7" i="44" s="1"/>
  <c r="Q6" i="44"/>
  <c r="Y6" i="44" s="1"/>
  <c r="Q5" i="44"/>
  <c r="Y5" i="44" s="1"/>
  <c r="Q4" i="44"/>
  <c r="Y4" i="44" s="1"/>
  <c r="C11" i="30"/>
  <c r="I26" i="44"/>
  <c r="G26" i="44"/>
  <c r="F26" i="44"/>
  <c r="E26" i="44"/>
  <c r="D26" i="44"/>
  <c r="K25" i="44"/>
  <c r="N25" i="44" s="1"/>
  <c r="R25" i="44"/>
  <c r="P25" i="44"/>
  <c r="O25" i="44"/>
  <c r="M25" i="44"/>
  <c r="L25" i="44"/>
  <c r="K18" i="44"/>
  <c r="N18" i="44" s="1"/>
  <c r="P18" i="44"/>
  <c r="O18" i="44"/>
  <c r="M18" i="44"/>
  <c r="L18" i="44"/>
  <c r="R18" i="44" s="1"/>
  <c r="K17" i="44"/>
  <c r="N17" i="44" s="1"/>
  <c r="K16" i="44"/>
  <c r="N16" i="44" s="1"/>
  <c r="P17" i="44"/>
  <c r="O17" i="44"/>
  <c r="P16" i="44"/>
  <c r="O16" i="44"/>
  <c r="M17" i="44"/>
  <c r="L17" i="44"/>
  <c r="R17" i="44" s="1"/>
  <c r="M16" i="44"/>
  <c r="R16" i="44"/>
  <c r="K15" i="44"/>
  <c r="N15" i="44" s="1"/>
  <c r="P15" i="44"/>
  <c r="O15" i="44"/>
  <c r="M15" i="44"/>
  <c r="L15" i="44"/>
  <c r="R15" i="44" s="1"/>
  <c r="K24" i="44"/>
  <c r="N24" i="44" s="1"/>
  <c r="K23" i="44"/>
  <c r="N23" i="44" s="1"/>
  <c r="K22" i="44"/>
  <c r="N22" i="44" s="1"/>
  <c r="K21" i="44"/>
  <c r="N21" i="44" s="1"/>
  <c r="K20" i="44"/>
  <c r="N20" i="44" s="1"/>
  <c r="K19" i="44"/>
  <c r="N19" i="44" s="1"/>
  <c r="P24" i="44"/>
  <c r="O24" i="44"/>
  <c r="P23" i="44"/>
  <c r="O23" i="44"/>
  <c r="P22" i="44"/>
  <c r="O22" i="44"/>
  <c r="P21" i="44"/>
  <c r="O21" i="44"/>
  <c r="P20" i="44"/>
  <c r="O20" i="44"/>
  <c r="P19" i="44"/>
  <c r="O19" i="44"/>
  <c r="M24" i="44"/>
  <c r="L24" i="44"/>
  <c r="R24" i="44" s="1"/>
  <c r="M23" i="44"/>
  <c r="M22" i="44"/>
  <c r="L22" i="44"/>
  <c r="R22" i="44" s="1"/>
  <c r="M21" i="44"/>
  <c r="L21" i="44"/>
  <c r="R21" i="44" s="1"/>
  <c r="M20" i="44"/>
  <c r="L20" i="44"/>
  <c r="R20" i="44" s="1"/>
  <c r="M19" i="44"/>
  <c r="L19" i="44"/>
  <c r="R19" i="44" s="1"/>
  <c r="K14" i="44"/>
  <c r="N14" i="44" s="1"/>
  <c r="K13" i="44"/>
  <c r="N13" i="44" s="1"/>
  <c r="K12" i="44"/>
  <c r="N12" i="44" s="1"/>
  <c r="K11" i="44"/>
  <c r="N11" i="44" s="1"/>
  <c r="K10" i="44"/>
  <c r="N10" i="44" s="1"/>
  <c r="K9" i="44"/>
  <c r="N9" i="44" s="1"/>
  <c r="K8" i="44"/>
  <c r="N8" i="44" s="1"/>
  <c r="P14" i="44"/>
  <c r="O14" i="44"/>
  <c r="P13" i="44"/>
  <c r="O13" i="44"/>
  <c r="P12" i="44"/>
  <c r="O12" i="44"/>
  <c r="P11" i="44"/>
  <c r="O11" i="44"/>
  <c r="P10" i="44"/>
  <c r="O10" i="44"/>
  <c r="P9" i="44"/>
  <c r="O9" i="44"/>
  <c r="P8" i="44"/>
  <c r="O8" i="44"/>
  <c r="M14" i="44"/>
  <c r="L14" i="44"/>
  <c r="R14" i="44" s="1"/>
  <c r="M13" i="44"/>
  <c r="L13" i="44"/>
  <c r="R13" i="44" s="1"/>
  <c r="M12" i="44"/>
  <c r="L12" i="44"/>
  <c r="R12" i="44" s="1"/>
  <c r="M11" i="44"/>
  <c r="L11" i="44"/>
  <c r="R11" i="44" s="1"/>
  <c r="M10" i="44"/>
  <c r="L10" i="44"/>
  <c r="R10" i="44" s="1"/>
  <c r="M9" i="44"/>
  <c r="L9" i="44"/>
  <c r="R9" i="44" s="1"/>
  <c r="M8" i="44"/>
  <c r="L8" i="44"/>
  <c r="R8" i="44" s="1"/>
  <c r="K7" i="44"/>
  <c r="N7" i="44" s="1"/>
  <c r="K6" i="44"/>
  <c r="N6" i="44" s="1"/>
  <c r="K5" i="44"/>
  <c r="N5" i="44" s="1"/>
  <c r="K4" i="44"/>
  <c r="N4" i="44" s="1"/>
  <c r="P7" i="44"/>
  <c r="O7" i="44"/>
  <c r="P6" i="44"/>
  <c r="O6" i="44"/>
  <c r="P5" i="44"/>
  <c r="O5" i="44"/>
  <c r="P4" i="44"/>
  <c r="O4" i="44"/>
  <c r="M7" i="44"/>
  <c r="L7" i="44"/>
  <c r="R7" i="44" s="1"/>
  <c r="M6" i="44"/>
  <c r="L6" i="44"/>
  <c r="R6" i="44" s="1"/>
  <c r="M5" i="44"/>
  <c r="L5" i="44"/>
  <c r="R5" i="44" s="1"/>
  <c r="M4" i="44"/>
  <c r="L4" i="44"/>
  <c r="R4" i="44" s="1"/>
  <c r="J7" i="44"/>
  <c r="AA5" i="44" l="1"/>
  <c r="N26" i="44"/>
  <c r="AA6" i="44"/>
  <c r="AA4" i="44"/>
  <c r="AA7" i="44"/>
  <c r="Q26" i="44"/>
  <c r="L26" i="44"/>
  <c r="R26" i="44"/>
  <c r="P26" i="44"/>
  <c r="M26" i="44"/>
  <c r="O26" i="44"/>
  <c r="K26" i="44"/>
  <c r="S26" i="44"/>
  <c r="C26" i="44"/>
  <c r="T26" i="44"/>
  <c r="J25" i="44"/>
  <c r="H24" i="44"/>
  <c r="W24" i="44" s="1"/>
  <c r="H23" i="44"/>
  <c r="W23" i="44" s="1"/>
  <c r="H22" i="44"/>
  <c r="W22" i="44" s="1"/>
  <c r="H21" i="44"/>
  <c r="W21" i="44" s="1"/>
  <c r="H20" i="44"/>
  <c r="W20" i="44" s="1"/>
  <c r="H19" i="44"/>
  <c r="J18" i="44"/>
  <c r="J17" i="44"/>
  <c r="J16" i="44"/>
  <c r="U15" i="44"/>
  <c r="Z15" i="44" s="1"/>
  <c r="F6" i="30" s="1"/>
  <c r="J15" i="44"/>
  <c r="J14" i="44"/>
  <c r="J13" i="44"/>
  <c r="J12" i="44"/>
  <c r="J11" i="44"/>
  <c r="J10" i="44"/>
  <c r="J9" i="44"/>
  <c r="J8" i="44"/>
  <c r="J6" i="44"/>
  <c r="J5" i="44"/>
  <c r="H3" i="30" l="1"/>
  <c r="AA15" i="44"/>
  <c r="Z4" i="44"/>
  <c r="H26" i="44"/>
  <c r="W19" i="44"/>
  <c r="W26" i="44" s="1"/>
  <c r="X25" i="44"/>
  <c r="J9" i="30" s="1"/>
  <c r="K9" i="30" s="1"/>
  <c r="V26" i="44"/>
  <c r="J19" i="44"/>
  <c r="J20" i="44"/>
  <c r="J21" i="44"/>
  <c r="J24" i="44"/>
  <c r="U17" i="44"/>
  <c r="AA17" i="44" s="1"/>
  <c r="J22" i="44"/>
  <c r="J23" i="44"/>
  <c r="X7" i="44"/>
  <c r="X13" i="44"/>
  <c r="U11" i="44"/>
  <c r="AA11" i="44" s="1"/>
  <c r="U12" i="44"/>
  <c r="AA12" i="44" s="1"/>
  <c r="X18" i="44"/>
  <c r="J8" i="30" s="1"/>
  <c r="K8" i="30" s="1"/>
  <c r="X10" i="44"/>
  <c r="X4" i="44"/>
  <c r="U10" i="44"/>
  <c r="AA10" i="44" s="1"/>
  <c r="X11" i="44"/>
  <c r="U22" i="44"/>
  <c r="Z22" i="44" s="1"/>
  <c r="X8" i="44"/>
  <c r="X23" i="44"/>
  <c r="X9" i="44"/>
  <c r="X14" i="44"/>
  <c r="X21" i="44"/>
  <c r="X24" i="44"/>
  <c r="U14" i="44"/>
  <c r="AA14" i="44" s="1"/>
  <c r="X6" i="44"/>
  <c r="X5" i="44"/>
  <c r="U8" i="44"/>
  <c r="AA8" i="44" s="1"/>
  <c r="U9" i="44"/>
  <c r="U13" i="44"/>
  <c r="AA13" i="44" s="1"/>
  <c r="U16" i="44"/>
  <c r="AA16" i="44" s="1"/>
  <c r="U18" i="44"/>
  <c r="AA18" i="44" s="1"/>
  <c r="U20" i="44"/>
  <c r="Z20" i="44" s="1"/>
  <c r="X16" i="44"/>
  <c r="U24" i="44"/>
  <c r="AA24" i="44" s="1"/>
  <c r="U19" i="44"/>
  <c r="U21" i="44"/>
  <c r="Z21" i="44" s="1"/>
  <c r="U25" i="44"/>
  <c r="AA25" i="44" s="1"/>
  <c r="H9" i="30" s="1"/>
  <c r="U23" i="44"/>
  <c r="Z23" i="44" s="1"/>
  <c r="AA9" i="44" l="1"/>
  <c r="Z9" i="44"/>
  <c r="AA19" i="44"/>
  <c r="AA21" i="44"/>
  <c r="J3" i="30"/>
  <c r="K3" i="30" s="1"/>
  <c r="AA20" i="44"/>
  <c r="AA23" i="44"/>
  <c r="AA22" i="44"/>
  <c r="Z19" i="44"/>
  <c r="Z7" i="44"/>
  <c r="Z12" i="44"/>
  <c r="Z6" i="44"/>
  <c r="Z11" i="44"/>
  <c r="Z14" i="44"/>
  <c r="Z16" i="44"/>
  <c r="Z10" i="44"/>
  <c r="Z18" i="44"/>
  <c r="F8" i="30" s="1"/>
  <c r="Z13" i="44"/>
  <c r="H6" i="30"/>
  <c r="G6" i="30"/>
  <c r="Z25" i="44"/>
  <c r="F9" i="30" s="1"/>
  <c r="G9" i="30"/>
  <c r="Z24" i="44"/>
  <c r="Z17" i="44"/>
  <c r="Z5" i="44"/>
  <c r="Z8" i="44"/>
  <c r="G4" i="30"/>
  <c r="J26" i="44"/>
  <c r="J27" i="44" s="1"/>
  <c r="U26" i="44"/>
  <c r="X12" i="44"/>
  <c r="J4" i="30" s="1"/>
  <c r="K4" i="30" s="1"/>
  <c r="X20" i="44"/>
  <c r="X15" i="44"/>
  <c r="J6" i="30" s="1"/>
  <c r="K6" i="30" s="1"/>
  <c r="X17" i="44"/>
  <c r="J7" i="30" s="1"/>
  <c r="K7" i="30" s="1"/>
  <c r="X22" i="44"/>
  <c r="X19" i="44"/>
  <c r="F5" i="30" l="1"/>
  <c r="J5" i="30"/>
  <c r="K5" i="30" s="1"/>
  <c r="K12" i="30" s="1"/>
  <c r="F3" i="30"/>
  <c r="AA26" i="44"/>
  <c r="G3" i="30"/>
  <c r="H4" i="30"/>
  <c r="H7" i="30"/>
  <c r="G7" i="30"/>
  <c r="F4" i="30"/>
  <c r="F7" i="30"/>
  <c r="G8" i="30"/>
  <c r="H8" i="30"/>
  <c r="H5" i="30"/>
  <c r="G5" i="30"/>
  <c r="X26" i="44"/>
  <c r="Z26" i="44"/>
  <c r="Y26" i="44"/>
  <c r="E10" i="30" s="1"/>
  <c r="E11" i="30" s="1"/>
  <c r="G11" i="30" l="1"/>
  <c r="F11" i="30"/>
  <c r="H11" i="30"/>
  <c r="I12" i="30"/>
  <c r="J12" i="30" l="1"/>
</calcChain>
</file>

<file path=xl/sharedStrings.xml><?xml version="1.0" encoding="utf-8"?>
<sst xmlns="http://schemas.openxmlformats.org/spreadsheetml/2006/main" count="335" uniqueCount="138">
  <si>
    <r>
      <t xml:space="preserve">Total Enabled DER Capital Investment Fee, </t>
    </r>
    <r>
      <rPr>
        <u/>
        <sz val="11"/>
        <color theme="0"/>
        <rFont val="Calibri"/>
        <family val="2"/>
        <scheme val="minor"/>
      </rPr>
      <t>Excluding future Distribution Feeder Cost</t>
    </r>
  </si>
  <si>
    <t xml:space="preserve">
Group Number and
 Study Area</t>
  </si>
  <si>
    <t>Current Projected ASO Study Transmission Cost ($M)</t>
  </si>
  <si>
    <t>Future Projected ASO Study Transmission Cost ($M)</t>
  </si>
  <si>
    <t>Current Group Distribution Study - Transmission Station Cost ($M)</t>
  </si>
  <si>
    <t>Capital Investment Project Fee ($/kW)</t>
  </si>
  <si>
    <t>Current Queue</t>
  </si>
  <si>
    <t xml:space="preserve">Enabled
Above Queue </t>
  </si>
  <si>
    <t>Total Large DER Enabled</t>
  </si>
  <si>
    <t>Group 1 - Marion-Fairhaven</t>
  </si>
  <si>
    <t>Group 2 - Plymouth</t>
  </si>
  <si>
    <t>Group 3 - Cape</t>
  </si>
  <si>
    <t>Group 4 - Freetown</t>
  </si>
  <si>
    <t>Group 5 - Darmouth-Westport</t>
  </si>
  <si>
    <t>Group 6 - New Bedford</t>
  </si>
  <si>
    <t xml:space="preserve">Group 7 - Plainfield-Blandford </t>
  </si>
  <si>
    <t xml:space="preserve">ES Local System Plan: </t>
  </si>
  <si>
    <t>"Capital Project" Enabled</t>
  </si>
  <si>
    <t>Reconciliation Charge ($M)</t>
  </si>
  <si>
    <t>Capital Investment Project ($M)</t>
  </si>
  <si>
    <t>Existing DER</t>
  </si>
  <si>
    <t>Group Study DER and Post Applications</t>
  </si>
  <si>
    <t>DER Projections</t>
  </si>
  <si>
    <t xml:space="preserve">Total DG and Minimum Load </t>
  </si>
  <si>
    <t>Costs already included in Eversource Distribution Capital Plan</t>
  </si>
  <si>
    <r>
      <t xml:space="preserve">Group Study </t>
    </r>
    <r>
      <rPr>
        <b/>
        <u/>
        <sz val="10"/>
        <color theme="0"/>
        <rFont val="Calibri"/>
        <family val="2"/>
        <scheme val="minor"/>
      </rPr>
      <t xml:space="preserve">Distribution Cost </t>
    </r>
    <r>
      <rPr>
        <b/>
        <sz val="10"/>
        <color theme="0"/>
        <rFont val="Calibri"/>
        <family val="2"/>
        <scheme val="minor"/>
      </rPr>
      <t xml:space="preserve">
High Level
Order of Magnitude based on capacity only</t>
    </r>
  </si>
  <si>
    <r>
      <t xml:space="preserve">Group Study </t>
    </r>
    <r>
      <rPr>
        <b/>
        <u/>
        <sz val="10"/>
        <color theme="0"/>
        <rFont val="Calibri"/>
        <family val="2"/>
        <scheme val="minor"/>
      </rPr>
      <t xml:space="preserve">Transmission Cost </t>
    </r>
    <r>
      <rPr>
        <b/>
        <sz val="10"/>
        <color theme="0"/>
        <rFont val="Calibri"/>
        <family val="2"/>
        <scheme val="minor"/>
      </rPr>
      <t xml:space="preserve">
High Level
Order of Magnitude based on capacity only</t>
    </r>
  </si>
  <si>
    <t>Cost allocated to individual customers not part of group</t>
  </si>
  <si>
    <t>Capacity Allocation of Distribution System Upgrades between DER Customers and Load Customers</t>
  </si>
  <si>
    <t>Proposed Distribution and Transmission Cost Allocation</t>
  </si>
  <si>
    <t>Dist.
Station
Group</t>
  </si>
  <si>
    <t>Stations</t>
  </si>
  <si>
    <t>Exising 
Large DER
(MVA)</t>
  </si>
  <si>
    <t xml:space="preserve">Existing Small DER
Less than 200kW
(MVA)
</t>
  </si>
  <si>
    <t>Active 
DER Group Study 
June 2020
(MVA)</t>
  </si>
  <si>
    <t>Post June 2020
Group Study DER Application
(MVA)</t>
  </si>
  <si>
    <t>Incremental Near-Term Trend
Based on Historical Large DER Interconnections
(MVA)</t>
  </si>
  <si>
    <t xml:space="preserve">10 -Year Projection Small DER
Less than 200kw
(MVA)
</t>
  </si>
  <si>
    <t>Existing 
Minimum Gross Load
(MVA)</t>
  </si>
  <si>
    <t>Total Projected DG
(Including Existing, Group, Post Group and Incremental Near-Term)
(MVA)</t>
  </si>
  <si>
    <t xml:space="preserve">5-Year Captial Plan Investments Offset
($M) </t>
  </si>
  <si>
    <t>Distribution Station Gateway Line Cost 
($M)</t>
  </si>
  <si>
    <t>Distribution Substation
Cost
($M)</t>
  </si>
  <si>
    <t>Total Distribution Cost by Substation
($M)</t>
  </si>
  <si>
    <t>Transmission 
Substation 
Cost
($M)</t>
  </si>
  <si>
    <t>Transmission 
Line
Cost
($M)</t>
  </si>
  <si>
    <t>Total Transmission Cost by Substation ($M)</t>
  </si>
  <si>
    <t>Distribution Line Cost - Capital Investment Project Cost 
($M)</t>
  </si>
  <si>
    <t>Total 
Connected MVA
Existing</t>
  </si>
  <si>
    <t>Connected Capacity 
(Comprehensive Group Solution)
(MVA)</t>
  </si>
  <si>
    <t>"Operational Capacity"
 Capacity 
(MVA)</t>
  </si>
  <si>
    <t>Reserved 
DER
Nameplate
Capacity
(MVA)</t>
  </si>
  <si>
    <t xml:space="preserve">"Capital Project"  
Enabled DER Capacity (MVA
Queue
</t>
  </si>
  <si>
    <t xml:space="preserve">
Enabled DER Capacity (MVA)
Post Group Study Allocation
</t>
  </si>
  <si>
    <t>Transmission Local System Plan (LSP)
($M)</t>
  </si>
  <si>
    <t>Notes</t>
  </si>
  <si>
    <t>Arsene St 654</t>
  </si>
  <si>
    <t>Crystal Springs 646</t>
  </si>
  <si>
    <t>Comprehensive 2x62.5MVA</t>
  </si>
  <si>
    <t>Rochester 745</t>
  </si>
  <si>
    <t>Wing Lane 624</t>
  </si>
  <si>
    <t>Brook St 727</t>
  </si>
  <si>
    <t>Tremont 713</t>
  </si>
  <si>
    <t>Comprehensive 3X75MVA</t>
  </si>
  <si>
    <t>Valley 715</t>
  </si>
  <si>
    <t>Wareham 714</t>
  </si>
  <si>
    <t>West Pond 737</t>
  </si>
  <si>
    <t>Manomet 721</t>
  </si>
  <si>
    <t>Kingston 735</t>
  </si>
  <si>
    <t>Bell Rock 661/Assonet 647</t>
  </si>
  <si>
    <t>Comprehensive 3x62.5MVA</t>
  </si>
  <si>
    <t>Cross Road 651</t>
  </si>
  <si>
    <t>Fisher Road 657</t>
  </si>
  <si>
    <t>Industrial Park 636</t>
  </si>
  <si>
    <t>Falmouth 933</t>
  </si>
  <si>
    <t>Harwich 968</t>
  </si>
  <si>
    <t>Hatchville 936</t>
  </si>
  <si>
    <t>Hyannis Junction 961</t>
  </si>
  <si>
    <t>Otis 915</t>
  </si>
  <si>
    <t>Sandwich 916</t>
  </si>
  <si>
    <t>Blandford 19J</t>
  </si>
  <si>
    <t>Total</t>
  </si>
  <si>
    <t>DER as a percentage of Light Load</t>
  </si>
  <si>
    <t>Group</t>
  </si>
  <si>
    <r>
      <t>Eversource Operating Area</t>
    </r>
    <r>
      <rPr>
        <sz val="8"/>
        <color rgb="FF000000"/>
        <rFont val="Calibri"/>
        <family val="2"/>
        <scheme val="minor"/>
      </rPr>
      <t> </t>
    </r>
  </si>
  <si>
    <t>Number of DG Facilities</t>
  </si>
  <si>
    <t>Capacity in MW</t>
  </si>
  <si>
    <t>Estimated Timing of Impact Studies (Distribution)</t>
  </si>
  <si>
    <t>1 - Marion-Fairhaven</t>
  </si>
  <si>
    <t>SEMA</t>
  </si>
  <si>
    <t>2 - Plymouth</t>
  </si>
  <si>
    <t>3 - Cape</t>
  </si>
  <si>
    <t>4 - Freetown</t>
  </si>
  <si>
    <t>5 - Dartmouth-Westport</t>
  </si>
  <si>
    <t>6 - New Bedford</t>
  </si>
  <si>
    <t xml:space="preserve">7 – Plainfield-Blandford </t>
  </si>
  <si>
    <t>Western MA</t>
  </si>
  <si>
    <r>
      <t> </t>
    </r>
    <r>
      <rPr>
        <sz val="9"/>
        <color theme="1"/>
        <rFont val="Calibri"/>
        <family val="2"/>
        <scheme val="minor"/>
      </rPr>
      <t>June 2021</t>
    </r>
  </si>
  <si>
    <t xml:space="preserve">Capital
 Budget </t>
  </si>
  <si>
    <r>
      <t xml:space="preserve">Group Study Cost
Order of Magnitude </t>
    </r>
    <r>
      <rPr>
        <b/>
        <sz val="10"/>
        <color rgb="FFFF0000"/>
        <rFont val="Calibri"/>
        <family val="2"/>
        <scheme val="minor"/>
      </rPr>
      <t xml:space="preserve">based on capacity </t>
    </r>
    <r>
      <rPr>
        <b/>
        <sz val="10"/>
        <color theme="1"/>
        <rFont val="Calibri"/>
        <family val="2"/>
        <scheme val="minor"/>
      </rPr>
      <t>only</t>
    </r>
  </si>
  <si>
    <t>Cost allocated to individual customers not part of group
Updated 4/5/21</t>
  </si>
  <si>
    <t xml:space="preserve">5-Year Captial Plan Investments Offset
($x1000) </t>
  </si>
  <si>
    <t>20-75 Allocation Proposal ($M)</t>
  </si>
  <si>
    <t>ASO Study Transmission Cost</t>
  </si>
  <si>
    <t>Area</t>
  </si>
  <si>
    <t>Voltage</t>
  </si>
  <si>
    <t>Type (Line Equipment)</t>
  </si>
  <si>
    <t>Unit (Mile/Qty)</t>
  </si>
  <si>
    <t>Total Cost ($M)</t>
  </si>
  <si>
    <t>Description</t>
  </si>
  <si>
    <t>WMA</t>
  </si>
  <si>
    <t>115-kV</t>
  </si>
  <si>
    <t>345-kV</t>
  </si>
  <si>
    <t>345-kV Substation Exapnsion</t>
  </si>
  <si>
    <t>EMA</t>
  </si>
  <si>
    <t>345kv</t>
  </si>
  <si>
    <t>Additional upgrades needed for all DER enabled by the comprehensive plan</t>
  </si>
  <si>
    <t>115kV</t>
  </si>
  <si>
    <t>191 line reconductor</t>
  </si>
  <si>
    <t>Upgrades Identified in ASO</t>
  </si>
  <si>
    <t xml:space="preserve">140 MVAR Dynamic Reactive Device at Bourne </t>
  </si>
  <si>
    <t>Cost allocated to individual customers not part of group 
Updated 4/5/21</t>
  </si>
  <si>
    <t>Common System Modification ($M)</t>
  </si>
  <si>
    <t>Capital Investment Project Fee ($M)</t>
  </si>
  <si>
    <t>Common System Modification
($M)</t>
  </si>
  <si>
    <t>115 kV Transmission Line work</t>
  </si>
  <si>
    <t>WMA/EMA</t>
  </si>
  <si>
    <t>Asset condition rebuild and additional upgrades needed for all DERs enabled by comprehensive plan</t>
  </si>
  <si>
    <t>345 kV Transmission Line work</t>
  </si>
  <si>
    <t>Reactive Devices</t>
  </si>
  <si>
    <t>Address high/low voltage violations</t>
  </si>
  <si>
    <t>Substation Expansions</t>
  </si>
  <si>
    <t>$275 to $500</t>
  </si>
  <si>
    <t>$275M to $500M</t>
  </si>
  <si>
    <t>$80 to $150</t>
  </si>
  <si>
    <t>$25 to $50</t>
  </si>
  <si>
    <t>$20 to $50</t>
  </si>
  <si>
    <t>$150 to $250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</si>
</sst>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&quot;$&quot;#,##0.0"/>
    <numFmt numFmtId="166" formatCode="&quot;$&quot;#,##0"/>
    <numFmt numFmtId="167" formatCode="#,##0.0"/>
    <numFmt numFmtId="168" formatCode="&quot;$&quot;#,###&quot;M&quot;"/>
    <numFmt numFmtId="169" formatCode="#,###&quot; MW&quot;"/>
    <numFmt numFmtId="170" formatCode="#,##0&quot; MVA&quot;"/>
    <numFmt numFmtId="171" formatCode="&quot;$&quot;#,##0\ &quot;M&quot;"/>
    <numFmt numFmtId="172" formatCode="&quot;$&quot;#,##0&quot; M&quot;"/>
    <numFmt numFmtId="173" formatCode="&quot;Average: &quot;&quot;$&quot;#,##0&quot;/kW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BBE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E6F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FBFBF"/>
        <bgColor indexed="64"/>
      </patternFill>
    </fill>
  </fills>
  <borders count="8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theme="0"/>
      </right>
      <top style="double">
        <color auto="1"/>
      </top>
      <bottom style="thick">
        <color auto="1"/>
      </bottom>
      <diagonal/>
    </border>
    <border>
      <left style="thin">
        <color theme="0"/>
      </left>
      <right style="thin">
        <color theme="0"/>
      </right>
      <top style="double">
        <color auto="1"/>
      </top>
      <bottom style="thick">
        <color auto="1"/>
      </bottom>
      <diagonal/>
    </border>
    <border>
      <left style="thin">
        <color theme="0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/>
      <top style="double">
        <color auto="1"/>
      </top>
      <bottom style="thick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/>
      </right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ck">
        <color auto="1"/>
      </bottom>
      <diagonal/>
    </border>
    <border>
      <left/>
      <right style="double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theme="0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rgb="FFFF0000"/>
      </left>
      <right/>
      <top style="thick">
        <color rgb="FFFF0000"/>
      </top>
      <bottom style="double">
        <color auto="1"/>
      </bottom>
      <diagonal/>
    </border>
    <border>
      <left/>
      <right style="thick">
        <color rgb="FFFF0000"/>
      </right>
      <top style="thick">
        <color rgb="FFFF0000"/>
      </top>
      <bottom style="double">
        <color auto="1"/>
      </bottom>
      <diagonal/>
    </border>
    <border>
      <left style="thick">
        <color rgb="FFFF0000"/>
      </left>
      <right style="thin">
        <color theme="0"/>
      </right>
      <top style="double">
        <color auto="1"/>
      </top>
      <bottom style="thick">
        <color auto="1"/>
      </bottom>
      <diagonal/>
    </border>
    <border>
      <left/>
      <right style="thick">
        <color rgb="FFFF0000"/>
      </right>
      <top style="double">
        <color auto="1"/>
      </top>
      <bottom style="thick">
        <color auto="1"/>
      </bottom>
      <diagonal/>
    </border>
    <border>
      <left style="thick">
        <color rgb="FFFF0000"/>
      </left>
      <right/>
      <top style="thick">
        <color auto="1"/>
      </top>
      <bottom/>
      <diagonal/>
    </border>
    <border>
      <left/>
      <right style="thick">
        <color rgb="FFFF0000"/>
      </right>
      <top style="thick">
        <color auto="1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medium">
        <color auto="1"/>
      </bottom>
      <diagonal/>
    </border>
    <border>
      <left/>
      <right style="thick">
        <color rgb="FFFF0000"/>
      </right>
      <top/>
      <bottom style="medium">
        <color auto="1"/>
      </bottom>
      <diagonal/>
    </border>
    <border>
      <left style="thick">
        <color rgb="FFFF0000"/>
      </left>
      <right/>
      <top style="medium">
        <color auto="1"/>
      </top>
      <bottom style="medium">
        <color auto="1"/>
      </bottom>
      <diagonal/>
    </border>
    <border>
      <left/>
      <right style="thick">
        <color rgb="FFFF0000"/>
      </right>
      <top style="medium">
        <color auto="1"/>
      </top>
      <bottom style="medium">
        <color auto="1"/>
      </bottom>
      <diagonal/>
    </border>
    <border>
      <left style="thick">
        <color rgb="FFFF0000"/>
      </left>
      <right/>
      <top style="medium">
        <color auto="1"/>
      </top>
      <bottom style="thick">
        <color rgb="FFFF0000"/>
      </bottom>
      <diagonal/>
    </border>
    <border>
      <left/>
      <right style="thick">
        <color rgb="FFFF0000"/>
      </right>
      <top style="medium">
        <color auto="1"/>
      </top>
      <bottom style="thick">
        <color rgb="FFFF0000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n">
        <color theme="0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medium">
        <color rgb="FFFFFFFF"/>
      </left>
      <right style="medium">
        <color rgb="FFFFFFFF"/>
      </right>
      <top style="double">
        <color indexed="64"/>
      </top>
      <bottom style="thick">
        <color indexed="64"/>
      </bottom>
      <diagonal/>
    </border>
    <border>
      <left/>
      <right style="medium">
        <color rgb="FFFFFFFF"/>
      </right>
      <top style="double">
        <color indexed="64"/>
      </top>
      <bottom style="thick">
        <color indexed="64"/>
      </bottom>
      <diagonal/>
    </border>
    <border>
      <left/>
      <right style="medium">
        <color rgb="FFFFFFFF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rgb="FFFFFFFF"/>
      </right>
      <top/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1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164" fontId="3" fillId="0" borderId="0" xfId="0" applyNumberFormat="1" applyFont="1" applyAlignment="1">
      <alignment vertical="top"/>
    </xf>
    <xf numFmtId="0" fontId="2" fillId="2" borderId="0" xfId="0" applyFont="1" applyFill="1" applyAlignment="1">
      <alignment horizontal="center" vertical="top" textRotation="180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7" fontId="3" fillId="0" borderId="0" xfId="0" applyNumberFormat="1" applyFont="1" applyAlignment="1">
      <alignment vertical="top"/>
    </xf>
    <xf numFmtId="166" fontId="3" fillId="3" borderId="0" xfId="0" applyNumberFormat="1" applyFont="1" applyFill="1" applyBorder="1" applyAlignment="1">
      <alignment horizontal="center" vertical="center" wrapText="1"/>
    </xf>
    <xf numFmtId="169" fontId="3" fillId="3" borderId="0" xfId="0" applyNumberFormat="1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top" wrapText="1"/>
    </xf>
    <xf numFmtId="0" fontId="11" fillId="8" borderId="15" xfId="0" applyFont="1" applyFill="1" applyBorder="1" applyAlignment="1">
      <alignment horizontal="center" vertical="top" wrapText="1"/>
    </xf>
    <xf numFmtId="0" fontId="11" fillId="8" borderId="16" xfId="0" applyFont="1" applyFill="1" applyBorder="1" applyAlignment="1">
      <alignment horizontal="center" vertical="top" wrapText="1"/>
    </xf>
    <xf numFmtId="0" fontId="4" fillId="6" borderId="10" xfId="0" applyFont="1" applyFill="1" applyBorder="1" applyAlignment="1">
      <alignment horizontal="left" vertical="top"/>
    </xf>
    <xf numFmtId="166" fontId="3" fillId="6" borderId="10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9" fontId="3" fillId="3" borderId="5" xfId="0" applyNumberFormat="1" applyFont="1" applyFill="1" applyBorder="1" applyAlignment="1">
      <alignment horizontal="center" vertical="center" wrapText="1"/>
    </xf>
    <xf numFmtId="168" fontId="5" fillId="3" borderId="18" xfId="0" applyNumberFormat="1" applyFont="1" applyFill="1" applyBorder="1" applyAlignment="1">
      <alignment horizontal="center" vertical="top"/>
    </xf>
    <xf numFmtId="166" fontId="5" fillId="3" borderId="1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169" fontId="5" fillId="3" borderId="0" xfId="0" applyNumberFormat="1" applyFont="1" applyFill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3" fillId="4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/>
    </xf>
    <xf numFmtId="167" fontId="4" fillId="5" borderId="25" xfId="0" applyNumberFormat="1" applyFont="1" applyFill="1" applyBorder="1" applyAlignment="1">
      <alignment horizontal="center" vertical="top"/>
    </xf>
    <xf numFmtId="166" fontId="3" fillId="5" borderId="25" xfId="0" applyNumberFormat="1" applyFont="1" applyFill="1" applyBorder="1" applyAlignment="1">
      <alignment horizontal="center" vertical="top"/>
    </xf>
    <xf numFmtId="167" fontId="4" fillId="5" borderId="24" xfId="0" applyNumberFormat="1" applyFont="1" applyFill="1" applyBorder="1" applyAlignment="1">
      <alignment horizontal="center" vertical="top"/>
    </xf>
    <xf numFmtId="167" fontId="4" fillId="5" borderId="26" xfId="0" applyNumberFormat="1" applyFont="1" applyFill="1" applyBorder="1" applyAlignment="1">
      <alignment horizontal="center" vertical="top"/>
    </xf>
    <xf numFmtId="0" fontId="3" fillId="5" borderId="26" xfId="0" applyFont="1" applyFill="1" applyBorder="1" applyAlignment="1">
      <alignment vertical="top"/>
    </xf>
    <xf numFmtId="0" fontId="3" fillId="3" borderId="4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0" fontId="11" fillId="8" borderId="28" xfId="0" applyFont="1" applyFill="1" applyBorder="1" applyAlignment="1">
      <alignment horizontal="center" vertical="top" wrapText="1"/>
    </xf>
    <xf numFmtId="0" fontId="11" fillId="8" borderId="21" xfId="0" applyFont="1" applyFill="1" applyBorder="1" applyAlignment="1">
      <alignment horizontal="center" vertical="top"/>
    </xf>
    <xf numFmtId="0" fontId="8" fillId="5" borderId="25" xfId="0" applyFont="1" applyFill="1" applyBorder="1" applyAlignment="1">
      <alignment horizontal="left" vertical="top"/>
    </xf>
    <xf numFmtId="0" fontId="12" fillId="0" borderId="0" xfId="0" applyFont="1"/>
    <xf numFmtId="0" fontId="13" fillId="0" borderId="0" xfId="0" applyFont="1"/>
    <xf numFmtId="4" fontId="3" fillId="5" borderId="25" xfId="0" applyNumberFormat="1" applyFont="1" applyFill="1" applyBorder="1" applyAlignment="1">
      <alignment horizontal="center" vertical="top"/>
    </xf>
    <xf numFmtId="0" fontId="11" fillId="8" borderId="27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1" fillId="8" borderId="35" xfId="0" applyFont="1" applyFill="1" applyBorder="1" applyAlignment="1">
      <alignment horizontal="center" vertical="top" wrapText="1"/>
    </xf>
    <xf numFmtId="0" fontId="11" fillId="8" borderId="36" xfId="0" applyFont="1" applyFill="1" applyBorder="1" applyAlignment="1">
      <alignment horizontal="center" vertical="top"/>
    </xf>
    <xf numFmtId="0" fontId="11" fillId="8" borderId="36" xfId="0" applyFont="1" applyFill="1" applyBorder="1" applyAlignment="1">
      <alignment horizontal="center" vertical="top" wrapText="1"/>
    </xf>
    <xf numFmtId="0" fontId="11" fillId="8" borderId="37" xfId="0" applyFont="1" applyFill="1" applyBorder="1" applyAlignment="1">
      <alignment horizontal="center" vertical="top" wrapText="1"/>
    </xf>
    <xf numFmtId="0" fontId="3" fillId="14" borderId="38" xfId="0" applyFont="1" applyFill="1" applyBorder="1" applyAlignment="1">
      <alignment horizontal="center" vertical="top"/>
    </xf>
    <xf numFmtId="0" fontId="4" fillId="14" borderId="39" xfId="0" applyFont="1" applyFill="1" applyBorder="1" applyAlignment="1">
      <alignment horizontal="left" vertical="top"/>
    </xf>
    <xf numFmtId="166" fontId="3" fillId="14" borderId="39" xfId="0" applyNumberFormat="1" applyFont="1" applyFill="1" applyBorder="1" applyAlignment="1">
      <alignment horizontal="center" vertical="top"/>
    </xf>
    <xf numFmtId="167" fontId="3" fillId="14" borderId="39" xfId="0" applyNumberFormat="1" applyFont="1" applyFill="1" applyBorder="1" applyAlignment="1">
      <alignment horizontal="center" vertical="top"/>
    </xf>
    <xf numFmtId="4" fontId="3" fillId="14" borderId="39" xfId="0" applyNumberFormat="1" applyFont="1" applyFill="1" applyBorder="1" applyAlignment="1">
      <alignment horizontal="center" vertical="top"/>
    </xf>
    <xf numFmtId="0" fontId="3" fillId="14" borderId="40" xfId="0" applyFont="1" applyFill="1" applyBorder="1" applyAlignment="1">
      <alignment vertical="top"/>
    </xf>
    <xf numFmtId="0" fontId="3" fillId="14" borderId="41" xfId="0" applyFont="1" applyFill="1" applyBorder="1" applyAlignment="1">
      <alignment horizontal="center" vertical="top"/>
    </xf>
    <xf numFmtId="0" fontId="8" fillId="14" borderId="10" xfId="0" applyFont="1" applyFill="1" applyBorder="1" applyAlignment="1">
      <alignment horizontal="left" vertical="top"/>
    </xf>
    <xf numFmtId="166" fontId="3" fillId="14" borderId="10" xfId="0" applyNumberFormat="1" applyFont="1" applyFill="1" applyBorder="1" applyAlignment="1">
      <alignment horizontal="center" vertical="top"/>
    </xf>
    <xf numFmtId="167" fontId="3" fillId="14" borderId="10" xfId="0" applyNumberFormat="1" applyFont="1" applyFill="1" applyBorder="1" applyAlignment="1">
      <alignment horizontal="center" vertical="top"/>
    </xf>
    <xf numFmtId="4" fontId="3" fillId="14" borderId="10" xfId="0" applyNumberFormat="1" applyFont="1" applyFill="1" applyBorder="1" applyAlignment="1">
      <alignment horizontal="center" vertical="top"/>
    </xf>
    <xf numFmtId="0" fontId="3" fillId="14" borderId="42" xfId="0" applyFont="1" applyFill="1" applyBorder="1" applyAlignment="1">
      <alignment vertical="top"/>
    </xf>
    <xf numFmtId="0" fontId="4" fillId="14" borderId="10" xfId="0" applyFont="1" applyFill="1" applyBorder="1" applyAlignment="1">
      <alignment horizontal="left" vertical="top"/>
    </xf>
    <xf numFmtId="0" fontId="3" fillId="14" borderId="43" xfId="0" applyFont="1" applyFill="1" applyBorder="1" applyAlignment="1">
      <alignment horizontal="center" vertical="top"/>
    </xf>
    <xf numFmtId="0" fontId="4" fillId="14" borderId="44" xfId="0" applyFont="1" applyFill="1" applyBorder="1" applyAlignment="1">
      <alignment horizontal="left" vertical="top"/>
    </xf>
    <xf numFmtId="166" fontId="3" fillId="14" borderId="44" xfId="0" applyNumberFormat="1" applyFont="1" applyFill="1" applyBorder="1" applyAlignment="1">
      <alignment horizontal="center" vertical="top"/>
    </xf>
    <xf numFmtId="167" fontId="3" fillId="14" borderId="44" xfId="0" applyNumberFormat="1" applyFont="1" applyFill="1" applyBorder="1" applyAlignment="1">
      <alignment horizontal="center" vertical="top"/>
    </xf>
    <xf numFmtId="4" fontId="3" fillId="14" borderId="44" xfId="0" applyNumberFormat="1" applyFont="1" applyFill="1" applyBorder="1" applyAlignment="1">
      <alignment horizontal="center" vertical="top"/>
    </xf>
    <xf numFmtId="0" fontId="3" fillId="14" borderId="45" xfId="0" applyFont="1" applyFill="1" applyBorder="1" applyAlignment="1">
      <alignment vertical="top"/>
    </xf>
    <xf numFmtId="0" fontId="11" fillId="8" borderId="38" xfId="0" applyFont="1" applyFill="1" applyBorder="1" applyAlignment="1">
      <alignment horizontal="center" vertical="top" wrapText="1"/>
    </xf>
    <xf numFmtId="0" fontId="11" fillId="8" borderId="39" xfId="0" applyFont="1" applyFill="1" applyBorder="1" applyAlignment="1">
      <alignment horizontal="center" vertical="top"/>
    </xf>
    <xf numFmtId="0" fontId="11" fillId="8" borderId="39" xfId="0" applyFont="1" applyFill="1" applyBorder="1" applyAlignment="1">
      <alignment horizontal="center" vertical="top" wrapText="1"/>
    </xf>
    <xf numFmtId="0" fontId="11" fillId="8" borderId="40" xfId="0" applyFont="1" applyFill="1" applyBorder="1" applyAlignment="1">
      <alignment horizontal="center" vertical="top" wrapText="1"/>
    </xf>
    <xf numFmtId="0" fontId="4" fillId="13" borderId="41" xfId="0" applyFont="1" applyFill="1" applyBorder="1" applyAlignment="1">
      <alignment horizontal="center" vertical="top"/>
    </xf>
    <xf numFmtId="0" fontId="4" fillId="13" borderId="10" xfId="0" applyFont="1" applyFill="1" applyBorder="1" applyAlignment="1">
      <alignment horizontal="left" vertical="top"/>
    </xf>
    <xf numFmtId="166" fontId="4" fillId="13" borderId="10" xfId="0" applyNumberFormat="1" applyFont="1" applyFill="1" applyBorder="1" applyAlignment="1">
      <alignment horizontal="center" vertical="top"/>
    </xf>
    <xf numFmtId="167" fontId="4" fillId="13" borderId="10" xfId="0" applyNumberFormat="1" applyFont="1" applyFill="1" applyBorder="1" applyAlignment="1">
      <alignment horizontal="center" vertical="top"/>
    </xf>
    <xf numFmtId="4" fontId="4" fillId="13" borderId="10" xfId="0" applyNumberFormat="1" applyFont="1" applyFill="1" applyBorder="1" applyAlignment="1">
      <alignment horizontal="center" vertical="top"/>
    </xf>
    <xf numFmtId="0" fontId="4" fillId="13" borderId="42" xfId="0" applyFont="1" applyFill="1" applyBorder="1" applyAlignment="1">
      <alignment vertical="top"/>
    </xf>
    <xf numFmtId="0" fontId="8" fillId="13" borderId="10" xfId="0" applyFont="1" applyFill="1" applyBorder="1" applyAlignment="1">
      <alignment horizontal="left" vertical="top"/>
    </xf>
    <xf numFmtId="0" fontId="4" fillId="13" borderId="43" xfId="0" applyFont="1" applyFill="1" applyBorder="1" applyAlignment="1">
      <alignment horizontal="center" vertical="top"/>
    </xf>
    <xf numFmtId="0" fontId="8" fillId="13" borderId="44" xfId="0" applyFont="1" applyFill="1" applyBorder="1" applyAlignment="1">
      <alignment horizontal="left" vertical="top"/>
    </xf>
    <xf numFmtId="166" fontId="4" fillId="13" borderId="44" xfId="0" applyNumberFormat="1" applyFont="1" applyFill="1" applyBorder="1" applyAlignment="1">
      <alignment horizontal="center" vertical="top"/>
    </xf>
    <xf numFmtId="167" fontId="4" fillId="13" borderId="44" xfId="0" applyNumberFormat="1" applyFont="1" applyFill="1" applyBorder="1" applyAlignment="1">
      <alignment horizontal="center" vertical="top"/>
    </xf>
    <xf numFmtId="4" fontId="4" fillId="13" borderId="44" xfId="0" applyNumberFormat="1" applyFont="1" applyFill="1" applyBorder="1" applyAlignment="1">
      <alignment horizontal="center" vertical="top"/>
    </xf>
    <xf numFmtId="0" fontId="4" fillId="13" borderId="45" xfId="0" applyFont="1" applyFill="1" applyBorder="1" applyAlignment="1">
      <alignment vertical="top"/>
    </xf>
    <xf numFmtId="0" fontId="3" fillId="6" borderId="41" xfId="0" applyFont="1" applyFill="1" applyBorder="1" applyAlignment="1">
      <alignment horizontal="center" vertical="top"/>
    </xf>
    <xf numFmtId="167" fontId="10" fillId="6" borderId="10" xfId="0" applyNumberFormat="1" applyFont="1" applyFill="1" applyBorder="1" applyAlignment="1">
      <alignment horizontal="center" vertical="top"/>
    </xf>
    <xf numFmtId="167" fontId="3" fillId="6" borderId="10" xfId="0" applyNumberFormat="1" applyFont="1" applyFill="1" applyBorder="1" applyAlignment="1">
      <alignment horizontal="center" vertical="top"/>
    </xf>
    <xf numFmtId="4" fontId="3" fillId="6" borderId="10" xfId="0" applyNumberFormat="1" applyFont="1" applyFill="1" applyBorder="1" applyAlignment="1">
      <alignment horizontal="center" vertical="top"/>
    </xf>
    <xf numFmtId="0" fontId="3" fillId="6" borderId="42" xfId="0" applyFont="1" applyFill="1" applyBorder="1" applyAlignment="1">
      <alignment vertical="top"/>
    </xf>
    <xf numFmtId="0" fontId="3" fillId="6" borderId="43" xfId="0" applyFont="1" applyFill="1" applyBorder="1" applyAlignment="1">
      <alignment horizontal="center" vertical="top"/>
    </xf>
    <xf numFmtId="0" fontId="4" fillId="6" borderId="44" xfId="0" applyFont="1" applyFill="1" applyBorder="1" applyAlignment="1">
      <alignment horizontal="left" vertical="top"/>
    </xf>
    <xf numFmtId="166" fontId="3" fillId="6" borderId="44" xfId="0" applyNumberFormat="1" applyFont="1" applyFill="1" applyBorder="1" applyAlignment="1">
      <alignment horizontal="center" vertical="top"/>
    </xf>
    <xf numFmtId="167" fontId="10" fillId="6" borderId="44" xfId="0" applyNumberFormat="1" applyFont="1" applyFill="1" applyBorder="1" applyAlignment="1">
      <alignment horizontal="center" vertical="top"/>
    </xf>
    <xf numFmtId="167" fontId="3" fillId="6" borderId="44" xfId="0" applyNumberFormat="1" applyFont="1" applyFill="1" applyBorder="1" applyAlignment="1">
      <alignment horizontal="center" vertical="top"/>
    </xf>
    <xf numFmtId="4" fontId="3" fillId="6" borderId="44" xfId="0" applyNumberFormat="1" applyFont="1" applyFill="1" applyBorder="1" applyAlignment="1">
      <alignment horizontal="center" vertical="top"/>
    </xf>
    <xf numFmtId="0" fontId="3" fillId="6" borderId="45" xfId="0" applyFont="1" applyFill="1" applyBorder="1" applyAlignment="1">
      <alignment vertical="top"/>
    </xf>
    <xf numFmtId="167" fontId="4" fillId="14" borderId="39" xfId="0" applyNumberFormat="1" applyFont="1" applyFill="1" applyBorder="1" applyAlignment="1">
      <alignment horizontal="center" vertical="top"/>
    </xf>
    <xf numFmtId="167" fontId="4" fillId="14" borderId="10" xfId="0" applyNumberFormat="1" applyFont="1" applyFill="1" applyBorder="1" applyAlignment="1">
      <alignment horizontal="center" vertical="top"/>
    </xf>
    <xf numFmtId="167" fontId="4" fillId="14" borderId="44" xfId="0" applyNumberFormat="1" applyFont="1" applyFill="1" applyBorder="1" applyAlignment="1">
      <alignment horizontal="center" vertical="top"/>
    </xf>
    <xf numFmtId="0" fontId="3" fillId="15" borderId="43" xfId="0" applyFont="1" applyFill="1" applyBorder="1" applyAlignment="1">
      <alignment horizontal="center" vertical="top"/>
    </xf>
    <xf numFmtId="0" fontId="8" fillId="15" borderId="44" xfId="0" applyFont="1" applyFill="1" applyBorder="1" applyAlignment="1">
      <alignment horizontal="left" vertical="top"/>
    </xf>
    <xf numFmtId="166" fontId="3" fillId="15" borderId="44" xfId="0" applyNumberFormat="1" applyFont="1" applyFill="1" applyBorder="1" applyAlignment="1">
      <alignment horizontal="center" vertical="top"/>
    </xf>
    <xf numFmtId="167" fontId="3" fillId="15" borderId="44" xfId="0" applyNumberFormat="1" applyFont="1" applyFill="1" applyBorder="1" applyAlignment="1">
      <alignment horizontal="center" vertical="top"/>
    </xf>
    <xf numFmtId="4" fontId="3" fillId="15" borderId="44" xfId="0" applyNumberFormat="1" applyFont="1" applyFill="1" applyBorder="1" applyAlignment="1">
      <alignment horizontal="center" vertical="top"/>
    </xf>
    <xf numFmtId="0" fontId="3" fillId="15" borderId="45" xfId="0" applyFont="1" applyFill="1" applyBorder="1" applyAlignment="1">
      <alignment vertical="top"/>
    </xf>
    <xf numFmtId="167" fontId="4" fillId="15" borderId="44" xfId="0" applyNumberFormat="1" applyFont="1" applyFill="1" applyBorder="1" applyAlignment="1">
      <alignment horizontal="center" vertical="top"/>
    </xf>
    <xf numFmtId="0" fontId="4" fillId="10" borderId="41" xfId="0" applyFont="1" applyFill="1" applyBorder="1" applyAlignment="1">
      <alignment horizontal="center" vertical="top"/>
    </xf>
    <xf numFmtId="0" fontId="4" fillId="10" borderId="10" xfId="0" applyFont="1" applyFill="1" applyBorder="1" applyAlignment="1">
      <alignment horizontal="left" vertical="top"/>
    </xf>
    <xf numFmtId="166" fontId="4" fillId="10" borderId="10" xfId="0" applyNumberFormat="1" applyFont="1" applyFill="1" applyBorder="1" applyAlignment="1">
      <alignment horizontal="center" vertical="top"/>
    </xf>
    <xf numFmtId="167" fontId="10" fillId="10" borderId="10" xfId="0" applyNumberFormat="1" applyFont="1" applyFill="1" applyBorder="1" applyAlignment="1">
      <alignment horizontal="center" vertical="top"/>
    </xf>
    <xf numFmtId="167" fontId="4" fillId="10" borderId="10" xfId="0" applyNumberFormat="1" applyFont="1" applyFill="1" applyBorder="1" applyAlignment="1">
      <alignment horizontal="center" vertical="top"/>
    </xf>
    <xf numFmtId="4" fontId="4" fillId="10" borderId="10" xfId="0" applyNumberFormat="1" applyFont="1" applyFill="1" applyBorder="1" applyAlignment="1">
      <alignment horizontal="center" vertical="top"/>
    </xf>
    <xf numFmtId="0" fontId="4" fillId="10" borderId="42" xfId="0" applyFont="1" applyFill="1" applyBorder="1" applyAlignment="1">
      <alignment vertical="top"/>
    </xf>
    <xf numFmtId="0" fontId="4" fillId="10" borderId="43" xfId="0" applyFont="1" applyFill="1" applyBorder="1" applyAlignment="1">
      <alignment horizontal="center" vertical="top"/>
    </xf>
    <xf numFmtId="0" fontId="8" fillId="10" borderId="44" xfId="0" applyFont="1" applyFill="1" applyBorder="1" applyAlignment="1">
      <alignment horizontal="left" vertical="top"/>
    </xf>
    <xf numFmtId="166" fontId="4" fillId="10" borderId="44" xfId="0" applyNumberFormat="1" applyFont="1" applyFill="1" applyBorder="1" applyAlignment="1">
      <alignment horizontal="center" vertical="top"/>
    </xf>
    <xf numFmtId="167" fontId="4" fillId="10" borderId="44" xfId="0" applyNumberFormat="1" applyFont="1" applyFill="1" applyBorder="1" applyAlignment="1">
      <alignment horizontal="center" vertical="top"/>
    </xf>
    <xf numFmtId="4" fontId="4" fillId="10" borderId="44" xfId="0" applyNumberFormat="1" applyFont="1" applyFill="1" applyBorder="1" applyAlignment="1">
      <alignment horizontal="center" vertical="top"/>
    </xf>
    <xf numFmtId="0" fontId="4" fillId="10" borderId="45" xfId="0" applyFont="1" applyFill="1" applyBorder="1" applyAlignment="1">
      <alignment vertical="top"/>
    </xf>
    <xf numFmtId="0" fontId="3" fillId="0" borderId="43" xfId="0" applyFont="1" applyFill="1" applyBorder="1" applyAlignment="1">
      <alignment horizontal="center" vertical="top"/>
    </xf>
    <xf numFmtId="0" fontId="8" fillId="0" borderId="44" xfId="0" applyFont="1" applyFill="1" applyBorder="1" applyAlignment="1">
      <alignment horizontal="left" vertical="top"/>
    </xf>
    <xf numFmtId="165" fontId="3" fillId="0" borderId="44" xfId="0" applyNumberFormat="1" applyFont="1" applyFill="1" applyBorder="1" applyAlignment="1">
      <alignment horizontal="center" vertical="top"/>
    </xf>
    <xf numFmtId="165" fontId="3" fillId="0" borderId="44" xfId="0" applyNumberFormat="1" applyFont="1" applyBorder="1" applyAlignment="1">
      <alignment horizontal="center" vertical="top"/>
    </xf>
    <xf numFmtId="4" fontId="3" fillId="0" borderId="44" xfId="0" applyNumberFormat="1" applyFont="1" applyBorder="1" applyAlignment="1">
      <alignment horizontal="center" vertical="top"/>
    </xf>
    <xf numFmtId="164" fontId="3" fillId="0" borderId="45" xfId="0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166" fontId="5" fillId="3" borderId="0" xfId="0" applyNumberFormat="1" applyFont="1" applyFill="1" applyBorder="1" applyAlignment="1">
      <alignment horizontal="center" vertical="center" wrapText="1"/>
    </xf>
    <xf numFmtId="9" fontId="15" fillId="7" borderId="72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53" xfId="0" applyFont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1" fillId="8" borderId="21" xfId="0" applyFont="1" applyFill="1" applyBorder="1" applyAlignment="1">
      <alignment horizontal="center" vertical="center"/>
    </xf>
    <xf numFmtId="164" fontId="11" fillId="8" borderId="14" xfId="0" applyNumberFormat="1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164" fontId="11" fillId="8" borderId="61" xfId="0" applyNumberFormat="1" applyFont="1" applyFill="1" applyBorder="1" applyAlignment="1">
      <alignment horizontal="center" vertical="center" wrapText="1"/>
    </xf>
    <xf numFmtId="0" fontId="11" fillId="8" borderId="62" xfId="0" applyFont="1" applyFill="1" applyBorder="1" applyAlignment="1">
      <alignment horizontal="center" vertical="center" wrapText="1"/>
    </xf>
    <xf numFmtId="0" fontId="11" fillId="8" borderId="54" xfId="0" applyFont="1" applyFill="1" applyBorder="1" applyAlignment="1">
      <alignment horizontal="center" vertical="center" wrapText="1"/>
    </xf>
    <xf numFmtId="0" fontId="11" fillId="8" borderId="48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1" fillId="8" borderId="3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textRotation="180" wrapText="1"/>
    </xf>
    <xf numFmtId="0" fontId="3" fillId="0" borderId="0" xfId="0" applyFont="1" applyFill="1" applyBorder="1" applyAlignment="1">
      <alignment vertical="center"/>
    </xf>
    <xf numFmtId="167" fontId="3" fillId="0" borderId="0" xfId="0" applyNumberFormat="1" applyFont="1" applyFill="1" applyAlignment="1">
      <alignment vertical="center"/>
    </xf>
    <xf numFmtId="167" fontId="3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 textRotation="180" wrapText="1"/>
    </xf>
    <xf numFmtId="0" fontId="4" fillId="13" borderId="7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left" vertical="center"/>
    </xf>
    <xf numFmtId="1" fontId="4" fillId="13" borderId="7" xfId="0" applyNumberFormat="1" applyFont="1" applyFill="1" applyBorder="1" applyAlignment="1">
      <alignment horizontal="center" vertical="center"/>
    </xf>
    <xf numFmtId="1" fontId="4" fillId="13" borderId="8" xfId="0" applyNumberFormat="1" applyFont="1" applyFill="1" applyBorder="1" applyAlignment="1">
      <alignment horizontal="center" vertical="center"/>
    </xf>
    <xf numFmtId="1" fontId="4" fillId="13" borderId="6" xfId="0" applyNumberFormat="1" applyFont="1" applyFill="1" applyBorder="1" applyAlignment="1">
      <alignment horizontal="center" vertical="center"/>
    </xf>
    <xf numFmtId="1" fontId="9" fillId="13" borderId="63" xfId="0" applyNumberFormat="1" applyFont="1" applyFill="1" applyBorder="1" applyAlignment="1">
      <alignment horizontal="center" vertical="center"/>
    </xf>
    <xf numFmtId="1" fontId="4" fillId="13" borderId="64" xfId="0" applyNumberFormat="1" applyFont="1" applyFill="1" applyBorder="1" applyAlignment="1">
      <alignment horizontal="center" vertical="center"/>
    </xf>
    <xf numFmtId="1" fontId="4" fillId="13" borderId="53" xfId="0" applyNumberFormat="1" applyFont="1" applyFill="1" applyBorder="1" applyAlignment="1">
      <alignment horizontal="center" vertical="center"/>
    </xf>
    <xf numFmtId="166" fontId="4" fillId="13" borderId="47" xfId="0" applyNumberFormat="1" applyFont="1" applyFill="1" applyBorder="1" applyAlignment="1">
      <alignment horizontal="center" vertical="center"/>
    </xf>
    <xf numFmtId="166" fontId="4" fillId="13" borderId="73" xfId="0" applyNumberFormat="1" applyFont="1" applyFill="1" applyBorder="1" applyAlignment="1">
      <alignment horizontal="center" vertical="center"/>
    </xf>
    <xf numFmtId="166" fontId="4" fillId="13" borderId="53" xfId="0" applyNumberFormat="1" applyFont="1" applyFill="1" applyBorder="1" applyAlignment="1">
      <alignment horizontal="center" vertical="center"/>
    </xf>
    <xf numFmtId="167" fontId="4" fillId="13" borderId="6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4" fillId="13" borderId="4" xfId="0" applyFont="1" applyFill="1" applyBorder="1" applyAlignment="1">
      <alignment horizontal="center" vertical="center"/>
    </xf>
    <xf numFmtId="1" fontId="4" fillId="13" borderId="4" xfId="0" applyNumberFormat="1" applyFont="1" applyFill="1" applyBorder="1" applyAlignment="1">
      <alignment horizontal="center" vertical="center"/>
    </xf>
    <xf numFmtId="1" fontId="4" fillId="13" borderId="5" xfId="0" applyNumberFormat="1" applyFont="1" applyFill="1" applyBorder="1" applyAlignment="1">
      <alignment horizontal="center" vertical="center"/>
    </xf>
    <xf numFmtId="1" fontId="4" fillId="13" borderId="0" xfId="0" applyNumberFormat="1" applyFont="1" applyFill="1" applyBorder="1" applyAlignment="1">
      <alignment horizontal="center" vertical="center"/>
    </xf>
    <xf numFmtId="1" fontId="9" fillId="13" borderId="65" xfId="0" applyNumberFormat="1" applyFont="1" applyFill="1" applyBorder="1" applyAlignment="1">
      <alignment horizontal="center" vertical="center"/>
    </xf>
    <xf numFmtId="1" fontId="4" fillId="13" borderId="66" xfId="0" applyNumberFormat="1" applyFont="1" applyFill="1" applyBorder="1" applyAlignment="1">
      <alignment horizontal="center" vertical="center"/>
    </xf>
    <xf numFmtId="1" fontId="4" fillId="13" borderId="55" xfId="0" applyNumberFormat="1" applyFont="1" applyFill="1" applyBorder="1" applyAlignment="1">
      <alignment horizontal="center" vertical="center"/>
    </xf>
    <xf numFmtId="166" fontId="4" fillId="13" borderId="9" xfId="0" applyNumberFormat="1" applyFont="1" applyFill="1" applyBorder="1" applyAlignment="1">
      <alignment horizontal="center" vertical="center"/>
    </xf>
    <xf numFmtId="166" fontId="4" fillId="13" borderId="74" xfId="0" applyNumberFormat="1" applyFont="1" applyFill="1" applyBorder="1" applyAlignment="1">
      <alignment horizontal="center" vertical="center"/>
    </xf>
    <xf numFmtId="166" fontId="4" fillId="13" borderId="55" xfId="0" applyNumberFormat="1" applyFont="1" applyFill="1" applyBorder="1" applyAlignment="1">
      <alignment horizontal="center" vertical="center"/>
    </xf>
    <xf numFmtId="167" fontId="4" fillId="13" borderId="0" xfId="0" applyNumberFormat="1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horizontal="center" vertical="center"/>
    </xf>
    <xf numFmtId="1" fontId="4" fillId="13" borderId="22" xfId="0" applyNumberFormat="1" applyFont="1" applyFill="1" applyBorder="1" applyAlignment="1">
      <alignment horizontal="center" vertical="center"/>
    </xf>
    <xf numFmtId="1" fontId="4" fillId="13" borderId="23" xfId="0" applyNumberFormat="1" applyFont="1" applyFill="1" applyBorder="1" applyAlignment="1">
      <alignment horizontal="center" vertical="center"/>
    </xf>
    <xf numFmtId="1" fontId="4" fillId="13" borderId="20" xfId="0" applyNumberFormat="1" applyFont="1" applyFill="1" applyBorder="1" applyAlignment="1">
      <alignment horizontal="center" vertical="center"/>
    </xf>
    <xf numFmtId="1" fontId="9" fillId="13" borderId="67" xfId="0" applyNumberFormat="1" applyFont="1" applyFill="1" applyBorder="1" applyAlignment="1">
      <alignment horizontal="center" vertical="center"/>
    </xf>
    <xf numFmtId="1" fontId="4" fillId="13" borderId="68" xfId="0" applyNumberFormat="1" applyFont="1" applyFill="1" applyBorder="1" applyAlignment="1">
      <alignment horizontal="center" vertical="center"/>
    </xf>
    <xf numFmtId="1" fontId="4" fillId="13" borderId="56" xfId="0" applyNumberFormat="1" applyFont="1" applyFill="1" applyBorder="1" applyAlignment="1">
      <alignment horizontal="center" vertical="center"/>
    </xf>
    <xf numFmtId="166" fontId="4" fillId="13" borderId="49" xfId="0" applyNumberFormat="1" applyFont="1" applyFill="1" applyBorder="1" applyAlignment="1">
      <alignment horizontal="center" vertical="center"/>
    </xf>
    <xf numFmtId="166" fontId="4" fillId="13" borderId="75" xfId="0" applyNumberFormat="1" applyFont="1" applyFill="1" applyBorder="1" applyAlignment="1">
      <alignment horizontal="center" vertical="center"/>
    </xf>
    <xf numFmtId="166" fontId="4" fillId="13" borderId="56" xfId="0" applyNumberFormat="1" applyFont="1" applyFill="1" applyBorder="1" applyAlignment="1">
      <alignment horizontal="center" vertical="center"/>
    </xf>
    <xf numFmtId="167" fontId="4" fillId="13" borderId="20" xfId="0" applyNumberFormat="1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left" vertical="center"/>
    </xf>
    <xf numFmtId="1" fontId="4" fillId="14" borderId="4" xfId="0" applyNumberFormat="1" applyFont="1" applyFill="1" applyBorder="1" applyAlignment="1">
      <alignment horizontal="center" vertical="center"/>
    </xf>
    <xf numFmtId="1" fontId="4" fillId="14" borderId="5" xfId="0" applyNumberFormat="1" applyFont="1" applyFill="1" applyBorder="1" applyAlignment="1">
      <alignment horizontal="center" vertical="center"/>
    </xf>
    <xf numFmtId="1" fontId="4" fillId="14" borderId="0" xfId="0" applyNumberFormat="1" applyFont="1" applyFill="1" applyBorder="1" applyAlignment="1">
      <alignment horizontal="center" vertical="center"/>
    </xf>
    <xf numFmtId="1" fontId="9" fillId="14" borderId="65" xfId="0" applyNumberFormat="1" applyFont="1" applyFill="1" applyBorder="1" applyAlignment="1">
      <alignment horizontal="center" vertical="center"/>
    </xf>
    <xf numFmtId="1" fontId="4" fillId="14" borderId="66" xfId="0" applyNumberFormat="1" applyFont="1" applyFill="1" applyBorder="1" applyAlignment="1">
      <alignment horizontal="center" vertical="center"/>
    </xf>
    <xf numFmtId="1" fontId="4" fillId="14" borderId="55" xfId="0" applyNumberFormat="1" applyFont="1" applyFill="1" applyBorder="1" applyAlignment="1">
      <alignment horizontal="center" vertical="center"/>
    </xf>
    <xf numFmtId="166" fontId="4" fillId="14" borderId="9" xfId="0" applyNumberFormat="1" applyFont="1" applyFill="1" applyBorder="1" applyAlignment="1">
      <alignment horizontal="center" vertical="center"/>
    </xf>
    <xf numFmtId="166" fontId="4" fillId="14" borderId="74" xfId="0" applyNumberFormat="1" applyFont="1" applyFill="1" applyBorder="1" applyAlignment="1">
      <alignment horizontal="center" vertical="center"/>
    </xf>
    <xf numFmtId="166" fontId="4" fillId="14" borderId="55" xfId="0" applyNumberFormat="1" applyFont="1" applyFill="1" applyBorder="1" applyAlignment="1">
      <alignment horizontal="center" vertical="center"/>
    </xf>
    <xf numFmtId="167" fontId="4" fillId="14" borderId="0" xfId="0" applyNumberFormat="1" applyFont="1" applyFill="1" applyBorder="1" applyAlignment="1">
      <alignment horizontal="center" vertical="center"/>
    </xf>
    <xf numFmtId="0" fontId="3" fillId="15" borderId="24" xfId="0" applyFont="1" applyFill="1" applyBorder="1" applyAlignment="1">
      <alignment horizontal="center" vertical="center"/>
    </xf>
    <xf numFmtId="1" fontId="4" fillId="15" borderId="24" xfId="0" applyNumberFormat="1" applyFont="1" applyFill="1" applyBorder="1" applyAlignment="1">
      <alignment horizontal="center" vertical="center"/>
    </xf>
    <xf numFmtId="1" fontId="4" fillId="15" borderId="26" xfId="0" applyNumberFormat="1" applyFont="1" applyFill="1" applyBorder="1" applyAlignment="1">
      <alignment horizontal="center" vertical="center"/>
    </xf>
    <xf numFmtId="1" fontId="4" fillId="15" borderId="25" xfId="0" applyNumberFormat="1" applyFont="1" applyFill="1" applyBorder="1" applyAlignment="1">
      <alignment horizontal="center" vertical="center"/>
    </xf>
    <xf numFmtId="1" fontId="9" fillId="15" borderId="69" xfId="0" applyNumberFormat="1" applyFont="1" applyFill="1" applyBorder="1" applyAlignment="1">
      <alignment horizontal="center" vertical="center"/>
    </xf>
    <xf numFmtId="1" fontId="4" fillId="15" borderId="70" xfId="0" applyNumberFormat="1" applyFont="1" applyFill="1" applyBorder="1" applyAlignment="1">
      <alignment horizontal="center" vertical="center"/>
    </xf>
    <xf numFmtId="1" fontId="4" fillId="15" borderId="57" xfId="0" applyNumberFormat="1" applyFont="1" applyFill="1" applyBorder="1" applyAlignment="1">
      <alignment horizontal="center" vertical="center"/>
    </xf>
    <xf numFmtId="166" fontId="4" fillId="15" borderId="50" xfId="0" applyNumberFormat="1" applyFont="1" applyFill="1" applyBorder="1" applyAlignment="1">
      <alignment horizontal="center" vertical="center"/>
    </xf>
    <xf numFmtId="166" fontId="4" fillId="15" borderId="76" xfId="0" applyNumberFormat="1" applyFont="1" applyFill="1" applyBorder="1" applyAlignment="1">
      <alignment horizontal="center" vertical="center"/>
    </xf>
    <xf numFmtId="166" fontId="4" fillId="15" borderId="57" xfId="0" applyNumberFormat="1" applyFont="1" applyFill="1" applyBorder="1" applyAlignment="1">
      <alignment horizontal="center" vertical="center"/>
    </xf>
    <xf numFmtId="167" fontId="4" fillId="15" borderId="25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left" vertical="center"/>
    </xf>
    <xf numFmtId="1" fontId="4" fillId="10" borderId="4" xfId="0" applyNumberFormat="1" applyFont="1" applyFill="1" applyBorder="1" applyAlignment="1">
      <alignment horizontal="center" vertical="center"/>
    </xf>
    <xf numFmtId="1" fontId="4" fillId="10" borderId="5" xfId="0" applyNumberFormat="1" applyFont="1" applyFill="1" applyBorder="1" applyAlignment="1">
      <alignment horizontal="center" vertical="center"/>
    </xf>
    <xf numFmtId="1" fontId="4" fillId="10" borderId="0" xfId="0" applyNumberFormat="1" applyFont="1" applyFill="1" applyBorder="1" applyAlignment="1">
      <alignment horizontal="center" vertical="center"/>
    </xf>
    <xf numFmtId="1" fontId="9" fillId="10" borderId="65" xfId="0" applyNumberFormat="1" applyFont="1" applyFill="1" applyBorder="1" applyAlignment="1">
      <alignment horizontal="center" vertical="center"/>
    </xf>
    <xf numFmtId="1" fontId="4" fillId="10" borderId="66" xfId="0" applyNumberFormat="1" applyFont="1" applyFill="1" applyBorder="1" applyAlignment="1">
      <alignment horizontal="center" vertical="center"/>
    </xf>
    <xf numFmtId="1" fontId="4" fillId="10" borderId="55" xfId="0" applyNumberFormat="1" applyFont="1" applyFill="1" applyBorder="1" applyAlignment="1">
      <alignment horizontal="center" vertical="center"/>
    </xf>
    <xf numFmtId="166" fontId="4" fillId="10" borderId="9" xfId="0" applyNumberFormat="1" applyFont="1" applyFill="1" applyBorder="1" applyAlignment="1">
      <alignment horizontal="center" vertical="center"/>
    </xf>
    <xf numFmtId="166" fontId="4" fillId="10" borderId="74" xfId="0" applyNumberFormat="1" applyFont="1" applyFill="1" applyBorder="1" applyAlignment="1">
      <alignment horizontal="center" vertical="center"/>
    </xf>
    <xf numFmtId="166" fontId="4" fillId="10" borderId="55" xfId="0" applyNumberFormat="1" applyFont="1" applyFill="1" applyBorder="1" applyAlignment="1">
      <alignment horizontal="center" vertical="center"/>
    </xf>
    <xf numFmtId="167" fontId="4" fillId="1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5" borderId="24" xfId="0" applyFont="1" applyFill="1" applyBorder="1" applyAlignment="1">
      <alignment horizontal="center" vertical="center"/>
    </xf>
    <xf numFmtId="1" fontId="4" fillId="5" borderId="24" xfId="0" applyNumberFormat="1" applyFont="1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 vertical="center"/>
    </xf>
    <xf numFmtId="1" fontId="4" fillId="5" borderId="25" xfId="0" applyNumberFormat="1" applyFont="1" applyFill="1" applyBorder="1" applyAlignment="1">
      <alignment horizontal="center" vertical="center"/>
    </xf>
    <xf numFmtId="1" fontId="9" fillId="5" borderId="69" xfId="0" applyNumberFormat="1" applyFont="1" applyFill="1" applyBorder="1" applyAlignment="1">
      <alignment horizontal="center" vertical="center"/>
    </xf>
    <xf numFmtId="1" fontId="4" fillId="5" borderId="70" xfId="0" applyNumberFormat="1" applyFont="1" applyFill="1" applyBorder="1" applyAlignment="1">
      <alignment horizontal="center" vertical="center"/>
    </xf>
    <xf numFmtId="1" fontId="4" fillId="5" borderId="57" xfId="0" applyNumberFormat="1" applyFont="1" applyFill="1" applyBorder="1" applyAlignment="1">
      <alignment horizontal="center" vertical="center"/>
    </xf>
    <xf numFmtId="166" fontId="4" fillId="5" borderId="50" xfId="0" applyNumberFormat="1" applyFont="1" applyFill="1" applyBorder="1" applyAlignment="1">
      <alignment horizontal="center" vertical="center"/>
    </xf>
    <xf numFmtId="166" fontId="4" fillId="5" borderId="76" xfId="0" applyNumberFormat="1" applyFont="1" applyFill="1" applyBorder="1" applyAlignment="1">
      <alignment horizontal="center" vertical="center"/>
    </xf>
    <xf numFmtId="166" fontId="4" fillId="5" borderId="57" xfId="0" applyNumberFormat="1" applyFont="1" applyFill="1" applyBorder="1" applyAlignment="1">
      <alignment horizontal="center" vertical="center"/>
    </xf>
    <xf numFmtId="167" fontId="4" fillId="5" borderId="25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/>
    </xf>
    <xf numFmtId="1" fontId="4" fillId="6" borderId="4" xfId="0" applyNumberFormat="1" applyFont="1" applyFill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 vertical="center"/>
    </xf>
    <xf numFmtId="1" fontId="9" fillId="6" borderId="65" xfId="0" applyNumberFormat="1" applyFont="1" applyFill="1" applyBorder="1" applyAlignment="1">
      <alignment horizontal="center" vertical="center"/>
    </xf>
    <xf numFmtId="1" fontId="4" fillId="6" borderId="66" xfId="0" applyNumberFormat="1" applyFont="1" applyFill="1" applyBorder="1" applyAlignment="1">
      <alignment horizontal="center" vertical="center"/>
    </xf>
    <xf numFmtId="1" fontId="4" fillId="6" borderId="55" xfId="0" applyNumberFormat="1" applyFont="1" applyFill="1" applyBorder="1" applyAlignment="1">
      <alignment horizontal="center" vertical="center"/>
    </xf>
    <xf numFmtId="166" fontId="4" fillId="6" borderId="9" xfId="0" applyNumberFormat="1" applyFont="1" applyFill="1" applyBorder="1" applyAlignment="1">
      <alignment horizontal="center" vertical="center"/>
    </xf>
    <xf numFmtId="166" fontId="4" fillId="6" borderId="74" xfId="0" applyNumberFormat="1" applyFont="1" applyFill="1" applyBorder="1" applyAlignment="1">
      <alignment horizontal="center" vertical="center"/>
    </xf>
    <xf numFmtId="166" fontId="4" fillId="6" borderId="55" xfId="0" applyNumberFormat="1" applyFont="1" applyFill="1" applyBorder="1" applyAlignment="1">
      <alignment horizontal="center" vertical="center"/>
    </xf>
    <xf numFmtId="167" fontId="4" fillId="6" borderId="0" xfId="0" applyNumberFormat="1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left" vertical="center"/>
    </xf>
    <xf numFmtId="1" fontId="4" fillId="11" borderId="24" xfId="0" applyNumberFormat="1" applyFont="1" applyFill="1" applyBorder="1" applyAlignment="1">
      <alignment horizontal="center" vertical="center"/>
    </xf>
    <xf numFmtId="1" fontId="4" fillId="11" borderId="26" xfId="0" applyNumberFormat="1" applyFont="1" applyFill="1" applyBorder="1" applyAlignment="1">
      <alignment horizontal="center" vertical="center"/>
    </xf>
    <xf numFmtId="1" fontId="4" fillId="11" borderId="25" xfId="0" applyNumberFormat="1" applyFont="1" applyFill="1" applyBorder="1" applyAlignment="1">
      <alignment horizontal="center" vertical="center"/>
    </xf>
    <xf numFmtId="1" fontId="4" fillId="11" borderId="69" xfId="0" applyNumberFormat="1" applyFont="1" applyFill="1" applyBorder="1" applyAlignment="1">
      <alignment horizontal="center" vertical="center"/>
    </xf>
    <xf numFmtId="1" fontId="4" fillId="11" borderId="70" xfId="0" applyNumberFormat="1" applyFont="1" applyFill="1" applyBorder="1" applyAlignment="1">
      <alignment horizontal="center" vertical="center"/>
    </xf>
    <xf numFmtId="1" fontId="3" fillId="11" borderId="57" xfId="0" applyNumberFormat="1" applyFont="1" applyFill="1" applyBorder="1" applyAlignment="1">
      <alignment horizontal="center" vertical="center"/>
    </xf>
    <xf numFmtId="165" fontId="3" fillId="11" borderId="50" xfId="0" applyNumberFormat="1" applyFont="1" applyFill="1" applyBorder="1" applyAlignment="1">
      <alignment horizontal="center" vertical="center"/>
    </xf>
    <xf numFmtId="166" fontId="3" fillId="11" borderId="76" xfId="0" applyNumberFormat="1" applyFont="1" applyFill="1" applyBorder="1" applyAlignment="1">
      <alignment horizontal="center" vertical="center"/>
    </xf>
    <xf numFmtId="166" fontId="4" fillId="11" borderId="57" xfId="0" applyNumberFormat="1" applyFont="1" applyFill="1" applyBorder="1" applyAlignment="1">
      <alignment horizontal="center" vertical="center"/>
    </xf>
    <xf numFmtId="3" fontId="3" fillId="11" borderId="57" xfId="0" applyNumberFormat="1" applyFont="1" applyFill="1" applyBorder="1" applyAlignment="1">
      <alignment horizontal="center" vertical="center"/>
    </xf>
    <xf numFmtId="167" fontId="4" fillId="11" borderId="25" xfId="0" applyNumberFormat="1" applyFont="1" applyFill="1" applyBorder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center" vertical="center"/>
    </xf>
    <xf numFmtId="170" fontId="12" fillId="0" borderId="69" xfId="0" applyNumberFormat="1" applyFont="1" applyBorder="1" applyAlignment="1">
      <alignment horizontal="center" vertical="center"/>
    </xf>
    <xf numFmtId="170" fontId="12" fillId="0" borderId="70" xfId="0" applyNumberFormat="1" applyFont="1" applyBorder="1" applyAlignment="1">
      <alignment horizontal="center" vertical="center"/>
    </xf>
    <xf numFmtId="166" fontId="12" fillId="0" borderId="58" xfId="0" applyNumberFormat="1" applyFont="1" applyBorder="1" applyAlignment="1">
      <alignment horizontal="center" vertical="center"/>
    </xf>
    <xf numFmtId="5" fontId="16" fillId="0" borderId="51" xfId="2" applyNumberFormat="1" applyFont="1" applyBorder="1" applyAlignment="1">
      <alignment horizontal="center" vertical="center"/>
    </xf>
    <xf numFmtId="5" fontId="16" fillId="0" borderId="46" xfId="2" applyNumberFormat="1" applyFont="1" applyBorder="1" applyAlignment="1">
      <alignment horizontal="center" vertical="center"/>
    </xf>
    <xf numFmtId="166" fontId="16" fillId="0" borderId="51" xfId="0" applyNumberFormat="1" applyFont="1" applyBorder="1" applyAlignment="1">
      <alignment horizontal="center" vertical="center"/>
    </xf>
    <xf numFmtId="166" fontId="16" fillId="0" borderId="46" xfId="0" applyNumberFormat="1" applyFont="1" applyBorder="1" applyAlignment="1">
      <alignment horizontal="center" vertical="center"/>
    </xf>
    <xf numFmtId="166" fontId="3" fillId="11" borderId="50" xfId="0" applyNumberFormat="1" applyFont="1" applyFill="1" applyBorder="1" applyAlignment="1">
      <alignment horizontal="center" vertical="center"/>
    </xf>
    <xf numFmtId="171" fontId="17" fillId="0" borderId="58" xfId="0" applyNumberFormat="1" applyFont="1" applyBorder="1" applyAlignment="1">
      <alignment horizontal="center" vertical="center"/>
    </xf>
    <xf numFmtId="172" fontId="17" fillId="0" borderId="58" xfId="0" applyNumberFormat="1" applyFont="1" applyBorder="1" applyAlignment="1">
      <alignment horizontal="center" vertical="center"/>
    </xf>
    <xf numFmtId="167" fontId="4" fillId="13" borderId="47" xfId="0" applyNumberFormat="1" applyFont="1" applyFill="1" applyBorder="1" applyAlignment="1">
      <alignment horizontal="center" vertical="center"/>
    </xf>
    <xf numFmtId="167" fontId="4" fillId="13" borderId="9" xfId="0" applyNumberFormat="1" applyFont="1" applyFill="1" applyBorder="1" applyAlignment="1">
      <alignment horizontal="center" vertical="center"/>
    </xf>
    <xf numFmtId="167" fontId="4" fillId="13" borderId="49" xfId="0" applyNumberFormat="1" applyFont="1" applyFill="1" applyBorder="1" applyAlignment="1">
      <alignment horizontal="center" vertical="center"/>
    </xf>
    <xf numFmtId="167" fontId="4" fillId="14" borderId="9" xfId="0" applyNumberFormat="1" applyFont="1" applyFill="1" applyBorder="1" applyAlignment="1">
      <alignment horizontal="center" vertical="center"/>
    </xf>
    <xf numFmtId="167" fontId="4" fillId="15" borderId="50" xfId="0" applyNumberFormat="1" applyFont="1" applyFill="1" applyBorder="1" applyAlignment="1">
      <alignment horizontal="center" vertical="center"/>
    </xf>
    <xf numFmtId="167" fontId="4" fillId="10" borderId="9" xfId="0" applyNumberFormat="1" applyFont="1" applyFill="1" applyBorder="1" applyAlignment="1">
      <alignment horizontal="center" vertical="center"/>
    </xf>
    <xf numFmtId="167" fontId="4" fillId="5" borderId="50" xfId="0" applyNumberFormat="1" applyFont="1" applyFill="1" applyBorder="1" applyAlignment="1">
      <alignment horizontal="center" vertical="center"/>
    </xf>
    <xf numFmtId="167" fontId="4" fillId="6" borderId="9" xfId="0" applyNumberFormat="1" applyFont="1" applyFill="1" applyBorder="1" applyAlignment="1">
      <alignment horizontal="center" vertical="center"/>
    </xf>
    <xf numFmtId="167" fontId="4" fillId="11" borderId="50" xfId="0" applyNumberFormat="1" applyFont="1" applyFill="1" applyBorder="1" applyAlignment="1">
      <alignment horizontal="center" vertical="center"/>
    </xf>
    <xf numFmtId="3" fontId="12" fillId="0" borderId="51" xfId="0" applyNumberFormat="1" applyFont="1" applyBorder="1" applyAlignment="1">
      <alignment horizontal="center" vertical="center"/>
    </xf>
    <xf numFmtId="3" fontId="12" fillId="0" borderId="46" xfId="0" applyNumberFormat="1" applyFont="1" applyBorder="1" applyAlignment="1">
      <alignment horizontal="center" vertical="center"/>
    </xf>
    <xf numFmtId="167" fontId="4" fillId="13" borderId="53" xfId="0" applyNumberFormat="1" applyFont="1" applyFill="1" applyBorder="1" applyAlignment="1">
      <alignment horizontal="center" vertical="center"/>
    </xf>
    <xf numFmtId="167" fontId="4" fillId="13" borderId="55" xfId="0" applyNumberFormat="1" applyFont="1" applyFill="1" applyBorder="1" applyAlignment="1">
      <alignment horizontal="center" vertical="center"/>
    </xf>
    <xf numFmtId="167" fontId="4" fillId="13" borderId="56" xfId="0" applyNumberFormat="1" applyFont="1" applyFill="1" applyBorder="1" applyAlignment="1">
      <alignment horizontal="center" vertical="center"/>
    </xf>
    <xf numFmtId="167" fontId="4" fillId="14" borderId="55" xfId="0" applyNumberFormat="1" applyFont="1" applyFill="1" applyBorder="1" applyAlignment="1">
      <alignment horizontal="center" vertical="center"/>
    </xf>
    <xf numFmtId="167" fontId="4" fillId="15" borderId="57" xfId="0" applyNumberFormat="1" applyFont="1" applyFill="1" applyBorder="1" applyAlignment="1">
      <alignment horizontal="center" vertical="center"/>
    </xf>
    <xf numFmtId="167" fontId="4" fillId="10" borderId="55" xfId="0" applyNumberFormat="1" applyFont="1" applyFill="1" applyBorder="1" applyAlignment="1">
      <alignment horizontal="center" vertical="center"/>
    </xf>
    <xf numFmtId="167" fontId="4" fillId="6" borderId="55" xfId="0" applyNumberFormat="1" applyFont="1" applyFill="1" applyBorder="1" applyAlignment="1">
      <alignment horizontal="center" vertical="center"/>
    </xf>
    <xf numFmtId="167" fontId="4" fillId="11" borderId="57" xfId="0" applyNumberFormat="1" applyFont="1" applyFill="1" applyBorder="1" applyAlignment="1">
      <alignment horizontal="center" vertical="center"/>
    </xf>
    <xf numFmtId="3" fontId="17" fillId="0" borderId="58" xfId="0" applyNumberFormat="1" applyFont="1" applyBorder="1" applyAlignment="1">
      <alignment horizontal="center" vertical="center"/>
    </xf>
    <xf numFmtId="0" fontId="4" fillId="13" borderId="8" xfId="0" applyFont="1" applyFill="1" applyBorder="1" applyAlignment="1">
      <alignment vertical="center"/>
    </xf>
    <xf numFmtId="0" fontId="4" fillId="13" borderId="5" xfId="0" applyFont="1" applyFill="1" applyBorder="1" applyAlignment="1">
      <alignment vertical="center"/>
    </xf>
    <xf numFmtId="0" fontId="4" fillId="13" borderId="23" xfId="0" applyFont="1" applyFill="1" applyBorder="1" applyAlignment="1">
      <alignment vertical="center"/>
    </xf>
    <xf numFmtId="0" fontId="3" fillId="14" borderId="5" xfId="0" applyFont="1" applyFill="1" applyBorder="1" applyAlignment="1">
      <alignment vertical="center"/>
    </xf>
    <xf numFmtId="0" fontId="3" fillId="15" borderId="26" xfId="0" applyFont="1" applyFill="1" applyBorder="1" applyAlignment="1">
      <alignment vertical="center"/>
    </xf>
    <xf numFmtId="0" fontId="4" fillId="10" borderId="5" xfId="0" applyFont="1" applyFill="1" applyBorder="1" applyAlignment="1">
      <alignment vertical="center"/>
    </xf>
    <xf numFmtId="0" fontId="3" fillId="5" borderId="26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11" fillId="8" borderId="79" xfId="0" applyFont="1" applyFill="1" applyBorder="1" applyAlignment="1">
      <alignment horizontal="center" vertical="center" wrapText="1"/>
    </xf>
    <xf numFmtId="167" fontId="4" fillId="5" borderId="57" xfId="0" applyNumberFormat="1" applyFont="1" applyFill="1" applyBorder="1" applyAlignment="1">
      <alignment horizontal="center" vertical="center"/>
    </xf>
    <xf numFmtId="172" fontId="17" fillId="0" borderId="51" xfId="0" applyNumberFormat="1" applyFont="1" applyBorder="1" applyAlignment="1">
      <alignment horizontal="center" vertical="center"/>
    </xf>
    <xf numFmtId="172" fontId="17" fillId="0" borderId="46" xfId="0" applyNumberFormat="1" applyFont="1" applyBorder="1" applyAlignment="1">
      <alignment horizontal="center" vertical="center"/>
    </xf>
    <xf numFmtId="9" fontId="1" fillId="7" borderId="71" xfId="1" applyFont="1" applyFill="1" applyBorder="1" applyAlignment="1">
      <alignment horizontal="center" vertical="center" wrapText="1"/>
    </xf>
    <xf numFmtId="0" fontId="4" fillId="11" borderId="26" xfId="0" applyFont="1" applyFill="1" applyBorder="1" applyAlignment="1">
      <alignment vertical="center"/>
    </xf>
    <xf numFmtId="0" fontId="4" fillId="13" borderId="0" xfId="0" applyFont="1" applyFill="1" applyBorder="1" applyAlignment="1">
      <alignment horizontal="left" vertical="center"/>
    </xf>
    <xf numFmtId="0" fontId="4" fillId="13" borderId="20" xfId="0" applyFont="1" applyFill="1" applyBorder="1" applyAlignment="1">
      <alignment horizontal="left" vertical="center"/>
    </xf>
    <xf numFmtId="0" fontId="4" fillId="15" borderId="25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166" fontId="4" fillId="3" borderId="0" xfId="0" applyNumberFormat="1" applyFont="1" applyFill="1" applyBorder="1" applyAlignment="1">
      <alignment horizontal="center" vertical="center" wrapText="1"/>
    </xf>
    <xf numFmtId="169" fontId="4" fillId="3" borderId="5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173" fontId="5" fillId="3" borderId="18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wrapText="1"/>
    </xf>
    <xf numFmtId="169" fontId="3" fillId="3" borderId="4" xfId="0" applyNumberFormat="1" applyFont="1" applyFill="1" applyBorder="1" applyAlignment="1">
      <alignment horizontal="center" vertical="center" wrapText="1"/>
    </xf>
    <xf numFmtId="169" fontId="4" fillId="3" borderId="0" xfId="0" applyNumberFormat="1" applyFont="1" applyFill="1" applyBorder="1" applyAlignment="1">
      <alignment horizontal="center" vertical="center" wrapText="1"/>
    </xf>
    <xf numFmtId="169" fontId="4" fillId="3" borderId="4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166" fontId="5" fillId="3" borderId="11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top"/>
    </xf>
    <xf numFmtId="0" fontId="19" fillId="18" borderId="80" xfId="0" applyFont="1" applyFill="1" applyBorder="1" applyAlignment="1">
      <alignment horizontal="center" vertical="center"/>
    </xf>
    <xf numFmtId="0" fontId="19" fillId="18" borderId="81" xfId="0" applyFont="1" applyFill="1" applyBorder="1" applyAlignment="1">
      <alignment horizontal="center" vertical="center" wrapText="1"/>
    </xf>
    <xf numFmtId="0" fontId="20" fillId="18" borderId="81" xfId="0" applyFont="1" applyFill="1" applyBorder="1" applyAlignment="1">
      <alignment horizontal="center" vertical="center" wrapText="1"/>
    </xf>
    <xf numFmtId="0" fontId="21" fillId="19" borderId="0" xfId="0" applyFont="1" applyFill="1" applyAlignment="1">
      <alignment horizontal="center" vertical="center"/>
    </xf>
    <xf numFmtId="0" fontId="21" fillId="19" borderId="0" xfId="0" applyFont="1" applyFill="1" applyAlignment="1">
      <alignment horizontal="center" vertical="center" wrapText="1"/>
    </xf>
    <xf numFmtId="17" fontId="21" fillId="19" borderId="0" xfId="0" applyNumberFormat="1" applyFont="1" applyFill="1" applyAlignment="1">
      <alignment horizontal="center" vertical="center" wrapText="1"/>
    </xf>
    <xf numFmtId="0" fontId="22" fillId="19" borderId="82" xfId="0" applyFont="1" applyFill="1" applyBorder="1" applyAlignment="1">
      <alignment horizontal="center" vertical="center" wrapText="1"/>
    </xf>
    <xf numFmtId="0" fontId="21" fillId="20" borderId="0" xfId="0" applyFont="1" applyFill="1" applyAlignment="1">
      <alignment horizontal="center" vertical="center"/>
    </xf>
    <xf numFmtId="0" fontId="21" fillId="20" borderId="0" xfId="0" applyFont="1" applyFill="1" applyAlignment="1">
      <alignment horizontal="center" vertical="center" wrapText="1"/>
    </xf>
    <xf numFmtId="17" fontId="21" fillId="20" borderId="0" xfId="0" applyNumberFormat="1" applyFont="1" applyFill="1" applyAlignment="1">
      <alignment horizontal="center" vertical="center" wrapText="1"/>
    </xf>
    <xf numFmtId="0" fontId="22" fillId="20" borderId="82" xfId="0" applyFont="1" applyFill="1" applyBorder="1" applyAlignment="1">
      <alignment horizontal="center" vertical="center" wrapText="1"/>
    </xf>
    <xf numFmtId="0" fontId="21" fillId="21" borderId="83" xfId="0" applyFont="1" applyFill="1" applyBorder="1" applyAlignment="1">
      <alignment horizontal="center" vertical="center"/>
    </xf>
    <xf numFmtId="0" fontId="21" fillId="21" borderId="83" xfId="0" applyFont="1" applyFill="1" applyBorder="1" applyAlignment="1">
      <alignment horizontal="center" vertical="center" wrapText="1"/>
    </xf>
    <xf numFmtId="17" fontId="21" fillId="21" borderId="83" xfId="0" applyNumberFormat="1" applyFont="1" applyFill="1" applyBorder="1" applyAlignment="1">
      <alignment horizontal="center" vertical="center" wrapText="1"/>
    </xf>
    <xf numFmtId="0" fontId="22" fillId="21" borderId="84" xfId="0" applyFont="1" applyFill="1" applyBorder="1" applyAlignment="1">
      <alignment horizontal="center" vertical="center" wrapText="1"/>
    </xf>
    <xf numFmtId="0" fontId="21" fillId="7" borderId="83" xfId="0" applyFont="1" applyFill="1" applyBorder="1" applyAlignment="1">
      <alignment horizontal="center" vertical="center"/>
    </xf>
    <xf numFmtId="0" fontId="21" fillId="7" borderId="83" xfId="0" applyFont="1" applyFill="1" applyBorder="1" applyAlignment="1">
      <alignment horizontal="center" vertical="center" wrapText="1"/>
    </xf>
    <xf numFmtId="17" fontId="21" fillId="7" borderId="83" xfId="0" applyNumberFormat="1" applyFont="1" applyFill="1" applyBorder="1" applyAlignment="1">
      <alignment horizontal="center" vertical="center" wrapText="1"/>
    </xf>
    <xf numFmtId="0" fontId="22" fillId="7" borderId="84" xfId="0" applyFont="1" applyFill="1" applyBorder="1" applyAlignment="1">
      <alignment horizontal="center" vertical="center" wrapText="1"/>
    </xf>
    <xf numFmtId="0" fontId="21" fillId="22" borderId="0" xfId="0" applyFont="1" applyFill="1" applyAlignment="1">
      <alignment horizontal="center" vertical="center"/>
    </xf>
    <xf numFmtId="0" fontId="21" fillId="22" borderId="0" xfId="0" applyFont="1" applyFill="1" applyAlignment="1">
      <alignment horizontal="center" vertical="center" wrapText="1"/>
    </xf>
    <xf numFmtId="17" fontId="21" fillId="22" borderId="0" xfId="0" applyNumberFormat="1" applyFont="1" applyFill="1" applyAlignment="1">
      <alignment horizontal="center" vertical="center" wrapText="1"/>
    </xf>
    <xf numFmtId="0" fontId="22" fillId="22" borderId="82" xfId="0" applyFont="1" applyFill="1" applyBorder="1" applyAlignment="1">
      <alignment horizontal="center" vertical="center" wrapText="1"/>
    </xf>
    <xf numFmtId="0" fontId="21" fillId="23" borderId="0" xfId="0" applyFont="1" applyFill="1" applyAlignment="1">
      <alignment horizontal="center" vertical="center"/>
    </xf>
    <xf numFmtId="0" fontId="21" fillId="23" borderId="0" xfId="0" applyFont="1" applyFill="1" applyAlignment="1">
      <alignment horizontal="center" vertical="center" wrapText="1"/>
    </xf>
    <xf numFmtId="17" fontId="21" fillId="23" borderId="0" xfId="0" applyNumberFormat="1" applyFont="1" applyFill="1" applyAlignment="1">
      <alignment horizontal="center" vertical="center" wrapText="1"/>
    </xf>
    <xf numFmtId="0" fontId="22" fillId="23" borderId="82" xfId="0" applyFont="1" applyFill="1" applyBorder="1" applyAlignment="1">
      <alignment horizontal="center" vertical="center" wrapText="1"/>
    </xf>
    <xf numFmtId="0" fontId="22" fillId="0" borderId="83" xfId="0" applyFont="1" applyBorder="1" applyAlignment="1">
      <alignment vertical="center"/>
    </xf>
    <xf numFmtId="0" fontId="22" fillId="0" borderId="83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24" fillId="17" borderId="0" xfId="0" applyFont="1" applyFill="1" applyAlignment="1">
      <alignment horizontal="center" vertical="center" textRotation="90" wrapText="1"/>
    </xf>
    <xf numFmtId="9" fontId="3" fillId="0" borderId="0" xfId="1" applyFont="1" applyAlignment="1">
      <alignment horizontal="center" vertical="center" wrapText="1"/>
    </xf>
    <xf numFmtId="0" fontId="11" fillId="17" borderId="5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17" borderId="77" xfId="0" applyFont="1" applyFill="1" applyBorder="1" applyAlignment="1">
      <alignment horizontal="center" vertical="center" wrapText="1"/>
    </xf>
    <xf numFmtId="0" fontId="11" fillId="17" borderId="52" xfId="0" applyFont="1" applyFill="1" applyBorder="1" applyAlignment="1">
      <alignment horizontal="center" vertical="center" wrapText="1"/>
    </xf>
    <xf numFmtId="0" fontId="11" fillId="17" borderId="78" xfId="0" applyFont="1" applyFill="1" applyBorder="1" applyAlignment="1">
      <alignment horizontal="center" vertical="center" wrapText="1"/>
    </xf>
    <xf numFmtId="0" fontId="11" fillId="17" borderId="47" xfId="0" applyFont="1" applyFill="1" applyBorder="1" applyAlignment="1">
      <alignment horizontal="center" vertical="center" wrapText="1"/>
    </xf>
    <xf numFmtId="0" fontId="11" fillId="17" borderId="6" xfId="0" applyFont="1" applyFill="1" applyBorder="1" applyAlignment="1">
      <alignment horizontal="center" vertical="center" wrapText="1"/>
    </xf>
    <xf numFmtId="0" fontId="11" fillId="17" borderId="53" xfId="0" applyFont="1" applyFill="1" applyBorder="1" applyAlignment="1">
      <alignment horizontal="center" vertical="center" wrapText="1"/>
    </xf>
    <xf numFmtId="0" fontId="11" fillId="17" borderId="77" xfId="0" applyFont="1" applyFill="1" applyBorder="1" applyAlignment="1">
      <alignment horizontal="center" vertical="center"/>
    </xf>
    <xf numFmtId="0" fontId="11" fillId="17" borderId="52" xfId="0" applyFont="1" applyFill="1" applyBorder="1" applyAlignment="1">
      <alignment horizontal="center" vertical="center"/>
    </xf>
    <xf numFmtId="0" fontId="11" fillId="17" borderId="78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164" fontId="14" fillId="0" borderId="17" xfId="0" applyNumberFormat="1" applyFont="1" applyFill="1" applyBorder="1" applyAlignment="1">
      <alignment horizontal="center" vertical="center"/>
    </xf>
    <xf numFmtId="164" fontId="14" fillId="0" borderId="19" xfId="0" applyNumberFormat="1" applyFont="1" applyFill="1" applyBorder="1" applyAlignment="1">
      <alignment horizontal="center" vertical="center"/>
    </xf>
    <xf numFmtId="164" fontId="14" fillId="16" borderId="59" xfId="0" applyNumberFormat="1" applyFont="1" applyFill="1" applyBorder="1" applyAlignment="1">
      <alignment horizontal="center" vertical="center"/>
    </xf>
    <xf numFmtId="164" fontId="14" fillId="16" borderId="6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3" xfId="0" applyFont="1" applyFill="1" applyBorder="1" applyAlignment="1">
      <alignment horizontal="center" vertical="top" wrapText="1"/>
    </xf>
    <xf numFmtId="0" fontId="5" fillId="0" borderId="34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</cellXfs>
  <cellStyles count="3">
    <cellStyle name="Currency" xfId="2" builtinId="4"/>
    <cellStyle name="Normal" xfId="0" builtinId="0"/>
    <cellStyle name="Percent" xfId="1" builtinId="5"/>
  </cellStyles>
  <dxfs count="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  <color rgb="FFA66BD3"/>
      <color rgb="FFF1BBE9"/>
      <color rgb="FF0D5EFF"/>
      <color rgb="FFF9DFF5"/>
      <color rgb="FFB37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Proposed Capital Investment Project Fee ($/kW)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Summary!$H$2</c:f>
              <c:strCache>
                <c:ptCount val="1"/>
                <c:pt idx="0">
                  <c:v>Capital Investment Project Fee ($/kW)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6"/>
              <c:layout>
                <c:manualLayout>
                  <c:x val="-1.1049991601064734E-16"/>
                  <c:y val="7.3205598987549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1D-48B5-8F03-C59E546E1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Summary!$B$3:$B$9</c:f>
              <c:strCache>
                <c:ptCount val="7"/>
                <c:pt idx="0">
                  <c:v>Group 1 - Marion-Fairhaven</c:v>
                </c:pt>
                <c:pt idx="1">
                  <c:v>Group 2 - Plymouth</c:v>
                </c:pt>
                <c:pt idx="2">
                  <c:v>Group 3 - Cape</c:v>
                </c:pt>
                <c:pt idx="3">
                  <c:v>Group 4 - Freetown</c:v>
                </c:pt>
                <c:pt idx="4">
                  <c:v>Group 5 - Darmouth-Westport</c:v>
                </c:pt>
                <c:pt idx="5">
                  <c:v>Group 6 - New Bedford</c:v>
                </c:pt>
                <c:pt idx="6">
                  <c:v>Group 7 - Plainfield-Blandford </c:v>
                </c:pt>
              </c:strCache>
            </c:strRef>
          </c:cat>
          <c:val>
            <c:numRef>
              <c:f>Summary!$H$3:$H$9</c:f>
              <c:numCache>
                <c:formatCode>"$"#,##0</c:formatCode>
                <c:ptCount val="7"/>
                <c:pt idx="0">
                  <c:v>554.42695678603081</c:v>
                </c:pt>
                <c:pt idx="1">
                  <c:v>339.92786625753598</c:v>
                </c:pt>
                <c:pt idx="2">
                  <c:v>486.07905255917757</c:v>
                </c:pt>
                <c:pt idx="3">
                  <c:v>367.42678555767287</c:v>
                </c:pt>
                <c:pt idx="4">
                  <c:v>436.63761091887142</c:v>
                </c:pt>
                <c:pt idx="5">
                  <c:v>1031.1067322030854</c:v>
                </c:pt>
                <c:pt idx="6">
                  <c:v>503.64279410710969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0-46F6-A247-84F5B3C1F5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94751008"/>
        <c:axId val="694751336"/>
      </c:barChart>
      <c:catAx>
        <c:axId val="6947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751336"/>
        <c:crosses val="autoZero"/>
        <c:auto val="1"/>
        <c:lblAlgn val="ctr"/>
        <c:lblOffset val="100"/>
        <c:noMultiLvlLbl val="0"/>
      </c:catAx>
      <c:valAx>
        <c:axId val="694751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75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8179890975166561E-2"/>
          <c:y val="9.9978250283156697E-2"/>
          <c:w val="0.89999994121675442"/>
          <c:h val="4.8659018200332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Distribution</a:t>
            </a:r>
            <a:r>
              <a:rPr lang="en-US" b="1" baseline="0"/>
              <a:t> Cost Allocation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Summary!$F$2</c:f>
              <c:strCache>
                <c:ptCount val="1"/>
                <c:pt idx="0">
                  <c:v>Common System Modification ($M)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Summary!$B$3:$B$8</c:f>
              <c:strCache>
                <c:ptCount val="6"/>
                <c:pt idx="0">
                  <c:v>Group 1 - Marion-Fairhaven</c:v>
                </c:pt>
                <c:pt idx="1">
                  <c:v>Group 2 - Plymouth</c:v>
                </c:pt>
                <c:pt idx="2">
                  <c:v>Group 3 - Cape</c:v>
                </c:pt>
                <c:pt idx="3">
                  <c:v>Group 4 - Freetown</c:v>
                </c:pt>
                <c:pt idx="4">
                  <c:v>Group 5 - Darmouth-Westport</c:v>
                </c:pt>
                <c:pt idx="5">
                  <c:v>Group 6 - New Bedford</c:v>
                </c:pt>
              </c:strCache>
            </c:strRef>
          </c:cat>
          <c:val>
            <c:numRef>
              <c:f>Summary!$F$3:$F$9</c:f>
              <c:numCache>
                <c:formatCode>"$"#,##0</c:formatCode>
                <c:ptCount val="7"/>
                <c:pt idx="0">
                  <c:v>59.656288042742943</c:v>
                </c:pt>
                <c:pt idx="1">
                  <c:v>70.729252649150297</c:v>
                </c:pt>
                <c:pt idx="2">
                  <c:v>10.62714759126972</c:v>
                </c:pt>
                <c:pt idx="3">
                  <c:v>12.71023955859013</c:v>
                </c:pt>
                <c:pt idx="4">
                  <c:v>29.048471953547605</c:v>
                </c:pt>
                <c:pt idx="5">
                  <c:v>26.235461805306972</c:v>
                </c:pt>
                <c:pt idx="6">
                  <c:v>20.402871958516151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E-40F8-8C5E-2C16736F98A0}"/>
            </c:ext>
          </c:extLst>
        </c:ser>
        <c:ser>
          <c:idx val="1"/>
          <c:order val="1"/>
          <c:tx>
            <c:strRef>
              <c:f>Summary!$G$2</c:f>
              <c:strCache>
                <c:ptCount val="1"/>
                <c:pt idx="0">
                  <c:v>Capital Investment Project Fee ($M)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Summary!$B$3:$B$8</c:f>
              <c:strCache>
                <c:ptCount val="6"/>
                <c:pt idx="0">
                  <c:v>Group 1 - Marion-Fairhaven</c:v>
                </c:pt>
                <c:pt idx="1">
                  <c:v>Group 2 - Plymouth</c:v>
                </c:pt>
                <c:pt idx="2">
                  <c:v>Group 3 - Cape</c:v>
                </c:pt>
                <c:pt idx="3">
                  <c:v>Group 4 - Freetown</c:v>
                </c:pt>
                <c:pt idx="4">
                  <c:v>Group 5 - Darmouth-Westport</c:v>
                </c:pt>
                <c:pt idx="5">
                  <c:v>Group 6 - New Bedford</c:v>
                </c:pt>
              </c:strCache>
            </c:strRef>
          </c:cat>
          <c:val>
            <c:numRef>
              <c:f>Summary!$G$3:$G$9</c:f>
              <c:numCache>
                <c:formatCode>"$"#,##0</c:formatCode>
                <c:ptCount val="7"/>
                <c:pt idx="0">
                  <c:v>107.34371195725701</c:v>
                </c:pt>
                <c:pt idx="1">
                  <c:v>193.27074735084972</c:v>
                </c:pt>
                <c:pt idx="2">
                  <c:v>187.39805713313973</c:v>
                </c:pt>
                <c:pt idx="3">
                  <c:v>45.289760441409868</c:v>
                </c:pt>
                <c:pt idx="4">
                  <c:v>39.351528046452366</c:v>
                </c:pt>
                <c:pt idx="5">
                  <c:v>86.764538194693031</c:v>
                </c:pt>
                <c:pt idx="6">
                  <c:v>55.597128041483842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E-40F8-8C5E-2C16736F98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8603624"/>
        <c:axId val="658601656"/>
      </c:barChart>
      <c:catAx>
        <c:axId val="65860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601656"/>
        <c:crosses val="autoZero"/>
        <c:auto val="1"/>
        <c:lblAlgn val="ctr"/>
        <c:lblOffset val="100"/>
        <c:noMultiLvlLbl val="0"/>
      </c:catAx>
      <c:valAx>
        <c:axId val="658601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860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989239778293632"/>
          <c:y val="8.6450178662528812E-2"/>
          <c:w val="0.49988448597327118"/>
          <c:h val="8.1266472854856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23131</xdr:colOff>
      <xdr:row>12</xdr:row>
      <xdr:rowOff>159881</xdr:rowOff>
    </xdr:from>
    <xdr:to>
      <xdr:col>19</xdr:col>
      <xdr:colOff>561975</xdr:colOff>
      <xdr:row>42</xdr:row>
      <xdr:rowOff>23131</xdr:rowOff>
    </xdr:to>
    <xdr:graphicFrame macro="">
      <xdr:nvGraphicFramePr>
        <xdr:cNvPr id="20" name="Chart 2">
          <a:extLst>
            <a:ext uri="{FF2B5EF4-FFF2-40B4-BE49-F238E27FC236}">
              <a16:creationId xmlns:a16="http://schemas.microsoft.com/office/drawing/2014/main" id="{6106E548-0DEE-49FC-BED5-5E68E53ADE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187778</xdr:colOff>
      <xdr:row>12</xdr:row>
      <xdr:rowOff>146275</xdr:rowOff>
    </xdr:from>
    <xdr:to>
      <xdr:col>6</xdr:col>
      <xdr:colOff>1039586</xdr:colOff>
      <xdr:row>42</xdr:row>
      <xdr:rowOff>10885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168429-BB03-4DCA-93E9-9202493E9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.com\data\Distributed%20Generation\DG%20Reports\DOER%20Monthly%20Report\2017\October\DOER%20Report%20Oct%202017%20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versourceenergy-my.sharepoint.com/personal/james_fundling_eversource_com/Documents/DG%20group/data%20files/oct%2020/EMA%20Oct%202020%20work%20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LegalHolidays"/>
    </sheetNames>
    <sheetDataSet>
      <sheetData sheetId="0" refreshError="1"/>
      <sheetData sheetId="1" refreshError="1">
        <row r="4">
          <cell r="C4">
            <v>42737</v>
          </cell>
        </row>
        <row r="5">
          <cell r="C5">
            <v>42751</v>
          </cell>
        </row>
        <row r="6">
          <cell r="C6">
            <v>42786</v>
          </cell>
        </row>
        <row r="7">
          <cell r="C7">
            <v>42842</v>
          </cell>
        </row>
        <row r="8">
          <cell r="C8">
            <v>42884</v>
          </cell>
        </row>
        <row r="9">
          <cell r="C9">
            <v>42920</v>
          </cell>
        </row>
        <row r="10">
          <cell r="C10">
            <v>42982</v>
          </cell>
        </row>
        <row r="11">
          <cell r="C11">
            <v>43050</v>
          </cell>
        </row>
        <row r="12">
          <cell r="C12">
            <v>43017</v>
          </cell>
        </row>
        <row r="13">
          <cell r="C13">
            <v>43062</v>
          </cell>
        </row>
        <row r="14">
          <cell r="C14">
            <v>43094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irarchy Summer 2019"/>
      <sheetName val="xCircuit pivot table"/>
      <sheetName val="DER EMA data"/>
      <sheetName val="pivot for maps"/>
      <sheetName val="projects"/>
      <sheetName val="OMSDec2019"/>
      <sheetName val="address without zips"/>
      <sheetName val="Reference"/>
      <sheetName val="Towns and Zips"/>
      <sheetName val="circuit info"/>
      <sheetName val="TLM and circuit March 2020"/>
      <sheetName val="TLM of all DG"/>
      <sheetName val="TLM of missing circuits"/>
      <sheetName val="circuit name fixes"/>
      <sheetName val="OMS circuit"/>
      <sheetName val="Notes"/>
      <sheetName val="missingCircuitApr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F5" t="str">
            <v>Accord</v>
          </cell>
          <cell r="G5" t="str">
            <v>Norwell</v>
          </cell>
          <cell r="H5">
            <v>1</v>
          </cell>
        </row>
        <row r="6">
          <cell r="F6" t="str">
            <v>Acton</v>
          </cell>
          <cell r="G6" t="str">
            <v>Acton</v>
          </cell>
          <cell r="H6">
            <v>0</v>
          </cell>
        </row>
        <row r="7">
          <cell r="F7" t="str">
            <v xml:space="preserve">Acton </v>
          </cell>
          <cell r="G7" t="str">
            <v>Acton</v>
          </cell>
          <cell r="H7">
            <v>0</v>
          </cell>
        </row>
        <row r="8">
          <cell r="F8" t="str">
            <v>Acton </v>
          </cell>
          <cell r="G8" t="str">
            <v>Acton</v>
          </cell>
          <cell r="H8">
            <v>0</v>
          </cell>
        </row>
        <row r="9">
          <cell r="F9" t="str">
            <v>Acushnet</v>
          </cell>
          <cell r="G9" t="str">
            <v>Acushnet</v>
          </cell>
          <cell r="H9">
            <v>0</v>
          </cell>
        </row>
        <row r="10">
          <cell r="F10" t="str">
            <v>Acushnet </v>
          </cell>
          <cell r="G10" t="str">
            <v>Acushnet</v>
          </cell>
          <cell r="H10">
            <v>0</v>
          </cell>
        </row>
        <row r="11">
          <cell r="F11" t="str">
            <v>Allston</v>
          </cell>
          <cell r="G11" t="str">
            <v>Boston</v>
          </cell>
          <cell r="H11">
            <v>0</v>
          </cell>
        </row>
        <row r="12">
          <cell r="F12" t="str">
            <v>Allston </v>
          </cell>
          <cell r="G12" t="str">
            <v>Boston</v>
          </cell>
          <cell r="H12">
            <v>0</v>
          </cell>
        </row>
        <row r="13">
          <cell r="F13" t="str">
            <v>Andover</v>
          </cell>
          <cell r="G13" t="str">
            <v>Andover</v>
          </cell>
          <cell r="H13">
            <v>1</v>
          </cell>
        </row>
        <row r="14">
          <cell r="F14" t="str">
            <v>Aquinnah</v>
          </cell>
          <cell r="G14" t="str">
            <v>Aquinnah</v>
          </cell>
          <cell r="H14">
            <v>0</v>
          </cell>
        </row>
        <row r="15">
          <cell r="F15" t="str">
            <v>Aquinnah </v>
          </cell>
          <cell r="G15" t="str">
            <v>Aquinnah</v>
          </cell>
          <cell r="H15">
            <v>0</v>
          </cell>
        </row>
        <row r="16">
          <cell r="F16" t="str">
            <v>Arlington</v>
          </cell>
          <cell r="G16" t="str">
            <v>Arlington</v>
          </cell>
          <cell r="H16">
            <v>0</v>
          </cell>
        </row>
        <row r="17">
          <cell r="F17" t="str">
            <v>Arlington Heights</v>
          </cell>
          <cell r="G17" t="str">
            <v>Arlington</v>
          </cell>
          <cell r="H17">
            <v>0</v>
          </cell>
        </row>
        <row r="18">
          <cell r="F18" t="str">
            <v>Arlington </v>
          </cell>
          <cell r="G18" t="str">
            <v>Arlington</v>
          </cell>
          <cell r="H18">
            <v>0</v>
          </cell>
        </row>
        <row r="19">
          <cell r="F19" t="str">
            <v>Ashland</v>
          </cell>
          <cell r="G19" t="str">
            <v>Ashland</v>
          </cell>
          <cell r="H19">
            <v>0</v>
          </cell>
        </row>
        <row r="20">
          <cell r="F20" t="str">
            <v xml:space="preserve">Ashland </v>
          </cell>
          <cell r="G20" t="str">
            <v>Ashland</v>
          </cell>
          <cell r="H20">
            <v>0</v>
          </cell>
        </row>
        <row r="21">
          <cell r="F21" t="str">
            <v>Ashland </v>
          </cell>
          <cell r="G21" t="str">
            <v>Ashland</v>
          </cell>
          <cell r="H21">
            <v>0</v>
          </cell>
        </row>
        <row r="22">
          <cell r="F22" t="str">
            <v>Ashlaned</v>
          </cell>
          <cell r="G22" t="str">
            <v>Ashland</v>
          </cell>
          <cell r="H22">
            <v>0</v>
          </cell>
        </row>
        <row r="23">
          <cell r="F23" t="str">
            <v>Assonet</v>
          </cell>
          <cell r="G23" t="str">
            <v>Freetown</v>
          </cell>
          <cell r="H23">
            <v>0</v>
          </cell>
        </row>
        <row r="24">
          <cell r="F24" t="str">
            <v xml:space="preserve">Assonet </v>
          </cell>
          <cell r="G24" t="str">
            <v>Freetown</v>
          </cell>
          <cell r="H24">
            <v>0</v>
          </cell>
        </row>
        <row r="25">
          <cell r="F25" t="str">
            <v>Assonet </v>
          </cell>
          <cell r="G25" t="str">
            <v>Freetown</v>
          </cell>
          <cell r="H25">
            <v>0</v>
          </cell>
        </row>
        <row r="26">
          <cell r="F26" t="str">
            <v>AUBURNDALE</v>
          </cell>
          <cell r="G26" t="str">
            <v>Newton</v>
          </cell>
          <cell r="H26">
            <v>0</v>
          </cell>
        </row>
        <row r="27">
          <cell r="F27" t="str">
            <v>Auburndale </v>
          </cell>
          <cell r="G27" t="str">
            <v>Newton</v>
          </cell>
          <cell r="H27">
            <v>0</v>
          </cell>
        </row>
        <row r="28">
          <cell r="F28" t="str">
            <v>Barnstable</v>
          </cell>
          <cell r="G28" t="str">
            <v>Barnstable</v>
          </cell>
          <cell r="H28">
            <v>0</v>
          </cell>
        </row>
        <row r="29">
          <cell r="F29" t="str">
            <v>Barnstable </v>
          </cell>
          <cell r="G29" t="str">
            <v>Barnstable</v>
          </cell>
          <cell r="H29">
            <v>0</v>
          </cell>
        </row>
        <row r="30">
          <cell r="F30" t="str">
            <v>BASS RIVER</v>
          </cell>
          <cell r="G30" t="str">
            <v>Yarmouth</v>
          </cell>
          <cell r="H30">
            <v>0</v>
          </cell>
        </row>
        <row r="31">
          <cell r="F31" t="str">
            <v>Bass River </v>
          </cell>
          <cell r="G31" t="str">
            <v>Yarmouth</v>
          </cell>
          <cell r="H31">
            <v>0</v>
          </cell>
        </row>
        <row r="32">
          <cell r="F32" t="str">
            <v>Bedford</v>
          </cell>
          <cell r="G32" t="str">
            <v>Bedford</v>
          </cell>
          <cell r="H32">
            <v>0</v>
          </cell>
        </row>
        <row r="33">
          <cell r="F33" t="str">
            <v>Bedford </v>
          </cell>
          <cell r="G33" t="str">
            <v>Bedford</v>
          </cell>
          <cell r="H33">
            <v>0</v>
          </cell>
        </row>
        <row r="34">
          <cell r="F34" t="str">
            <v>Bellingham</v>
          </cell>
          <cell r="G34" t="str">
            <v>Bellingham</v>
          </cell>
          <cell r="H34">
            <v>0</v>
          </cell>
        </row>
        <row r="35">
          <cell r="F35" t="str">
            <v xml:space="preserve">Bellingham </v>
          </cell>
          <cell r="G35" t="str">
            <v>Bellingham</v>
          </cell>
          <cell r="H35">
            <v>0</v>
          </cell>
        </row>
        <row r="36">
          <cell r="F36" t="str">
            <v>Bellingham </v>
          </cell>
          <cell r="G36" t="str">
            <v>Bellingham</v>
          </cell>
          <cell r="H36">
            <v>0</v>
          </cell>
        </row>
        <row r="37">
          <cell r="F37" t="str">
            <v>Belmont</v>
          </cell>
          <cell r="G37" t="str">
            <v>Belmont </v>
          </cell>
          <cell r="H37">
            <v>1</v>
          </cell>
        </row>
        <row r="38">
          <cell r="F38" t="str">
            <v>Belmont </v>
          </cell>
          <cell r="G38" t="str">
            <v>Belmont </v>
          </cell>
          <cell r="H38">
            <v>1</v>
          </cell>
        </row>
        <row r="39">
          <cell r="F39" t="str">
            <v>Billerica</v>
          </cell>
          <cell r="G39" t="str">
            <v>Billerica</v>
          </cell>
          <cell r="H39">
            <v>1</v>
          </cell>
        </row>
        <row r="40">
          <cell r="F40" t="str">
            <v>Bolton</v>
          </cell>
          <cell r="G40" t="str">
            <v>Bolton </v>
          </cell>
          <cell r="H40">
            <v>1</v>
          </cell>
        </row>
        <row r="41">
          <cell r="F41" t="str">
            <v>Bolton </v>
          </cell>
          <cell r="G41" t="str">
            <v>Bolton </v>
          </cell>
          <cell r="H41">
            <v>1</v>
          </cell>
        </row>
        <row r="42">
          <cell r="F42" t="str">
            <v>Boston</v>
          </cell>
          <cell r="G42" t="str">
            <v>Boston</v>
          </cell>
          <cell r="H42">
            <v>0</v>
          </cell>
        </row>
        <row r="43">
          <cell r="F43" t="str">
            <v xml:space="preserve">Boston </v>
          </cell>
          <cell r="G43" t="str">
            <v>Boston</v>
          </cell>
          <cell r="H43">
            <v>0</v>
          </cell>
        </row>
        <row r="44">
          <cell r="F44" t="str">
            <v>Bourne</v>
          </cell>
          <cell r="G44" t="str">
            <v>Bourne</v>
          </cell>
          <cell r="H44">
            <v>0</v>
          </cell>
        </row>
        <row r="45">
          <cell r="F45" t="str">
            <v>Bourne </v>
          </cell>
          <cell r="G45" t="str">
            <v>Bourne</v>
          </cell>
          <cell r="H45">
            <v>0</v>
          </cell>
        </row>
        <row r="46">
          <cell r="F46" t="str">
            <v>Braintree</v>
          </cell>
          <cell r="G46" t="str">
            <v>Braintree </v>
          </cell>
          <cell r="H46">
            <v>1</v>
          </cell>
        </row>
        <row r="47">
          <cell r="F47" t="str">
            <v>Braintree </v>
          </cell>
          <cell r="G47" t="str">
            <v>Braintree </v>
          </cell>
          <cell r="H47">
            <v>1</v>
          </cell>
        </row>
        <row r="48">
          <cell r="F48" t="str">
            <v>Brant Rock</v>
          </cell>
          <cell r="G48" t="str">
            <v>Marshfield</v>
          </cell>
          <cell r="H48">
            <v>0</v>
          </cell>
        </row>
        <row r="49">
          <cell r="F49" t="str">
            <v>Brant Rock </v>
          </cell>
          <cell r="G49" t="str">
            <v>Marshfield</v>
          </cell>
          <cell r="H49">
            <v>0</v>
          </cell>
        </row>
        <row r="50">
          <cell r="F50" t="str">
            <v>Brewster</v>
          </cell>
          <cell r="G50" t="str">
            <v>Brewster</v>
          </cell>
          <cell r="H50">
            <v>0</v>
          </cell>
        </row>
        <row r="51">
          <cell r="F51" t="str">
            <v>Brewster </v>
          </cell>
          <cell r="G51" t="str">
            <v>Brewster</v>
          </cell>
          <cell r="H51">
            <v>0</v>
          </cell>
        </row>
        <row r="52">
          <cell r="F52" t="str">
            <v>Brighton</v>
          </cell>
          <cell r="G52" t="str">
            <v>Boston</v>
          </cell>
          <cell r="H52">
            <v>0</v>
          </cell>
        </row>
        <row r="53">
          <cell r="F53" t="str">
            <v>Brookline</v>
          </cell>
          <cell r="G53" t="str">
            <v>Brookline</v>
          </cell>
          <cell r="H53">
            <v>0</v>
          </cell>
        </row>
        <row r="54">
          <cell r="F54" t="str">
            <v>Burlington</v>
          </cell>
          <cell r="G54" t="str">
            <v>Burlington</v>
          </cell>
          <cell r="H54">
            <v>0</v>
          </cell>
        </row>
        <row r="55">
          <cell r="F55" t="str">
            <v xml:space="preserve">Burlington </v>
          </cell>
          <cell r="G55" t="str">
            <v>Burlington</v>
          </cell>
          <cell r="H55">
            <v>0</v>
          </cell>
        </row>
        <row r="56">
          <cell r="F56" t="str">
            <v>Buzzards Bay</v>
          </cell>
          <cell r="G56" t="str">
            <v>Bourne</v>
          </cell>
          <cell r="H56">
            <v>0</v>
          </cell>
        </row>
        <row r="57">
          <cell r="F57" t="str">
            <v>BUZZDS BAY</v>
          </cell>
          <cell r="G57" t="str">
            <v>Bourne</v>
          </cell>
          <cell r="H57">
            <v>0</v>
          </cell>
        </row>
        <row r="58">
          <cell r="F58" t="str">
            <v>Cambridge</v>
          </cell>
          <cell r="G58" t="str">
            <v>Cambridge</v>
          </cell>
          <cell r="H58">
            <v>0</v>
          </cell>
        </row>
        <row r="59">
          <cell r="F59" t="str">
            <v xml:space="preserve">Cambridge </v>
          </cell>
          <cell r="G59" t="str">
            <v>Cambridge</v>
          </cell>
          <cell r="H59">
            <v>0</v>
          </cell>
        </row>
        <row r="60">
          <cell r="F60" t="str">
            <v>Canton</v>
          </cell>
          <cell r="G60" t="str">
            <v>Canton</v>
          </cell>
          <cell r="H60">
            <v>0</v>
          </cell>
        </row>
        <row r="61">
          <cell r="F61" t="str">
            <v xml:space="preserve">Canton </v>
          </cell>
          <cell r="G61" t="str">
            <v>Canton</v>
          </cell>
          <cell r="H61">
            <v>0</v>
          </cell>
        </row>
        <row r="62">
          <cell r="F62" t="str">
            <v>Carlisle</v>
          </cell>
          <cell r="G62" t="str">
            <v>Carlisle</v>
          </cell>
          <cell r="H62">
            <v>0</v>
          </cell>
        </row>
        <row r="63">
          <cell r="F63" t="str">
            <v>Carver</v>
          </cell>
          <cell r="G63" t="str">
            <v>Carver</v>
          </cell>
          <cell r="H63">
            <v>0</v>
          </cell>
        </row>
        <row r="64">
          <cell r="F64" t="str">
            <v xml:space="preserve">Carver </v>
          </cell>
          <cell r="G64" t="str">
            <v>Carver</v>
          </cell>
          <cell r="H64">
            <v>0</v>
          </cell>
        </row>
        <row r="65">
          <cell r="F65" t="str">
            <v>Cataumet</v>
          </cell>
          <cell r="G65" t="str">
            <v>Bourne</v>
          </cell>
          <cell r="H65">
            <v>0</v>
          </cell>
        </row>
        <row r="66">
          <cell r="F66" t="str">
            <v>Centerville</v>
          </cell>
          <cell r="G66" t="str">
            <v>Barnstable</v>
          </cell>
          <cell r="H66">
            <v>0</v>
          </cell>
        </row>
        <row r="67">
          <cell r="F67" t="str">
            <v>Chappaquiddick Island</v>
          </cell>
          <cell r="G67" t="str">
            <v>Edgartown</v>
          </cell>
          <cell r="H67">
            <v>0</v>
          </cell>
        </row>
        <row r="68">
          <cell r="F68" t="str">
            <v>Charlestown</v>
          </cell>
          <cell r="G68" t="str">
            <v>Boston</v>
          </cell>
          <cell r="H68">
            <v>0</v>
          </cell>
        </row>
        <row r="69">
          <cell r="F69" t="str">
            <v>CHARLESTWN</v>
          </cell>
          <cell r="G69" t="str">
            <v>Boston</v>
          </cell>
          <cell r="H69">
            <v>0</v>
          </cell>
        </row>
        <row r="70">
          <cell r="F70" t="str">
            <v>Chatham</v>
          </cell>
          <cell r="G70" t="str">
            <v>Chatham</v>
          </cell>
          <cell r="H70">
            <v>0</v>
          </cell>
        </row>
        <row r="71">
          <cell r="F71" t="str">
            <v>Chelsea</v>
          </cell>
          <cell r="G71" t="str">
            <v>Chelsea</v>
          </cell>
          <cell r="H71">
            <v>0</v>
          </cell>
        </row>
        <row r="72">
          <cell r="F72" t="str">
            <v>Cherry Brook</v>
          </cell>
          <cell r="G72" t="str">
            <v>Weston</v>
          </cell>
          <cell r="H72">
            <v>0</v>
          </cell>
        </row>
        <row r="73">
          <cell r="F73" t="str">
            <v>CHESTNT HL</v>
          </cell>
          <cell r="G73" t="str">
            <v>Newton</v>
          </cell>
          <cell r="H73">
            <v>0</v>
          </cell>
        </row>
        <row r="74">
          <cell r="F74" t="str">
            <v>Chestnut Hill</v>
          </cell>
          <cell r="G74" t="str">
            <v>Newton</v>
          </cell>
          <cell r="H74">
            <v>0</v>
          </cell>
        </row>
        <row r="75">
          <cell r="F75" t="str">
            <v>Chilmark</v>
          </cell>
          <cell r="G75" t="str">
            <v>Chilmark</v>
          </cell>
          <cell r="H75">
            <v>0</v>
          </cell>
        </row>
        <row r="76">
          <cell r="F76" t="str">
            <v>Cochituate</v>
          </cell>
          <cell r="G76" t="str">
            <v>Wayland</v>
          </cell>
          <cell r="H76">
            <v>0</v>
          </cell>
        </row>
        <row r="77">
          <cell r="F77" t="str">
            <v>Concord</v>
          </cell>
          <cell r="G77" t="str">
            <v>Concord</v>
          </cell>
          <cell r="H77">
            <v>1</v>
          </cell>
        </row>
        <row r="78">
          <cell r="F78" t="str">
            <v>Cotuit</v>
          </cell>
          <cell r="G78" t="str">
            <v>Barnstable</v>
          </cell>
          <cell r="H78">
            <v>0</v>
          </cell>
        </row>
        <row r="79">
          <cell r="F79" t="str">
            <v>Cummaquid</v>
          </cell>
          <cell r="G79" t="str">
            <v>Barnstable</v>
          </cell>
          <cell r="H79">
            <v>0</v>
          </cell>
        </row>
        <row r="80">
          <cell r="F80" t="str">
            <v>Dartmouth</v>
          </cell>
          <cell r="G80" t="str">
            <v>Dartmouth</v>
          </cell>
          <cell r="H80">
            <v>0</v>
          </cell>
        </row>
        <row r="81">
          <cell r="F81" t="str">
            <v xml:space="preserve">Dartmouth </v>
          </cell>
          <cell r="G81" t="str">
            <v>Dartmouth</v>
          </cell>
          <cell r="H81">
            <v>0</v>
          </cell>
        </row>
        <row r="82">
          <cell r="F82" t="str">
            <v>Dedham</v>
          </cell>
          <cell r="G82" t="str">
            <v>Dedham</v>
          </cell>
          <cell r="H82">
            <v>0</v>
          </cell>
        </row>
        <row r="83">
          <cell r="F83" t="str">
            <v>Dennis</v>
          </cell>
          <cell r="G83" t="str">
            <v>Dennis</v>
          </cell>
          <cell r="H83">
            <v>0</v>
          </cell>
        </row>
        <row r="84">
          <cell r="F84" t="str">
            <v>Dennis Port</v>
          </cell>
          <cell r="G84" t="str">
            <v>Dennis</v>
          </cell>
          <cell r="H84">
            <v>0</v>
          </cell>
        </row>
        <row r="85">
          <cell r="F85" t="str">
            <v>Dennisport</v>
          </cell>
          <cell r="G85" t="str">
            <v>Dennis</v>
          </cell>
          <cell r="H85">
            <v>0</v>
          </cell>
        </row>
        <row r="86">
          <cell r="F86" t="str">
            <v>DORCESTER</v>
          </cell>
          <cell r="G86" t="str">
            <v>Boston</v>
          </cell>
          <cell r="H86">
            <v>0</v>
          </cell>
        </row>
        <row r="87">
          <cell r="F87" t="str">
            <v>Dorchester</v>
          </cell>
          <cell r="G87" t="str">
            <v>Boston</v>
          </cell>
          <cell r="H87">
            <v>0</v>
          </cell>
        </row>
        <row r="88">
          <cell r="F88" t="str">
            <v xml:space="preserve">Dorchester </v>
          </cell>
          <cell r="G88" t="str">
            <v>Boston</v>
          </cell>
          <cell r="H88">
            <v>0</v>
          </cell>
        </row>
        <row r="89">
          <cell r="F89" t="str">
            <v>Dorchester Ave</v>
          </cell>
          <cell r="G89" t="str">
            <v>Boston</v>
          </cell>
          <cell r="H89">
            <v>0</v>
          </cell>
        </row>
        <row r="90">
          <cell r="F90" t="str">
            <v>Dover</v>
          </cell>
          <cell r="G90" t="str">
            <v>Dover</v>
          </cell>
          <cell r="H90">
            <v>0</v>
          </cell>
        </row>
        <row r="91">
          <cell r="F91" t="str">
            <v>Duxbury</v>
          </cell>
          <cell r="G91" t="str">
            <v>Duxbury</v>
          </cell>
          <cell r="H91">
            <v>0</v>
          </cell>
        </row>
        <row r="92">
          <cell r="F92" t="str">
            <v>E Boston</v>
          </cell>
          <cell r="G92" t="str">
            <v>Boston</v>
          </cell>
          <cell r="H92">
            <v>0</v>
          </cell>
        </row>
        <row r="93">
          <cell r="F93" t="str">
            <v>E DENNIS</v>
          </cell>
          <cell r="G93" t="str">
            <v>Dennis</v>
          </cell>
          <cell r="H93">
            <v>0</v>
          </cell>
        </row>
        <row r="94">
          <cell r="F94" t="str">
            <v>E Falmouth</v>
          </cell>
          <cell r="G94" t="str">
            <v>Falmouth</v>
          </cell>
          <cell r="H94">
            <v>0</v>
          </cell>
        </row>
        <row r="95">
          <cell r="F95" t="str">
            <v>E Freetown</v>
          </cell>
          <cell r="G95" t="str">
            <v>Freetown</v>
          </cell>
          <cell r="H95">
            <v>0</v>
          </cell>
        </row>
        <row r="96">
          <cell r="F96" t="str">
            <v>E WALPOLE</v>
          </cell>
          <cell r="G96" t="str">
            <v>Walpole</v>
          </cell>
          <cell r="H96">
            <v>0</v>
          </cell>
        </row>
        <row r="97">
          <cell r="F97" t="str">
            <v>E Wareham</v>
          </cell>
          <cell r="G97" t="str">
            <v>Wareham</v>
          </cell>
          <cell r="H97">
            <v>0</v>
          </cell>
        </row>
        <row r="98">
          <cell r="F98" t="str">
            <v>E. Dennis</v>
          </cell>
          <cell r="G98" t="str">
            <v>Dennis</v>
          </cell>
          <cell r="H98">
            <v>0</v>
          </cell>
        </row>
        <row r="99">
          <cell r="F99" t="str">
            <v>E. Falmouth</v>
          </cell>
          <cell r="G99" t="str">
            <v>Falmouth</v>
          </cell>
          <cell r="H99">
            <v>0</v>
          </cell>
        </row>
        <row r="100">
          <cell r="F100" t="str">
            <v xml:space="preserve">E. Falmouth </v>
          </cell>
          <cell r="G100" t="str">
            <v>Falmouth</v>
          </cell>
          <cell r="H100">
            <v>0</v>
          </cell>
        </row>
        <row r="101">
          <cell r="F101" t="str">
            <v>E. FREETOWN</v>
          </cell>
          <cell r="G101" t="str">
            <v>Freetown</v>
          </cell>
          <cell r="H101">
            <v>0</v>
          </cell>
        </row>
        <row r="102">
          <cell r="F102" t="str">
            <v>East Boston</v>
          </cell>
          <cell r="G102" t="str">
            <v>Boston</v>
          </cell>
          <cell r="H102">
            <v>0</v>
          </cell>
        </row>
        <row r="103">
          <cell r="F103" t="str">
            <v>East Dennis</v>
          </cell>
          <cell r="G103" t="str">
            <v>Dennis</v>
          </cell>
          <cell r="H103">
            <v>0</v>
          </cell>
        </row>
        <row r="104">
          <cell r="F104" t="str">
            <v>East Falmouth</v>
          </cell>
          <cell r="G104" t="str">
            <v>Falmouth</v>
          </cell>
          <cell r="H104">
            <v>0</v>
          </cell>
        </row>
        <row r="105">
          <cell r="F105" t="str">
            <v>East Freetown</v>
          </cell>
          <cell r="G105" t="str">
            <v>Freetown</v>
          </cell>
          <cell r="H105">
            <v>0</v>
          </cell>
        </row>
        <row r="106">
          <cell r="F106" t="str">
            <v>East Harwich</v>
          </cell>
          <cell r="G106" t="str">
            <v>Harwich</v>
          </cell>
          <cell r="H106">
            <v>0</v>
          </cell>
        </row>
        <row r="107">
          <cell r="F107" t="str">
            <v>East Leverett</v>
          </cell>
          <cell r="G107" t="str">
            <v>Leverett</v>
          </cell>
          <cell r="H107">
            <v>1</v>
          </cell>
        </row>
        <row r="108">
          <cell r="F108" t="str">
            <v>East Milton</v>
          </cell>
          <cell r="G108" t="str">
            <v>Milton</v>
          </cell>
          <cell r="H108">
            <v>0</v>
          </cell>
        </row>
        <row r="109">
          <cell r="F109" t="str">
            <v>East Orleans</v>
          </cell>
          <cell r="G109" t="str">
            <v>Orleans</v>
          </cell>
          <cell r="H109">
            <v>0</v>
          </cell>
        </row>
        <row r="110">
          <cell r="F110" t="str">
            <v>East Sandwich</v>
          </cell>
          <cell r="G110" t="str">
            <v>Sandwich</v>
          </cell>
          <cell r="H110">
            <v>0</v>
          </cell>
        </row>
        <row r="111">
          <cell r="F111" t="str">
            <v>East Somerville</v>
          </cell>
          <cell r="G111" t="str">
            <v>Somerville</v>
          </cell>
          <cell r="H111">
            <v>0</v>
          </cell>
        </row>
        <row r="112">
          <cell r="F112" t="str">
            <v>East Taunton</v>
          </cell>
          <cell r="G112" t="str">
            <v>Taunton</v>
          </cell>
          <cell r="H112">
            <v>1</v>
          </cell>
        </row>
        <row r="113">
          <cell r="F113" t="str">
            <v>East Walpole</v>
          </cell>
          <cell r="G113" t="str">
            <v>Walpole</v>
          </cell>
          <cell r="H113">
            <v>0</v>
          </cell>
        </row>
        <row r="114">
          <cell r="F114" t="str">
            <v>East Wareham</v>
          </cell>
          <cell r="G114" t="str">
            <v>Wareham</v>
          </cell>
          <cell r="H114">
            <v>0</v>
          </cell>
        </row>
        <row r="115">
          <cell r="F115" t="str">
            <v>East Watertown</v>
          </cell>
          <cell r="G115" t="str">
            <v>Watertown</v>
          </cell>
          <cell r="H115">
            <v>0</v>
          </cell>
        </row>
        <row r="116">
          <cell r="F116" t="str">
            <v>Eastham</v>
          </cell>
          <cell r="G116" t="str">
            <v>Eastham</v>
          </cell>
          <cell r="H116">
            <v>0</v>
          </cell>
        </row>
        <row r="117">
          <cell r="F117" t="str">
            <v>Easton</v>
          </cell>
          <cell r="G117" t="str">
            <v>Easton</v>
          </cell>
          <cell r="H117">
            <v>1</v>
          </cell>
        </row>
        <row r="118">
          <cell r="F118" t="str">
            <v>Edgartown</v>
          </cell>
          <cell r="G118" t="str">
            <v>Edgartown</v>
          </cell>
          <cell r="H118">
            <v>0</v>
          </cell>
        </row>
        <row r="119">
          <cell r="F119" t="str">
            <v xml:space="preserve">Edgartown </v>
          </cell>
          <cell r="G119" t="str">
            <v>Edgartown</v>
          </cell>
          <cell r="H119">
            <v>0</v>
          </cell>
        </row>
        <row r="120">
          <cell r="F120" t="str">
            <v>Fairhaven</v>
          </cell>
          <cell r="G120" t="str">
            <v>Fairhaven</v>
          </cell>
          <cell r="H120">
            <v>0</v>
          </cell>
        </row>
        <row r="121">
          <cell r="F121" t="str">
            <v xml:space="preserve">Fairhaven </v>
          </cell>
          <cell r="G121" t="str">
            <v>Fairhaven</v>
          </cell>
          <cell r="H121">
            <v>0</v>
          </cell>
        </row>
        <row r="122">
          <cell r="F122" t="str">
            <v>Falmouth</v>
          </cell>
          <cell r="G122" t="str">
            <v>Falmouth</v>
          </cell>
          <cell r="H122">
            <v>0</v>
          </cell>
        </row>
        <row r="123">
          <cell r="F123" t="str">
            <v xml:space="preserve">Falmouth </v>
          </cell>
          <cell r="G123" t="str">
            <v>Falmouth</v>
          </cell>
          <cell r="H123">
            <v>0</v>
          </cell>
        </row>
        <row r="124">
          <cell r="F124" t="str">
            <v>Fayville</v>
          </cell>
          <cell r="G124" t="str">
            <v>Southborough</v>
          </cell>
          <cell r="H124">
            <v>1</v>
          </cell>
        </row>
        <row r="125">
          <cell r="F125" t="str">
            <v>Forestdale</v>
          </cell>
          <cell r="G125" t="str">
            <v>Sandwich</v>
          </cell>
          <cell r="H125">
            <v>0</v>
          </cell>
        </row>
        <row r="126">
          <cell r="F126" t="str">
            <v>Framingham</v>
          </cell>
          <cell r="G126" t="str">
            <v>Framingham</v>
          </cell>
          <cell r="H126">
            <v>0</v>
          </cell>
        </row>
        <row r="127">
          <cell r="F127" t="str">
            <v xml:space="preserve">Framingham </v>
          </cell>
          <cell r="G127" t="str">
            <v>Framingham</v>
          </cell>
          <cell r="H127">
            <v>0</v>
          </cell>
        </row>
        <row r="128">
          <cell r="F128" t="str">
            <v>Franklin</v>
          </cell>
          <cell r="G128" t="str">
            <v>Franklin</v>
          </cell>
          <cell r="H128">
            <v>1</v>
          </cell>
        </row>
        <row r="129">
          <cell r="F129" t="str">
            <v>Freetown</v>
          </cell>
          <cell r="G129" t="str">
            <v>Freetown</v>
          </cell>
          <cell r="H129">
            <v>0</v>
          </cell>
        </row>
        <row r="130">
          <cell r="F130" t="str">
            <v xml:space="preserve">Freetown </v>
          </cell>
          <cell r="G130" t="str">
            <v>Freetown</v>
          </cell>
          <cell r="H130">
            <v>0</v>
          </cell>
        </row>
        <row r="131">
          <cell r="F131" t="str">
            <v>Goshen</v>
          </cell>
          <cell r="G131" t="str">
            <v>Goshen</v>
          </cell>
          <cell r="H131">
            <v>1</v>
          </cell>
        </row>
        <row r="132">
          <cell r="F132" t="str">
            <v>Green Harbor</v>
          </cell>
          <cell r="G132" t="str">
            <v>Marshfield</v>
          </cell>
          <cell r="H132">
            <v>0</v>
          </cell>
        </row>
        <row r="133">
          <cell r="F133" t="str">
            <v>Green Harbour</v>
          </cell>
          <cell r="G133" t="str">
            <v>Marshfield</v>
          </cell>
          <cell r="H133">
            <v>0</v>
          </cell>
        </row>
        <row r="134">
          <cell r="F134" t="str">
            <v>Hanscom Afb</v>
          </cell>
          <cell r="G134" t="str">
            <v>Bedford</v>
          </cell>
          <cell r="H134">
            <v>0</v>
          </cell>
        </row>
        <row r="135">
          <cell r="F135" t="str">
            <v>HARWCHPORT</v>
          </cell>
          <cell r="G135" t="str">
            <v>Harwich</v>
          </cell>
          <cell r="H135">
            <v>0</v>
          </cell>
        </row>
        <row r="136">
          <cell r="F136" t="str">
            <v>Harwich</v>
          </cell>
          <cell r="G136" t="str">
            <v>Harwich</v>
          </cell>
          <cell r="H136">
            <v>0</v>
          </cell>
        </row>
        <row r="137">
          <cell r="F137" t="str">
            <v>Harwich Port</v>
          </cell>
          <cell r="G137" t="str">
            <v>Harwich</v>
          </cell>
          <cell r="H137">
            <v>0</v>
          </cell>
        </row>
        <row r="138">
          <cell r="F138" t="str">
            <v>HARWICHPORT</v>
          </cell>
          <cell r="G138" t="str">
            <v>Harwich</v>
          </cell>
          <cell r="H138">
            <v>0</v>
          </cell>
        </row>
        <row r="139">
          <cell r="F139" t="str">
            <v>Hatchville</v>
          </cell>
          <cell r="G139" t="str">
            <v>Falmouth</v>
          </cell>
          <cell r="H139">
            <v>0</v>
          </cell>
        </row>
        <row r="140">
          <cell r="F140" t="str">
            <v>Holliston</v>
          </cell>
          <cell r="G140" t="str">
            <v>Holliston</v>
          </cell>
          <cell r="H140">
            <v>0</v>
          </cell>
        </row>
        <row r="141">
          <cell r="F141" t="str">
            <v xml:space="preserve">Holliston </v>
          </cell>
          <cell r="G141" t="str">
            <v>Holliston</v>
          </cell>
          <cell r="H141">
            <v>0</v>
          </cell>
        </row>
        <row r="142">
          <cell r="F142" t="str">
            <v>Hopkinton</v>
          </cell>
          <cell r="G142" t="str">
            <v>Hopkinton</v>
          </cell>
          <cell r="H142">
            <v>0</v>
          </cell>
        </row>
        <row r="143">
          <cell r="F143" t="str">
            <v>Hudson</v>
          </cell>
          <cell r="G143" t="str">
            <v>Hudson</v>
          </cell>
          <cell r="H143">
            <v>1</v>
          </cell>
        </row>
        <row r="144">
          <cell r="F144" t="str">
            <v>Humarock</v>
          </cell>
          <cell r="G144" t="str">
            <v>Scituate</v>
          </cell>
          <cell r="H144">
            <v>0</v>
          </cell>
        </row>
        <row r="145">
          <cell r="F145" t="str">
            <v>Hyannis</v>
          </cell>
          <cell r="G145" t="str">
            <v>Barnstable</v>
          </cell>
          <cell r="H145">
            <v>0</v>
          </cell>
        </row>
        <row r="146">
          <cell r="F146" t="str">
            <v xml:space="preserve">Hyannis </v>
          </cell>
          <cell r="G146" t="str">
            <v>Barnstable</v>
          </cell>
          <cell r="H146">
            <v>0</v>
          </cell>
        </row>
        <row r="147">
          <cell r="F147" t="str">
            <v>Hyannis Port</v>
          </cell>
          <cell r="G147" t="str">
            <v>Barnstable</v>
          </cell>
          <cell r="H147">
            <v>0</v>
          </cell>
        </row>
        <row r="148">
          <cell r="F148" t="str">
            <v>Hyde Park</v>
          </cell>
          <cell r="G148" t="str">
            <v>Boston</v>
          </cell>
          <cell r="H148">
            <v>0</v>
          </cell>
        </row>
        <row r="149">
          <cell r="F149" t="str">
            <v>JAM PLAIN</v>
          </cell>
          <cell r="G149" t="str">
            <v>Boston</v>
          </cell>
          <cell r="H149">
            <v>0</v>
          </cell>
        </row>
        <row r="150">
          <cell r="F150" t="str">
            <v>JAMAICA PL</v>
          </cell>
          <cell r="G150" t="str">
            <v>Boston</v>
          </cell>
          <cell r="H150">
            <v>0</v>
          </cell>
        </row>
        <row r="151">
          <cell r="F151" t="str">
            <v>Jamaica Plain</v>
          </cell>
          <cell r="G151" t="str">
            <v>Boston</v>
          </cell>
          <cell r="H151">
            <v>0</v>
          </cell>
        </row>
        <row r="152">
          <cell r="F152" t="str">
            <v>JAMAICA PLAN</v>
          </cell>
          <cell r="G152" t="str">
            <v>Boston</v>
          </cell>
          <cell r="H152">
            <v>0</v>
          </cell>
        </row>
        <row r="153">
          <cell r="F153" t="str">
            <v>Kingston</v>
          </cell>
          <cell r="G153" t="str">
            <v>Kingston</v>
          </cell>
          <cell r="H153">
            <v>0</v>
          </cell>
        </row>
        <row r="154">
          <cell r="F154" t="str">
            <v xml:space="preserve">Kingston </v>
          </cell>
          <cell r="G154" t="str">
            <v>Kingston</v>
          </cell>
          <cell r="H154">
            <v>0</v>
          </cell>
        </row>
        <row r="155">
          <cell r="F155" t="str">
            <v>Lakeville</v>
          </cell>
          <cell r="G155" t="str">
            <v>Lakeville</v>
          </cell>
          <cell r="H155">
            <v>0</v>
          </cell>
        </row>
        <row r="156">
          <cell r="F156" t="str">
            <v>Lee</v>
          </cell>
          <cell r="G156" t="str">
            <v>Lee</v>
          </cell>
          <cell r="H156">
            <v>1</v>
          </cell>
        </row>
        <row r="157">
          <cell r="F157" t="str">
            <v>Leverett</v>
          </cell>
          <cell r="G157" t="str">
            <v>Leverett</v>
          </cell>
          <cell r="H157">
            <v>1</v>
          </cell>
        </row>
        <row r="158">
          <cell r="F158" t="str">
            <v>Lexington</v>
          </cell>
          <cell r="G158" t="str">
            <v>Lexington</v>
          </cell>
          <cell r="H158">
            <v>0</v>
          </cell>
        </row>
        <row r="159">
          <cell r="F159" t="str">
            <v xml:space="preserve">Lexington </v>
          </cell>
          <cell r="G159" t="str">
            <v>Lexington</v>
          </cell>
          <cell r="H159">
            <v>0</v>
          </cell>
        </row>
        <row r="160">
          <cell r="F160" t="str">
            <v>Lincoln</v>
          </cell>
          <cell r="G160" t="str">
            <v>Lincoln</v>
          </cell>
          <cell r="H160">
            <v>0</v>
          </cell>
        </row>
        <row r="161">
          <cell r="F161" t="str">
            <v xml:space="preserve">Lincoln </v>
          </cell>
          <cell r="G161" t="str">
            <v>Lincoln</v>
          </cell>
          <cell r="H161">
            <v>0</v>
          </cell>
        </row>
        <row r="162">
          <cell r="F162" t="str">
            <v>lymouth</v>
          </cell>
          <cell r="G162" t="str">
            <v>Plymouth</v>
          </cell>
          <cell r="H162">
            <v>0</v>
          </cell>
        </row>
        <row r="163">
          <cell r="F163" t="str">
            <v>Manomet</v>
          </cell>
          <cell r="G163" t="str">
            <v>Plymouth</v>
          </cell>
          <cell r="H163">
            <v>0</v>
          </cell>
        </row>
        <row r="164">
          <cell r="F164" t="str">
            <v>Marion</v>
          </cell>
          <cell r="G164" t="str">
            <v>Marion</v>
          </cell>
          <cell r="H164">
            <v>0</v>
          </cell>
        </row>
        <row r="165">
          <cell r="F165" t="str">
            <v xml:space="preserve">Marion </v>
          </cell>
          <cell r="G165" t="str">
            <v>Marion</v>
          </cell>
          <cell r="H165">
            <v>0</v>
          </cell>
        </row>
        <row r="166">
          <cell r="F166" t="str">
            <v>Marshfield</v>
          </cell>
          <cell r="G166" t="str">
            <v>Marshfield</v>
          </cell>
          <cell r="H166">
            <v>0</v>
          </cell>
        </row>
        <row r="167">
          <cell r="F167" t="str">
            <v>Marshfield Hills</v>
          </cell>
          <cell r="G167" t="str">
            <v>Marshfield</v>
          </cell>
          <cell r="H167">
            <v>0</v>
          </cell>
        </row>
        <row r="168">
          <cell r="F168" t="str">
            <v xml:space="preserve">Marstns Mills </v>
          </cell>
          <cell r="G168" t="str">
            <v>Barnstable</v>
          </cell>
          <cell r="H168">
            <v>0</v>
          </cell>
        </row>
        <row r="169">
          <cell r="F169" t="str">
            <v>Marstons Mills</v>
          </cell>
          <cell r="G169" t="str">
            <v>Barnstable</v>
          </cell>
          <cell r="H169">
            <v>0</v>
          </cell>
        </row>
        <row r="170">
          <cell r="F170" t="str">
            <v>Mashpee</v>
          </cell>
          <cell r="G170" t="str">
            <v>Mashpee</v>
          </cell>
          <cell r="H170">
            <v>0</v>
          </cell>
        </row>
        <row r="171">
          <cell r="F171" t="str">
            <v>Mattapan</v>
          </cell>
          <cell r="G171" t="str">
            <v>Boston</v>
          </cell>
          <cell r="H171">
            <v>0</v>
          </cell>
        </row>
        <row r="172">
          <cell r="F172" t="str">
            <v>Mattapoisett</v>
          </cell>
          <cell r="G172" t="str">
            <v>Mattapoisett</v>
          </cell>
          <cell r="H172">
            <v>0</v>
          </cell>
        </row>
        <row r="173">
          <cell r="F173" t="str">
            <v xml:space="preserve">Mattapoisett </v>
          </cell>
          <cell r="G173" t="str">
            <v>Mattapoisett</v>
          </cell>
          <cell r="H173">
            <v>0</v>
          </cell>
        </row>
        <row r="174">
          <cell r="F174" t="str">
            <v>MATTAPOSET</v>
          </cell>
          <cell r="G174" t="str">
            <v>Mattapoisett</v>
          </cell>
          <cell r="H174">
            <v>0</v>
          </cell>
        </row>
        <row r="175">
          <cell r="F175" t="str">
            <v>Maynard</v>
          </cell>
          <cell r="G175" t="str">
            <v>Maynard</v>
          </cell>
          <cell r="H175">
            <v>0</v>
          </cell>
        </row>
        <row r="176">
          <cell r="F176" t="str">
            <v>Medfield</v>
          </cell>
          <cell r="G176" t="str">
            <v>Medfield</v>
          </cell>
          <cell r="H176">
            <v>0</v>
          </cell>
        </row>
        <row r="177">
          <cell r="F177" t="str">
            <v>Medway</v>
          </cell>
          <cell r="G177" t="str">
            <v>Medway</v>
          </cell>
          <cell r="H177">
            <v>0</v>
          </cell>
        </row>
        <row r="178">
          <cell r="F178" t="str">
            <v>Mendon</v>
          </cell>
          <cell r="G178" t="str">
            <v>Mendon</v>
          </cell>
          <cell r="H178">
            <v>1</v>
          </cell>
        </row>
        <row r="179">
          <cell r="F179" t="str">
            <v>Middleboro</v>
          </cell>
          <cell r="G179" t="str">
            <v>Middleboro</v>
          </cell>
          <cell r="H179">
            <v>1</v>
          </cell>
        </row>
        <row r="180">
          <cell r="F180" t="str">
            <v>Middlefield</v>
          </cell>
          <cell r="G180" t="str">
            <v>Middlefield</v>
          </cell>
          <cell r="H180">
            <v>1</v>
          </cell>
        </row>
        <row r="181">
          <cell r="F181" t="str">
            <v>Milford</v>
          </cell>
          <cell r="G181" t="str">
            <v>Milford</v>
          </cell>
          <cell r="H181">
            <v>1</v>
          </cell>
        </row>
        <row r="182">
          <cell r="F182" t="str">
            <v>Millis</v>
          </cell>
          <cell r="G182" t="str">
            <v>Millis</v>
          </cell>
          <cell r="H182">
            <v>0</v>
          </cell>
        </row>
        <row r="183">
          <cell r="F183" t="str">
            <v xml:space="preserve">Millis </v>
          </cell>
          <cell r="G183" t="str">
            <v>Millis</v>
          </cell>
          <cell r="H183">
            <v>0</v>
          </cell>
        </row>
        <row r="184">
          <cell r="F184" t="str">
            <v>Milton</v>
          </cell>
          <cell r="G184" t="str">
            <v>Milton</v>
          </cell>
          <cell r="H184">
            <v>0</v>
          </cell>
        </row>
        <row r="185">
          <cell r="F185" t="str">
            <v>MONUM BCH</v>
          </cell>
          <cell r="G185" t="str">
            <v>Bourne</v>
          </cell>
          <cell r="H185">
            <v>0</v>
          </cell>
        </row>
        <row r="186">
          <cell r="F186" t="str">
            <v>Monument Beach</v>
          </cell>
          <cell r="G186" t="str">
            <v>Bourne</v>
          </cell>
          <cell r="H186">
            <v>0</v>
          </cell>
        </row>
        <row r="187">
          <cell r="F187" t="str">
            <v>N CAMBRIDG</v>
          </cell>
          <cell r="G187" t="str">
            <v>Cambridge</v>
          </cell>
          <cell r="H187">
            <v>0</v>
          </cell>
        </row>
        <row r="188">
          <cell r="F188" t="str">
            <v>N Dartmouth</v>
          </cell>
          <cell r="G188" t="str">
            <v>Dartmouth</v>
          </cell>
          <cell r="H188">
            <v>0</v>
          </cell>
        </row>
        <row r="189">
          <cell r="F189" t="str">
            <v>N DARTMUTH</v>
          </cell>
          <cell r="G189" t="str">
            <v>Dartmouth</v>
          </cell>
          <cell r="H189">
            <v>0</v>
          </cell>
        </row>
        <row r="190">
          <cell r="F190" t="str">
            <v>N Truro</v>
          </cell>
          <cell r="G190" t="str">
            <v>Truro</v>
          </cell>
          <cell r="H190">
            <v>0</v>
          </cell>
        </row>
        <row r="191">
          <cell r="F191" t="str">
            <v>N. Dartmouth</v>
          </cell>
          <cell r="G191" t="str">
            <v>Dartmouth</v>
          </cell>
          <cell r="H191">
            <v>0</v>
          </cell>
        </row>
        <row r="192">
          <cell r="F192" t="str">
            <v>Natick</v>
          </cell>
          <cell r="G192" t="str">
            <v>Natick</v>
          </cell>
          <cell r="H192">
            <v>0</v>
          </cell>
        </row>
        <row r="193">
          <cell r="F193" t="str">
            <v xml:space="preserve">Natick </v>
          </cell>
          <cell r="G193" t="str">
            <v>Natick</v>
          </cell>
          <cell r="H193">
            <v>0</v>
          </cell>
        </row>
        <row r="194">
          <cell r="F194" t="str">
            <v>Needham</v>
          </cell>
          <cell r="G194" t="str">
            <v>Needham</v>
          </cell>
          <cell r="H194">
            <v>0</v>
          </cell>
        </row>
        <row r="195">
          <cell r="F195" t="str">
            <v>Needham Heights</v>
          </cell>
          <cell r="G195" t="str">
            <v>Needham</v>
          </cell>
          <cell r="H195">
            <v>0</v>
          </cell>
        </row>
        <row r="196">
          <cell r="F196" t="str">
            <v>New Bedford</v>
          </cell>
          <cell r="G196" t="str">
            <v>New Bedford</v>
          </cell>
          <cell r="H196">
            <v>0</v>
          </cell>
        </row>
        <row r="197">
          <cell r="F197" t="str">
            <v xml:space="preserve">New Bedford </v>
          </cell>
          <cell r="G197" t="str">
            <v>New Bedford</v>
          </cell>
          <cell r="H197">
            <v>0</v>
          </cell>
        </row>
        <row r="198">
          <cell r="F198" t="str">
            <v>NEW BEDFRD</v>
          </cell>
          <cell r="G198" t="str">
            <v>New Bedford</v>
          </cell>
          <cell r="H198">
            <v>0</v>
          </cell>
        </row>
        <row r="199">
          <cell r="F199" t="str">
            <v>Newton</v>
          </cell>
          <cell r="G199" t="str">
            <v>Newton</v>
          </cell>
          <cell r="H199">
            <v>0</v>
          </cell>
        </row>
        <row r="200">
          <cell r="F200" t="str">
            <v xml:space="preserve">Newton </v>
          </cell>
          <cell r="G200" t="str">
            <v>Newton</v>
          </cell>
          <cell r="H200">
            <v>0</v>
          </cell>
        </row>
        <row r="201">
          <cell r="F201" t="str">
            <v>Newton Center</v>
          </cell>
          <cell r="G201" t="str">
            <v>Newton</v>
          </cell>
          <cell r="H201">
            <v>0</v>
          </cell>
        </row>
        <row r="202">
          <cell r="F202" t="str">
            <v>Newton Ctr</v>
          </cell>
          <cell r="G202" t="str">
            <v>Newton</v>
          </cell>
          <cell r="H202">
            <v>0</v>
          </cell>
        </row>
        <row r="203">
          <cell r="F203" t="str">
            <v>Newton Highlands</v>
          </cell>
          <cell r="G203" t="str">
            <v>Newton</v>
          </cell>
          <cell r="H203">
            <v>0</v>
          </cell>
        </row>
        <row r="204">
          <cell r="F204" t="str">
            <v>Newton Lower Falls</v>
          </cell>
          <cell r="G204" t="str">
            <v>Newton</v>
          </cell>
          <cell r="H204">
            <v>0</v>
          </cell>
        </row>
        <row r="205">
          <cell r="F205" t="str">
            <v>Newton Upper Falls</v>
          </cell>
          <cell r="G205" t="str">
            <v>Newton</v>
          </cell>
          <cell r="H205">
            <v>0</v>
          </cell>
        </row>
        <row r="206">
          <cell r="F206" t="str">
            <v>Newtonville</v>
          </cell>
          <cell r="G206" t="str">
            <v>Newton</v>
          </cell>
          <cell r="H206">
            <v>0</v>
          </cell>
        </row>
        <row r="207">
          <cell r="F207" t="str">
            <v>Newtonvlle</v>
          </cell>
          <cell r="G207" t="str">
            <v>Newton</v>
          </cell>
          <cell r="H207">
            <v>0</v>
          </cell>
        </row>
        <row r="208">
          <cell r="F208" t="str">
            <v>Norfolk</v>
          </cell>
          <cell r="G208" t="str">
            <v>Norfolk</v>
          </cell>
          <cell r="H208">
            <v>0</v>
          </cell>
        </row>
        <row r="209">
          <cell r="F209" t="str">
            <v>North Andover</v>
          </cell>
          <cell r="G209" t="str">
            <v>Andover</v>
          </cell>
          <cell r="H209">
            <v>1</v>
          </cell>
        </row>
        <row r="210">
          <cell r="F210" t="str">
            <v>North Carver</v>
          </cell>
          <cell r="G210" t="str">
            <v>Carver</v>
          </cell>
          <cell r="H210">
            <v>0</v>
          </cell>
        </row>
        <row r="211">
          <cell r="F211" t="str">
            <v>North Chatham</v>
          </cell>
          <cell r="G211" t="str">
            <v>Chatham</v>
          </cell>
          <cell r="H211">
            <v>0</v>
          </cell>
        </row>
        <row r="212">
          <cell r="F212" t="str">
            <v>North Darmouth</v>
          </cell>
          <cell r="G212" t="str">
            <v>Dartmouth</v>
          </cell>
          <cell r="H212">
            <v>0</v>
          </cell>
        </row>
        <row r="213">
          <cell r="F213" t="str">
            <v>North Dartmouth</v>
          </cell>
          <cell r="G213" t="str">
            <v>Dartmouth</v>
          </cell>
          <cell r="H213">
            <v>0</v>
          </cell>
        </row>
        <row r="214">
          <cell r="F214" t="str">
            <v>North Eastham</v>
          </cell>
          <cell r="G214" t="str">
            <v>Eastham</v>
          </cell>
          <cell r="H214">
            <v>0</v>
          </cell>
        </row>
        <row r="215">
          <cell r="F215" t="str">
            <v>North Easton</v>
          </cell>
          <cell r="G215" t="str">
            <v>Easton</v>
          </cell>
          <cell r="H215">
            <v>1</v>
          </cell>
        </row>
        <row r="216">
          <cell r="F216" t="str">
            <v>North Falmouth</v>
          </cell>
          <cell r="G216" t="str">
            <v>Falmouth</v>
          </cell>
          <cell r="H216">
            <v>0</v>
          </cell>
        </row>
        <row r="217">
          <cell r="F217" t="str">
            <v>North Sudbury</v>
          </cell>
          <cell r="G217" t="str">
            <v>Sudbury</v>
          </cell>
          <cell r="H217">
            <v>0</v>
          </cell>
        </row>
        <row r="218">
          <cell r="F218" t="str">
            <v>North Tisbury</v>
          </cell>
          <cell r="G218" t="str">
            <v>Tisbury</v>
          </cell>
          <cell r="H218">
            <v>0</v>
          </cell>
        </row>
        <row r="219">
          <cell r="F219" t="str">
            <v>North Truro</v>
          </cell>
          <cell r="G219" t="str">
            <v>Truro</v>
          </cell>
          <cell r="H219">
            <v>0</v>
          </cell>
        </row>
        <row r="220">
          <cell r="F220" t="str">
            <v>North Waltham</v>
          </cell>
          <cell r="G220" t="str">
            <v>Waltham</v>
          </cell>
          <cell r="H220">
            <v>0</v>
          </cell>
        </row>
        <row r="221">
          <cell r="F221" t="str">
            <v>Norwell</v>
          </cell>
          <cell r="G221" t="str">
            <v>Norwell</v>
          </cell>
          <cell r="H221">
            <v>1</v>
          </cell>
        </row>
        <row r="222">
          <cell r="F222" t="str">
            <v>Oak Bluffs</v>
          </cell>
          <cell r="G222" t="str">
            <v>Oak Bluffs</v>
          </cell>
          <cell r="H222">
            <v>0</v>
          </cell>
        </row>
        <row r="223">
          <cell r="F223" t="str">
            <v xml:space="preserve">Oak Bluffs </v>
          </cell>
          <cell r="G223" t="str">
            <v>Oak Bluffs</v>
          </cell>
          <cell r="H223">
            <v>0</v>
          </cell>
        </row>
        <row r="224">
          <cell r="F224" t="str">
            <v>Ocean Bluff</v>
          </cell>
          <cell r="G224" t="str">
            <v>Marshfield</v>
          </cell>
          <cell r="H224">
            <v>0</v>
          </cell>
        </row>
        <row r="225">
          <cell r="F225" t="str">
            <v>Onset</v>
          </cell>
          <cell r="G225" t="str">
            <v>Wareham</v>
          </cell>
          <cell r="H225">
            <v>0</v>
          </cell>
        </row>
        <row r="226">
          <cell r="F226" t="str">
            <v>Orleans</v>
          </cell>
          <cell r="G226" t="str">
            <v>Orleans</v>
          </cell>
          <cell r="H226">
            <v>0</v>
          </cell>
        </row>
        <row r="227">
          <cell r="F227" t="str">
            <v xml:space="preserve">Orleans </v>
          </cell>
          <cell r="G227" t="str">
            <v>Orleans</v>
          </cell>
          <cell r="H227">
            <v>0</v>
          </cell>
        </row>
        <row r="228">
          <cell r="F228" t="str">
            <v>Osterville</v>
          </cell>
          <cell r="G228" t="str">
            <v>Barnstable</v>
          </cell>
          <cell r="H228">
            <v>0</v>
          </cell>
        </row>
        <row r="229">
          <cell r="F229" t="str">
            <v>OTIS Airbase</v>
          </cell>
          <cell r="G229" t="str">
            <v>Mashpee</v>
          </cell>
          <cell r="H229">
            <v>0</v>
          </cell>
        </row>
        <row r="230">
          <cell r="F230" t="str">
            <v>Plymouth</v>
          </cell>
          <cell r="G230" t="str">
            <v>Plymouth</v>
          </cell>
          <cell r="H230">
            <v>0</v>
          </cell>
        </row>
        <row r="231">
          <cell r="F231" t="str">
            <v xml:space="preserve">Plymouth </v>
          </cell>
          <cell r="G231" t="str">
            <v>Plymouth</v>
          </cell>
          <cell r="H231">
            <v>0</v>
          </cell>
        </row>
        <row r="232">
          <cell r="F232" t="str">
            <v>Plympton</v>
          </cell>
          <cell r="G232" t="str">
            <v>Plympton</v>
          </cell>
          <cell r="H232">
            <v>0</v>
          </cell>
        </row>
        <row r="233">
          <cell r="F233" t="str">
            <v xml:space="preserve">Plympton </v>
          </cell>
          <cell r="G233" t="str">
            <v>Plympton</v>
          </cell>
          <cell r="H233">
            <v>0</v>
          </cell>
        </row>
        <row r="234">
          <cell r="F234" t="str">
            <v>Pocasset</v>
          </cell>
          <cell r="G234" t="str">
            <v>Bourne</v>
          </cell>
          <cell r="H234">
            <v>0</v>
          </cell>
        </row>
        <row r="235">
          <cell r="F235" t="str">
            <v>Provincetown</v>
          </cell>
          <cell r="G235" t="str">
            <v>Provincetown</v>
          </cell>
          <cell r="H235">
            <v>0</v>
          </cell>
        </row>
        <row r="236">
          <cell r="F236" t="str">
            <v>PROVNCTOWN</v>
          </cell>
          <cell r="G236" t="str">
            <v>Provincetown</v>
          </cell>
          <cell r="H236">
            <v>0</v>
          </cell>
        </row>
        <row r="237">
          <cell r="F237" t="str">
            <v>Quincy</v>
          </cell>
          <cell r="G237" t="str">
            <v>Quincy</v>
          </cell>
          <cell r="H237">
            <v>1</v>
          </cell>
        </row>
        <row r="238">
          <cell r="F238" t="str">
            <v>Randolph</v>
          </cell>
          <cell r="G238" t="str">
            <v>Randolph</v>
          </cell>
          <cell r="H238">
            <v>1</v>
          </cell>
        </row>
        <row r="239">
          <cell r="F239" t="str">
            <v>Raynham</v>
          </cell>
          <cell r="G239" t="str">
            <v>Raynham</v>
          </cell>
          <cell r="H239">
            <v>1</v>
          </cell>
        </row>
        <row r="240">
          <cell r="F240" t="str">
            <v>Rcohester</v>
          </cell>
          <cell r="G240" t="str">
            <v>Rochester</v>
          </cell>
          <cell r="H240">
            <v>0</v>
          </cell>
        </row>
        <row r="241">
          <cell r="F241" t="str">
            <v>Rochester</v>
          </cell>
          <cell r="G241" t="str">
            <v>Rochester</v>
          </cell>
          <cell r="H241">
            <v>0</v>
          </cell>
        </row>
        <row r="242">
          <cell r="F242" t="str">
            <v xml:space="preserve">Rochester </v>
          </cell>
          <cell r="G242" t="str">
            <v>Rochester</v>
          </cell>
          <cell r="H242">
            <v>0</v>
          </cell>
        </row>
        <row r="243">
          <cell r="F243" t="str">
            <v>Roslindale</v>
          </cell>
          <cell r="G243" t="str">
            <v>Boston</v>
          </cell>
          <cell r="H243">
            <v>0</v>
          </cell>
        </row>
        <row r="244">
          <cell r="F244" t="str">
            <v>Roxbury</v>
          </cell>
          <cell r="G244" t="str">
            <v>Boston</v>
          </cell>
          <cell r="H244">
            <v>0</v>
          </cell>
        </row>
        <row r="245">
          <cell r="F245" t="str">
            <v>Roxbury Crossing</v>
          </cell>
          <cell r="G245" t="str">
            <v>Boston</v>
          </cell>
          <cell r="H245">
            <v>0</v>
          </cell>
        </row>
        <row r="246">
          <cell r="F246" t="str">
            <v>Rutland</v>
          </cell>
          <cell r="G246" t="str">
            <v>Rutland</v>
          </cell>
          <cell r="H246">
            <v>1</v>
          </cell>
        </row>
        <row r="247">
          <cell r="F247" t="str">
            <v>S BOSTON</v>
          </cell>
          <cell r="G247" t="str">
            <v>Boston</v>
          </cell>
          <cell r="H247">
            <v>0</v>
          </cell>
        </row>
        <row r="248">
          <cell r="F248" t="str">
            <v>S CARVER</v>
          </cell>
          <cell r="G248" t="str">
            <v>Carver</v>
          </cell>
          <cell r="H248">
            <v>0</v>
          </cell>
        </row>
        <row r="249">
          <cell r="F249" t="str">
            <v>S CHATHAM</v>
          </cell>
          <cell r="G249" t="str">
            <v>Chatham</v>
          </cell>
          <cell r="H249">
            <v>0</v>
          </cell>
        </row>
        <row r="250">
          <cell r="F250" t="str">
            <v>S Dartmouth</v>
          </cell>
          <cell r="G250" t="str">
            <v>Dartmouth</v>
          </cell>
          <cell r="H250">
            <v>0</v>
          </cell>
        </row>
        <row r="251">
          <cell r="F251" t="str">
            <v>S DARTMUTH</v>
          </cell>
          <cell r="G251" t="str">
            <v>Dartmouth</v>
          </cell>
          <cell r="H251">
            <v>0</v>
          </cell>
        </row>
        <row r="252">
          <cell r="F252" t="str">
            <v>S DENNIS</v>
          </cell>
          <cell r="G252" t="str">
            <v>Dennis</v>
          </cell>
          <cell r="H252">
            <v>0</v>
          </cell>
        </row>
        <row r="253">
          <cell r="F253" t="str">
            <v xml:space="preserve">S Dennis </v>
          </cell>
          <cell r="G253" t="str">
            <v>Dennis</v>
          </cell>
          <cell r="H253">
            <v>0</v>
          </cell>
        </row>
        <row r="254">
          <cell r="F254" t="str">
            <v>S Orleans</v>
          </cell>
          <cell r="G254" t="str">
            <v>Orleans</v>
          </cell>
          <cell r="H254">
            <v>0</v>
          </cell>
        </row>
        <row r="255">
          <cell r="F255" t="str">
            <v>S WALPOLE</v>
          </cell>
          <cell r="G255" t="str">
            <v>Walpole</v>
          </cell>
          <cell r="H255">
            <v>0</v>
          </cell>
        </row>
        <row r="256">
          <cell r="F256" t="str">
            <v>S Wellflet</v>
          </cell>
          <cell r="G256" t="str">
            <v>Wellfleet</v>
          </cell>
          <cell r="H256">
            <v>0</v>
          </cell>
        </row>
        <row r="257">
          <cell r="F257" t="str">
            <v>S YARMOUTH</v>
          </cell>
          <cell r="G257" t="str">
            <v>Yarmouth</v>
          </cell>
          <cell r="H257">
            <v>0</v>
          </cell>
        </row>
        <row r="258">
          <cell r="F258" t="str">
            <v>S. Sandwich</v>
          </cell>
          <cell r="G258" t="str">
            <v>Sandwich</v>
          </cell>
          <cell r="H258">
            <v>0</v>
          </cell>
        </row>
        <row r="259">
          <cell r="F259" t="str">
            <v>S. yarmouth</v>
          </cell>
          <cell r="G259" t="str">
            <v>Yarmouth</v>
          </cell>
          <cell r="H259">
            <v>0</v>
          </cell>
        </row>
        <row r="260">
          <cell r="F260" t="str">
            <v>Sagamore</v>
          </cell>
          <cell r="G260" t="str">
            <v>Bourne</v>
          </cell>
          <cell r="H260">
            <v>0</v>
          </cell>
        </row>
        <row r="261">
          <cell r="F261" t="str">
            <v>Sagamore Beach</v>
          </cell>
          <cell r="G261" t="str">
            <v>Bourne</v>
          </cell>
          <cell r="H261">
            <v>0</v>
          </cell>
        </row>
        <row r="262">
          <cell r="F262" t="str">
            <v>SAGMOR BCH</v>
          </cell>
          <cell r="G262" t="str">
            <v>Bourne</v>
          </cell>
          <cell r="H262">
            <v>0</v>
          </cell>
        </row>
        <row r="263">
          <cell r="F263" t="str">
            <v>Salem</v>
          </cell>
          <cell r="G263" t="str">
            <v>Salem</v>
          </cell>
          <cell r="H263">
            <v>1</v>
          </cell>
        </row>
        <row r="264">
          <cell r="F264" t="str">
            <v>Sandwich</v>
          </cell>
          <cell r="G264" t="str">
            <v>Sandwich</v>
          </cell>
          <cell r="H264">
            <v>0</v>
          </cell>
        </row>
        <row r="265">
          <cell r="F265" t="str">
            <v>Scituate</v>
          </cell>
          <cell r="G265" t="str">
            <v>Scituate</v>
          </cell>
          <cell r="H265">
            <v>0</v>
          </cell>
        </row>
        <row r="266">
          <cell r="F266" t="str">
            <v>Seekonk</v>
          </cell>
          <cell r="G266" t="str">
            <v>Seekonk</v>
          </cell>
          <cell r="H266">
            <v>1</v>
          </cell>
        </row>
        <row r="267">
          <cell r="F267" t="str">
            <v>Sharon</v>
          </cell>
          <cell r="G267" t="str">
            <v>Sharon</v>
          </cell>
          <cell r="H267">
            <v>0</v>
          </cell>
        </row>
        <row r="268">
          <cell r="F268" t="str">
            <v>Sheldonville</v>
          </cell>
          <cell r="G268" t="str">
            <v>Wrentham</v>
          </cell>
          <cell r="H268">
            <v>1</v>
          </cell>
        </row>
        <row r="269">
          <cell r="F269" t="str">
            <v>Sherborn</v>
          </cell>
          <cell r="G269" t="str">
            <v>Sherborn</v>
          </cell>
          <cell r="H269">
            <v>0</v>
          </cell>
        </row>
        <row r="270">
          <cell r="F270" t="str">
            <v>Silver Beach</v>
          </cell>
          <cell r="G270" t="str">
            <v>Falmouth</v>
          </cell>
          <cell r="H270">
            <v>0</v>
          </cell>
        </row>
        <row r="271">
          <cell r="F271" t="str">
            <v>SO BOSTON</v>
          </cell>
          <cell r="G271" t="str">
            <v>Boston</v>
          </cell>
          <cell r="H271">
            <v>0</v>
          </cell>
        </row>
        <row r="272">
          <cell r="F272" t="str">
            <v>SO WALPOLE</v>
          </cell>
          <cell r="G272" t="str">
            <v>Walpole</v>
          </cell>
          <cell r="H272">
            <v>0</v>
          </cell>
        </row>
        <row r="273">
          <cell r="F273" t="str">
            <v>Somerville</v>
          </cell>
          <cell r="G273" t="str">
            <v>Somerville</v>
          </cell>
          <cell r="H273">
            <v>0</v>
          </cell>
        </row>
        <row r="274">
          <cell r="F274" t="str">
            <v xml:space="preserve">Somerville </v>
          </cell>
          <cell r="G274" t="str">
            <v>Somerville</v>
          </cell>
          <cell r="H274">
            <v>0</v>
          </cell>
        </row>
        <row r="275">
          <cell r="F275" t="str">
            <v>South Boston</v>
          </cell>
          <cell r="G275" t="str">
            <v>Boston</v>
          </cell>
          <cell r="H275">
            <v>0</v>
          </cell>
        </row>
        <row r="276">
          <cell r="F276" t="str">
            <v>South Carver</v>
          </cell>
          <cell r="G276" t="str">
            <v>Carver</v>
          </cell>
          <cell r="H276">
            <v>0</v>
          </cell>
        </row>
        <row r="277">
          <cell r="F277" t="str">
            <v>South Chatham</v>
          </cell>
          <cell r="G277" t="str">
            <v>Chatham</v>
          </cell>
          <cell r="H277">
            <v>0</v>
          </cell>
        </row>
        <row r="278">
          <cell r="F278" t="str">
            <v>South Dartmouth</v>
          </cell>
          <cell r="G278" t="str">
            <v>Dartmouth</v>
          </cell>
          <cell r="H278">
            <v>0</v>
          </cell>
        </row>
        <row r="279">
          <cell r="F279" t="str">
            <v>South Dennis</v>
          </cell>
          <cell r="G279" t="str">
            <v>Dennis</v>
          </cell>
          <cell r="H279">
            <v>0</v>
          </cell>
        </row>
        <row r="280">
          <cell r="F280" t="str">
            <v>South Harwich</v>
          </cell>
          <cell r="G280" t="str">
            <v>Harwich</v>
          </cell>
          <cell r="H280">
            <v>0</v>
          </cell>
        </row>
        <row r="281">
          <cell r="F281" t="str">
            <v>South Orleans</v>
          </cell>
          <cell r="G281" t="str">
            <v>Orleans</v>
          </cell>
          <cell r="H281">
            <v>0</v>
          </cell>
        </row>
        <row r="282">
          <cell r="F282" t="str">
            <v>South Sandwich</v>
          </cell>
          <cell r="G282" t="str">
            <v>Sandwich</v>
          </cell>
          <cell r="H282">
            <v>0</v>
          </cell>
        </row>
        <row r="283">
          <cell r="F283" t="str">
            <v>South Walpole</v>
          </cell>
          <cell r="G283" t="str">
            <v>Walpole</v>
          </cell>
          <cell r="H283">
            <v>0</v>
          </cell>
        </row>
        <row r="284">
          <cell r="F284" t="str">
            <v>South Waltham</v>
          </cell>
          <cell r="G284" t="str">
            <v>Waltham</v>
          </cell>
          <cell r="H284">
            <v>0</v>
          </cell>
        </row>
        <row r="285">
          <cell r="F285" t="str">
            <v>South Wellfleet</v>
          </cell>
          <cell r="G285" t="str">
            <v>Wellfleet</v>
          </cell>
          <cell r="H285">
            <v>0</v>
          </cell>
        </row>
        <row r="286">
          <cell r="F286" t="str">
            <v>South Yarmouth</v>
          </cell>
          <cell r="G286" t="str">
            <v>Yarmouth</v>
          </cell>
          <cell r="H286">
            <v>0</v>
          </cell>
        </row>
        <row r="287">
          <cell r="F287" t="str">
            <v>Southwick</v>
          </cell>
          <cell r="G287" t="str">
            <v>Southwick</v>
          </cell>
          <cell r="H287">
            <v>1</v>
          </cell>
        </row>
        <row r="288">
          <cell r="F288" t="str">
            <v>Stoneham</v>
          </cell>
          <cell r="G288" t="str">
            <v>Stoneham</v>
          </cell>
          <cell r="H288">
            <v>0</v>
          </cell>
        </row>
        <row r="289">
          <cell r="F289" t="str">
            <v>Stoughton</v>
          </cell>
          <cell r="G289" t="str">
            <v>Stoughton</v>
          </cell>
          <cell r="H289">
            <v>1</v>
          </cell>
        </row>
        <row r="290">
          <cell r="F290" t="str">
            <v>Sudbury</v>
          </cell>
          <cell r="G290" t="str">
            <v>Sudbury</v>
          </cell>
          <cell r="H290">
            <v>0</v>
          </cell>
        </row>
        <row r="291">
          <cell r="F291" t="str">
            <v xml:space="preserve">Sudbury </v>
          </cell>
          <cell r="G291" t="str">
            <v>Sudbury</v>
          </cell>
          <cell r="H291">
            <v>0</v>
          </cell>
        </row>
        <row r="292">
          <cell r="F292" t="str">
            <v>Sutton</v>
          </cell>
          <cell r="G292" t="str">
            <v>Sutton</v>
          </cell>
          <cell r="H292">
            <v>1</v>
          </cell>
        </row>
        <row r="293">
          <cell r="F293" t="str">
            <v>Swansea</v>
          </cell>
          <cell r="G293" t="str">
            <v>Swansea</v>
          </cell>
          <cell r="H293">
            <v>1</v>
          </cell>
        </row>
        <row r="294">
          <cell r="F294" t="str">
            <v>Teaticket</v>
          </cell>
          <cell r="G294" t="str">
            <v>Falmouth</v>
          </cell>
          <cell r="H294">
            <v>0</v>
          </cell>
        </row>
        <row r="295">
          <cell r="F295" t="str">
            <v>Three Rivers</v>
          </cell>
          <cell r="G295" t="str">
            <v>Palmer</v>
          </cell>
          <cell r="H295">
            <v>1</v>
          </cell>
        </row>
        <row r="296">
          <cell r="F296" t="str">
            <v>Tisbury</v>
          </cell>
          <cell r="G296" t="str">
            <v>Tisbury</v>
          </cell>
          <cell r="H296">
            <v>0</v>
          </cell>
        </row>
        <row r="297">
          <cell r="F297" t="str">
            <v>Truro</v>
          </cell>
          <cell r="G297" t="str">
            <v>Truro</v>
          </cell>
          <cell r="H297">
            <v>0</v>
          </cell>
        </row>
        <row r="298">
          <cell r="F298" t="str">
            <v>Village Of Nagog Woods</v>
          </cell>
          <cell r="G298" t="str">
            <v>Acton</v>
          </cell>
          <cell r="H298">
            <v>0</v>
          </cell>
        </row>
        <row r="299">
          <cell r="F299" t="str">
            <v>VINE HAVEN</v>
          </cell>
          <cell r="G299" t="str">
            <v>Tisbury</v>
          </cell>
          <cell r="H299">
            <v>0</v>
          </cell>
        </row>
        <row r="300">
          <cell r="F300" t="str">
            <v>Vineyard Haven</v>
          </cell>
          <cell r="G300" t="str">
            <v>Tisbury</v>
          </cell>
          <cell r="H300">
            <v>0</v>
          </cell>
        </row>
        <row r="301">
          <cell r="F301" t="str">
            <v xml:space="preserve">Vineyard Haven </v>
          </cell>
          <cell r="G301" t="str">
            <v>Tisbury</v>
          </cell>
          <cell r="H301">
            <v>0</v>
          </cell>
        </row>
        <row r="302">
          <cell r="F302" t="str">
            <v>W BREWSTER</v>
          </cell>
          <cell r="G302" t="str">
            <v>Brewster</v>
          </cell>
          <cell r="H302">
            <v>0</v>
          </cell>
        </row>
        <row r="303">
          <cell r="F303" t="str">
            <v>W Harwich</v>
          </cell>
          <cell r="G303" t="str">
            <v>Harwich</v>
          </cell>
          <cell r="H303">
            <v>0</v>
          </cell>
        </row>
        <row r="304">
          <cell r="F304" t="str">
            <v>W NEWTON</v>
          </cell>
          <cell r="G304" t="str">
            <v>Newton</v>
          </cell>
          <cell r="H304">
            <v>0</v>
          </cell>
        </row>
        <row r="305">
          <cell r="F305" t="str">
            <v>W ROXBURY</v>
          </cell>
          <cell r="G305" t="str">
            <v>Boston</v>
          </cell>
          <cell r="H305">
            <v>0</v>
          </cell>
        </row>
        <row r="306">
          <cell r="F306" t="str">
            <v>W SOMERVIL</v>
          </cell>
          <cell r="G306" t="str">
            <v>Somerville</v>
          </cell>
          <cell r="H306">
            <v>0</v>
          </cell>
        </row>
        <row r="307">
          <cell r="F307" t="str">
            <v>W WAREHAM</v>
          </cell>
          <cell r="G307" t="str">
            <v>Wareham</v>
          </cell>
          <cell r="H307">
            <v>0</v>
          </cell>
        </row>
        <row r="308">
          <cell r="F308" t="str">
            <v>W YARMOUTH</v>
          </cell>
          <cell r="G308" t="str">
            <v>Yarmouth</v>
          </cell>
          <cell r="H308">
            <v>0</v>
          </cell>
        </row>
        <row r="309">
          <cell r="F309" t="str">
            <v>W. WAREHAM</v>
          </cell>
          <cell r="G309" t="str">
            <v>Wareham</v>
          </cell>
          <cell r="H309">
            <v>0</v>
          </cell>
        </row>
        <row r="310">
          <cell r="F310" t="str">
            <v>W. Yarmouth</v>
          </cell>
          <cell r="G310" t="str">
            <v>Yarmouth</v>
          </cell>
          <cell r="H310">
            <v>0</v>
          </cell>
        </row>
        <row r="311">
          <cell r="F311" t="str">
            <v>WABAN</v>
          </cell>
          <cell r="G311" t="str">
            <v>Newton</v>
          </cell>
          <cell r="H311">
            <v>0</v>
          </cell>
        </row>
        <row r="312">
          <cell r="F312" t="str">
            <v>Wakefield</v>
          </cell>
          <cell r="G312" t="str">
            <v>Wakefield</v>
          </cell>
          <cell r="H312">
            <v>1</v>
          </cell>
        </row>
        <row r="313">
          <cell r="F313" t="str">
            <v>Walpole</v>
          </cell>
          <cell r="G313" t="str">
            <v>Walpole</v>
          </cell>
          <cell r="H313">
            <v>0</v>
          </cell>
        </row>
        <row r="314">
          <cell r="F314" t="str">
            <v xml:space="preserve">Walpole </v>
          </cell>
          <cell r="G314" t="str">
            <v>Walpole</v>
          </cell>
          <cell r="H314">
            <v>0</v>
          </cell>
        </row>
        <row r="315">
          <cell r="F315" t="str">
            <v>Waltham</v>
          </cell>
          <cell r="G315" t="str">
            <v>Waltham</v>
          </cell>
          <cell r="H315">
            <v>0</v>
          </cell>
        </row>
        <row r="316">
          <cell r="F316" t="str">
            <v xml:space="preserve">Waltham </v>
          </cell>
          <cell r="G316" t="str">
            <v>Waltham</v>
          </cell>
          <cell r="H316">
            <v>0</v>
          </cell>
        </row>
        <row r="317">
          <cell r="F317" t="str">
            <v>Waquoit</v>
          </cell>
          <cell r="G317" t="str">
            <v>Falmouth</v>
          </cell>
          <cell r="H317">
            <v>0</v>
          </cell>
        </row>
        <row r="318">
          <cell r="F318" t="str">
            <v>Wareham</v>
          </cell>
          <cell r="G318" t="str">
            <v>Wareham</v>
          </cell>
          <cell r="H318">
            <v>0</v>
          </cell>
        </row>
        <row r="319">
          <cell r="F319" t="str">
            <v xml:space="preserve">Wareham </v>
          </cell>
          <cell r="G319" t="str">
            <v>Wareham</v>
          </cell>
          <cell r="H319">
            <v>0</v>
          </cell>
        </row>
        <row r="320">
          <cell r="F320" t="str">
            <v>Wareham -A</v>
          </cell>
          <cell r="G320" t="str">
            <v>Wareham</v>
          </cell>
          <cell r="H320">
            <v>0</v>
          </cell>
        </row>
        <row r="321">
          <cell r="F321" t="str">
            <v>Wareham -B</v>
          </cell>
          <cell r="G321" t="str">
            <v>Wareham</v>
          </cell>
          <cell r="H321">
            <v>0</v>
          </cell>
        </row>
        <row r="322">
          <cell r="F322" t="str">
            <v>Wareham -C</v>
          </cell>
          <cell r="G322" t="str">
            <v>Wareham</v>
          </cell>
          <cell r="H322">
            <v>0</v>
          </cell>
        </row>
        <row r="323">
          <cell r="F323" t="str">
            <v>Watertown</v>
          </cell>
          <cell r="G323" t="str">
            <v>Watertown</v>
          </cell>
          <cell r="H323">
            <v>0</v>
          </cell>
        </row>
        <row r="324">
          <cell r="F324" t="str">
            <v xml:space="preserve">Watertown </v>
          </cell>
          <cell r="G324" t="str">
            <v>Watertown</v>
          </cell>
          <cell r="H324">
            <v>0</v>
          </cell>
        </row>
        <row r="325">
          <cell r="F325" t="str">
            <v>Wayland</v>
          </cell>
          <cell r="G325" t="str">
            <v>Wayland</v>
          </cell>
          <cell r="H325">
            <v>0</v>
          </cell>
        </row>
        <row r="326">
          <cell r="F326" t="str">
            <v xml:space="preserve">Wayland </v>
          </cell>
          <cell r="G326" t="str">
            <v>Wayland</v>
          </cell>
          <cell r="H326">
            <v>0</v>
          </cell>
        </row>
        <row r="327">
          <cell r="F327" t="str">
            <v>Wellesley</v>
          </cell>
          <cell r="G327" t="str">
            <v>Wellesley</v>
          </cell>
          <cell r="H327">
            <v>1</v>
          </cell>
        </row>
        <row r="328">
          <cell r="F328" t="str">
            <v>Wellesley Hills</v>
          </cell>
          <cell r="G328" t="str">
            <v>Wellesley</v>
          </cell>
          <cell r="H328">
            <v>1</v>
          </cell>
        </row>
        <row r="329">
          <cell r="F329" t="str">
            <v>Wellfleet</v>
          </cell>
          <cell r="G329" t="str">
            <v>Wellfleet</v>
          </cell>
          <cell r="H329">
            <v>0</v>
          </cell>
        </row>
        <row r="330">
          <cell r="F330" t="str">
            <v xml:space="preserve">Wellfleet </v>
          </cell>
          <cell r="G330" t="str">
            <v>Wellfleet</v>
          </cell>
          <cell r="H330">
            <v>0</v>
          </cell>
        </row>
        <row r="331">
          <cell r="F331" t="str">
            <v>West Barnstable</v>
          </cell>
          <cell r="G331" t="str">
            <v>Barnstable</v>
          </cell>
          <cell r="H331">
            <v>0</v>
          </cell>
        </row>
        <row r="332">
          <cell r="F332" t="str">
            <v>West Brewster</v>
          </cell>
          <cell r="G332" t="str">
            <v>Brewster</v>
          </cell>
          <cell r="H332">
            <v>0</v>
          </cell>
        </row>
        <row r="333">
          <cell r="F333" t="str">
            <v>West Chatham</v>
          </cell>
          <cell r="G333" t="str">
            <v>Chatham</v>
          </cell>
          <cell r="H333">
            <v>0</v>
          </cell>
        </row>
        <row r="334">
          <cell r="F334" t="str">
            <v>West Chop</v>
          </cell>
          <cell r="G334" t="str">
            <v>Tisbury</v>
          </cell>
          <cell r="H334">
            <v>0</v>
          </cell>
        </row>
        <row r="335">
          <cell r="F335" t="str">
            <v>West Dennis</v>
          </cell>
          <cell r="G335" t="str">
            <v>Dennis</v>
          </cell>
          <cell r="H335">
            <v>0</v>
          </cell>
        </row>
        <row r="336">
          <cell r="F336" t="str">
            <v>West Falmouth</v>
          </cell>
          <cell r="G336" t="str">
            <v>Falmouth</v>
          </cell>
          <cell r="H336">
            <v>0</v>
          </cell>
        </row>
        <row r="337">
          <cell r="F337" t="str">
            <v>West Harwich</v>
          </cell>
          <cell r="G337" t="str">
            <v>Harwich</v>
          </cell>
          <cell r="H337">
            <v>0</v>
          </cell>
        </row>
        <row r="338">
          <cell r="F338" t="str">
            <v>West Hyannisport</v>
          </cell>
          <cell r="G338" t="str">
            <v>Barnstable</v>
          </cell>
          <cell r="H338">
            <v>0</v>
          </cell>
        </row>
        <row r="339">
          <cell r="F339" t="str">
            <v>West Newton</v>
          </cell>
          <cell r="G339" t="str">
            <v>Newton</v>
          </cell>
          <cell r="H339">
            <v>0</v>
          </cell>
        </row>
        <row r="340">
          <cell r="F340" t="str">
            <v xml:space="preserve">West Newton </v>
          </cell>
          <cell r="G340" t="str">
            <v>Newton</v>
          </cell>
          <cell r="H340">
            <v>0</v>
          </cell>
        </row>
        <row r="341">
          <cell r="F341" t="str">
            <v>West Roxbury</v>
          </cell>
          <cell r="G341" t="str">
            <v>Boston</v>
          </cell>
          <cell r="H341">
            <v>0</v>
          </cell>
        </row>
        <row r="342">
          <cell r="F342" t="str">
            <v>West Tisbury</v>
          </cell>
          <cell r="G342" t="str">
            <v>West Tisbury</v>
          </cell>
          <cell r="H342">
            <v>0</v>
          </cell>
        </row>
        <row r="343">
          <cell r="F343" t="str">
            <v xml:space="preserve">West Tisbury </v>
          </cell>
          <cell r="G343" t="str">
            <v>West Tisbury</v>
          </cell>
          <cell r="H343">
            <v>0</v>
          </cell>
        </row>
        <row r="344">
          <cell r="F344" t="str">
            <v>West Wareham</v>
          </cell>
          <cell r="G344" t="str">
            <v>Wareham</v>
          </cell>
          <cell r="H344">
            <v>0</v>
          </cell>
        </row>
        <row r="345">
          <cell r="F345" t="str">
            <v>West Yarmouth</v>
          </cell>
          <cell r="G345" t="str">
            <v>Yarmouth</v>
          </cell>
          <cell r="H345">
            <v>0</v>
          </cell>
        </row>
        <row r="346">
          <cell r="F346" t="str">
            <v>Weston</v>
          </cell>
          <cell r="G346" t="str">
            <v>Weston</v>
          </cell>
          <cell r="H346">
            <v>0</v>
          </cell>
        </row>
        <row r="347">
          <cell r="F347" t="str">
            <v xml:space="preserve">weston </v>
          </cell>
          <cell r="G347" t="str">
            <v>Weston</v>
          </cell>
          <cell r="H347">
            <v>0</v>
          </cell>
        </row>
        <row r="348">
          <cell r="F348" t="str">
            <v>Westport</v>
          </cell>
          <cell r="G348" t="str">
            <v>Westport</v>
          </cell>
          <cell r="H348">
            <v>0</v>
          </cell>
        </row>
        <row r="349">
          <cell r="F349" t="str">
            <v>Westport Point</v>
          </cell>
          <cell r="G349" t="str">
            <v>Westport</v>
          </cell>
          <cell r="H349">
            <v>0</v>
          </cell>
        </row>
        <row r="350">
          <cell r="F350" t="str">
            <v>Westwood</v>
          </cell>
          <cell r="G350" t="str">
            <v>Westwood</v>
          </cell>
          <cell r="H350">
            <v>0</v>
          </cell>
        </row>
        <row r="351">
          <cell r="F351" t="str">
            <v>Weymouth</v>
          </cell>
          <cell r="G351" t="str">
            <v>Weymouth</v>
          </cell>
          <cell r="H351">
            <v>1</v>
          </cell>
        </row>
        <row r="352">
          <cell r="F352" t="str">
            <v>White Horse Beach</v>
          </cell>
          <cell r="G352" t="str">
            <v>Plymouth</v>
          </cell>
          <cell r="H352">
            <v>0</v>
          </cell>
        </row>
        <row r="353">
          <cell r="F353" t="str">
            <v>WHITEHORSE BEACH</v>
          </cell>
          <cell r="G353" t="str">
            <v>Plymouth</v>
          </cell>
          <cell r="H353">
            <v>0</v>
          </cell>
        </row>
        <row r="354">
          <cell r="F354" t="str">
            <v>WIANNO</v>
          </cell>
          <cell r="G354" t="str">
            <v>Barnstable</v>
          </cell>
          <cell r="H354">
            <v>0</v>
          </cell>
        </row>
        <row r="355">
          <cell r="F355" t="str">
            <v>Winchester</v>
          </cell>
          <cell r="G355" t="str">
            <v>Winchester</v>
          </cell>
          <cell r="H355">
            <v>0</v>
          </cell>
        </row>
        <row r="356">
          <cell r="F356" t="str">
            <v>Winthrop</v>
          </cell>
          <cell r="G356" t="str">
            <v>Winthrop</v>
          </cell>
          <cell r="H356">
            <v>1</v>
          </cell>
        </row>
        <row r="357">
          <cell r="F357" t="str">
            <v>Woburn</v>
          </cell>
          <cell r="G357" t="str">
            <v>Woburn</v>
          </cell>
          <cell r="H357">
            <v>0</v>
          </cell>
        </row>
        <row r="358">
          <cell r="F358" t="str">
            <v xml:space="preserve">Woburn </v>
          </cell>
          <cell r="G358" t="str">
            <v>Woburn</v>
          </cell>
          <cell r="H358">
            <v>0</v>
          </cell>
        </row>
        <row r="359">
          <cell r="F359" t="str">
            <v>Woods Hole</v>
          </cell>
          <cell r="G359" t="str">
            <v>Falmouth</v>
          </cell>
          <cell r="H359">
            <v>0</v>
          </cell>
        </row>
        <row r="360">
          <cell r="F360" t="str">
            <v>Worcester</v>
          </cell>
          <cell r="G360" t="str">
            <v>Worcester</v>
          </cell>
          <cell r="H360">
            <v>1</v>
          </cell>
        </row>
        <row r="361">
          <cell r="F361" t="str">
            <v>Yarmouth</v>
          </cell>
          <cell r="G361" t="str">
            <v>Yarmouth</v>
          </cell>
          <cell r="H361">
            <v>0</v>
          </cell>
        </row>
        <row r="362">
          <cell r="F362" t="str">
            <v xml:space="preserve">Yarmouth </v>
          </cell>
          <cell r="G362" t="str">
            <v>Yarmouth</v>
          </cell>
          <cell r="H362">
            <v>0</v>
          </cell>
        </row>
        <row r="363">
          <cell r="F363" t="str">
            <v>Yarmouth Port</v>
          </cell>
          <cell r="G363" t="str">
            <v>Yarmouth</v>
          </cell>
          <cell r="H363">
            <v>0</v>
          </cell>
        </row>
        <row r="364">
          <cell r="F364" t="str">
            <v>YARMOUTHPORT</v>
          </cell>
          <cell r="G364" t="str">
            <v>Yarmouth</v>
          </cell>
          <cell r="H364">
            <v>0</v>
          </cell>
        </row>
        <row r="365">
          <cell r="F365" t="str">
            <v>Accord </v>
          </cell>
          <cell r="G365" t="str">
            <v>Norwell</v>
          </cell>
        </row>
        <row r="366">
          <cell r="F366" t="str">
            <v>Baptist Corner </v>
          </cell>
          <cell r="G366" t="str">
            <v>Bedford</v>
          </cell>
        </row>
        <row r="367">
          <cell r="F367" t="str">
            <v xml:space="preserve">Acushnet Comp </v>
          </cell>
          <cell r="G367" t="str">
            <v>Acushnet</v>
          </cell>
        </row>
        <row r="368">
          <cell r="F368" t="str">
            <v xml:space="preserve">Bourne </v>
          </cell>
          <cell r="G368" t="str">
            <v>Bourne</v>
          </cell>
        </row>
        <row r="369">
          <cell r="F369" t="str">
            <v xml:space="preserve">Harwich </v>
          </cell>
          <cell r="G369" t="str">
            <v>Harwich</v>
          </cell>
        </row>
        <row r="370">
          <cell r="F370" t="str">
            <v xml:space="preserve">Medfield </v>
          </cell>
          <cell r="G370" t="str">
            <v>Medfield</v>
          </cell>
        </row>
        <row r="371">
          <cell r="F371" t="str">
            <v xml:space="preserve">Marshfield </v>
          </cell>
          <cell r="G371" t="str">
            <v>Marshfield</v>
          </cell>
        </row>
        <row r="372">
          <cell r="F372" t="str">
            <v xml:space="preserve">Westport </v>
          </cell>
          <cell r="G372" t="str">
            <v>Westport</v>
          </cell>
        </row>
        <row r="373">
          <cell r="F373" t="str">
            <v xml:space="preserve">Sandwich </v>
          </cell>
          <cell r="G373" t="str">
            <v>Sandwich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FAE0DC-E14E-40C4-A0B1-D49F02A06FA5}" name="Table1" displayName="Table1" ref="A3:F12" totalsRowShown="0" headerRowDxfId="2">
  <autoFilter ref="A3:F12" xr:uid="{45B65B62-B793-47FA-B45E-1E8A6FC0FBA6}"/>
  <tableColumns count="6">
    <tableColumn id="1" xr3:uid="{A3B4CA5A-6978-4A3D-860E-6152E0E3BC15}" name="Area"/>
    <tableColumn id="2" xr3:uid="{DCC324B3-8644-4B95-AAF3-1AD06CB9AEF4}" name="Voltage"/>
    <tableColumn id="3" xr3:uid="{03764FA7-E93D-426A-A80F-6E6368AD7359}" name="Type (Line Equipment)"/>
    <tableColumn id="4" xr3:uid="{1688BBBA-2A2A-4D0A-9ECA-F57A00477972}" name="Unit (Mile/Qty)" dataDxfId="1"/>
    <tableColumn id="5" xr3:uid="{B7E3AB0D-C596-4553-B779-A1B4E9F824C8}" name="Total Cost ($M)" dataDxfId="0"/>
    <tableColumn id="6" xr3:uid="{074C9C58-187B-4503-96DC-F0A6B3208CEC}" name="Descript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810E8-61E7-434F-AD00-56F2A4055B87}">
  <sheetPr>
    <tabColor rgb="FF00B0F0"/>
  </sheetPr>
  <dimension ref="B1:O48"/>
  <sheetViews>
    <sheetView tabSelected="1" zoomScale="90" zoomScaleNormal="90" workbookViewId="0">
      <selection activeCell="D12" sqref="D12"/>
    </sheetView>
  </sheetViews>
  <sheetFormatPr defaultColWidth="9.140625" defaultRowHeight="12.75" x14ac:dyDescent="0.25"/>
  <cols>
    <col min="1" max="1" width="9.140625" style="6"/>
    <col min="2" max="2" width="26.85546875" style="6" customWidth="1"/>
    <col min="3" max="5" width="19.42578125" style="6" customWidth="1"/>
    <col min="6" max="6" width="19.28515625" style="6" customWidth="1"/>
    <col min="7" max="7" width="18" style="6" customWidth="1"/>
    <col min="8" max="8" width="16.28515625" style="6" bestFit="1" customWidth="1"/>
    <col min="9" max="9" width="9.7109375" style="6" customWidth="1"/>
    <col min="10" max="10" width="9.5703125" style="6" customWidth="1"/>
    <col min="11" max="16384" width="9.140625" style="6"/>
  </cols>
  <sheetData>
    <row r="1" spans="2:15" ht="116.25" customHeight="1" thickBot="1" x14ac:dyDescent="0.3">
      <c r="H1" s="360" t="s">
        <v>0</v>
      </c>
    </row>
    <row r="2" spans="2:15" s="7" customFormat="1" ht="51.75" thickTop="1" x14ac:dyDescent="0.25">
      <c r="B2" s="16" t="s">
        <v>1</v>
      </c>
      <c r="C2" s="24" t="s">
        <v>2</v>
      </c>
      <c r="D2" s="24" t="s">
        <v>3</v>
      </c>
      <c r="E2" s="24" t="s">
        <v>4</v>
      </c>
      <c r="F2" s="17" t="s">
        <v>122</v>
      </c>
      <c r="G2" s="17" t="s">
        <v>123</v>
      </c>
      <c r="H2" s="17" t="s">
        <v>5</v>
      </c>
      <c r="I2" s="16" t="s">
        <v>6</v>
      </c>
      <c r="J2" s="17" t="s">
        <v>7</v>
      </c>
      <c r="K2" s="18" t="s">
        <v>8</v>
      </c>
    </row>
    <row r="3" spans="2:15" x14ac:dyDescent="0.25">
      <c r="B3" s="35" t="s">
        <v>9</v>
      </c>
      <c r="C3" s="27"/>
      <c r="D3" s="27"/>
      <c r="E3" s="27"/>
      <c r="F3" s="9">
        <f>SUM('Final Station Group'!Z4:Z7)</f>
        <v>59.656288042742943</v>
      </c>
      <c r="G3" s="9">
        <f>SUM('Final Station Group'!AA4:AA7)</f>
        <v>107.34371195725701</v>
      </c>
      <c r="H3" s="9">
        <f>(SUM('Final Station Group'!AA4:AA7)*1000000)/(SUM('Final Station Group'!W4:W7)*1000)</f>
        <v>554.42695678603081</v>
      </c>
      <c r="I3" s="322">
        <f>SUM('Final Station Group'!E4:E7)</f>
        <v>48.65</v>
      </c>
      <c r="J3" s="10">
        <f>SUM('Final Station Group'!X4:X7)</f>
        <v>144.96199999999999</v>
      </c>
      <c r="K3" s="19">
        <f>SUM(I3:J3)</f>
        <v>193.61199999999999</v>
      </c>
      <c r="M3" s="361"/>
      <c r="O3" s="361"/>
    </row>
    <row r="4" spans="2:15" x14ac:dyDescent="0.25">
      <c r="B4" s="35" t="s">
        <v>10</v>
      </c>
      <c r="C4" s="27"/>
      <c r="D4" s="27"/>
      <c r="E4" s="27"/>
      <c r="F4" s="9">
        <f>SUM('Final Station Group'!Z8:Z14)</f>
        <v>70.729252649150297</v>
      </c>
      <c r="G4" s="9">
        <f>SUM('Final Station Group'!AA8:AA14)</f>
        <v>193.27074735084972</v>
      </c>
      <c r="H4" s="9">
        <f>(SUM('Final Station Group'!AA8:AA14)*1000000)/(SUM('Final Station Group'!W8:W14)*1000)</f>
        <v>339.92786625753598</v>
      </c>
      <c r="I4" s="322">
        <f>SUM('Final Station Group'!E8:E14)</f>
        <v>125.95180000000001</v>
      </c>
      <c r="J4" s="10">
        <f>SUM('Final Station Group'!X8:X14)</f>
        <v>442.61219999999997</v>
      </c>
      <c r="K4" s="19">
        <f t="shared" ref="K4:K9" si="0">SUM(I4:J4)</f>
        <v>568.56399999999996</v>
      </c>
      <c r="M4" s="361"/>
      <c r="O4" s="361"/>
    </row>
    <row r="5" spans="2:15" x14ac:dyDescent="0.25">
      <c r="B5" s="35" t="s">
        <v>11</v>
      </c>
      <c r="C5" s="27"/>
      <c r="D5" s="27"/>
      <c r="E5" s="27"/>
      <c r="F5" s="9">
        <f>SUM('Final Station Group'!Z19:Z24)</f>
        <v>10.62714759126972</v>
      </c>
      <c r="G5" s="9">
        <f>SUM('Final Station Group'!AA19:AA24)</f>
        <v>187.39805713313973</v>
      </c>
      <c r="H5" s="9">
        <f>(SUM('Final Station Group'!AA19:AA24)*1000000)/(SUM('Final Station Group'!W19:W24)*1000)</f>
        <v>486.07905255917757</v>
      </c>
      <c r="I5" s="322">
        <f>SUM('Final Station Group'!E19:E24)</f>
        <v>73.974000000000004</v>
      </c>
      <c r="J5" s="10">
        <f>SUM('Final Station Group'!X19:X24)</f>
        <v>311.55599999999993</v>
      </c>
      <c r="K5" s="19">
        <f t="shared" si="0"/>
        <v>385.52999999999992</v>
      </c>
      <c r="M5" s="361"/>
      <c r="O5" s="361"/>
    </row>
    <row r="6" spans="2:15" x14ac:dyDescent="0.25">
      <c r="B6" s="35" t="s">
        <v>12</v>
      </c>
      <c r="C6" s="27"/>
      <c r="D6" s="27"/>
      <c r="E6" s="27"/>
      <c r="F6" s="9">
        <f>SUM('Final Station Group'!Z15)</f>
        <v>12.71023955859013</v>
      </c>
      <c r="G6" s="9">
        <f>SUM('Final Station Group'!AA15)</f>
        <v>45.289760441409868</v>
      </c>
      <c r="H6" s="9">
        <f>(SUM('Final Station Group'!AA15)*1000000)/(SUM('Final Station Group'!W15)*1000)</f>
        <v>367.42678555767287</v>
      </c>
      <c r="I6" s="322">
        <f>SUM('Final Station Group'!E15)</f>
        <v>22.364000000000001</v>
      </c>
      <c r="J6" s="10">
        <f>SUM('Final Station Group'!X15)</f>
        <v>100.898</v>
      </c>
      <c r="K6" s="19">
        <f t="shared" si="0"/>
        <v>123.262</v>
      </c>
      <c r="M6" s="361"/>
      <c r="O6" s="361"/>
    </row>
    <row r="7" spans="2:15" x14ac:dyDescent="0.25">
      <c r="B7" s="35" t="s">
        <v>13</v>
      </c>
      <c r="C7" s="27"/>
      <c r="D7" s="27"/>
      <c r="E7" s="27"/>
      <c r="F7" s="9">
        <f>SUM('Final Station Group'!Z16:Z17)</f>
        <v>29.048471953547605</v>
      </c>
      <c r="G7" s="9">
        <f>SUM('Final Station Group'!AA16:AA17)</f>
        <v>39.351528046452366</v>
      </c>
      <c r="H7" s="9">
        <f>(SUM('Final Station Group'!AA16:AA17)*1000000)/(SUM('Final Station Group'!W16:W17)*1000)</f>
        <v>436.63761091887142</v>
      </c>
      <c r="I7" s="322">
        <f>SUM('Final Station Group'!E16:E17)</f>
        <v>16</v>
      </c>
      <c r="J7" s="323">
        <f>SUM('Final Station Group'!X16:X17)</f>
        <v>74.123999999999995</v>
      </c>
      <c r="K7" s="318">
        <f t="shared" si="0"/>
        <v>90.123999999999995</v>
      </c>
      <c r="M7" s="361"/>
    </row>
    <row r="8" spans="2:15" x14ac:dyDescent="0.25">
      <c r="B8" s="35" t="s">
        <v>14</v>
      </c>
      <c r="C8" s="27"/>
      <c r="D8" s="27"/>
      <c r="E8" s="27"/>
      <c r="F8" s="9">
        <f>SUM('Final Station Group'!Z18)</f>
        <v>26.235461805306972</v>
      </c>
      <c r="G8" s="9">
        <f>SUM('Final Station Group'!AA18)</f>
        <v>86.764538194693031</v>
      </c>
      <c r="H8" s="9">
        <f>(SUM('Final Station Group'!AA18)*1000000)/(SUM('Final Station Group'!W18)*1000)</f>
        <v>1031.1067322030854</v>
      </c>
      <c r="I8" s="322">
        <f>SUM('Final Station Group'!E18)</f>
        <v>48.49</v>
      </c>
      <c r="J8" s="323">
        <f>SUM('Final Station Group'!X18)</f>
        <v>35.657000000000004</v>
      </c>
      <c r="K8" s="318">
        <f t="shared" si="0"/>
        <v>84.147000000000006</v>
      </c>
      <c r="M8" s="361"/>
    </row>
    <row r="9" spans="2:15" x14ac:dyDescent="0.25">
      <c r="B9" s="315" t="s">
        <v>15</v>
      </c>
      <c r="C9" s="316"/>
      <c r="D9" s="316"/>
      <c r="E9" s="316"/>
      <c r="F9" s="317">
        <f>SUM('Final Station Group'!Z25)</f>
        <v>20.402871958516151</v>
      </c>
      <c r="G9" s="317">
        <f>SUM('Final Station Group'!AA25)</f>
        <v>55.597128041483842</v>
      </c>
      <c r="H9" s="317">
        <f>(SUM('Final Station Group'!AA25)*1000000)/(SUM('Final Station Group'!W25)*1000)</f>
        <v>503.64279410710969</v>
      </c>
      <c r="I9" s="324">
        <f>SUM('Final Station Group'!E25)</f>
        <v>12.747999999999999</v>
      </c>
      <c r="J9" s="323">
        <f>SUM('Final Station Group'!X25)</f>
        <v>97.641999999999996</v>
      </c>
      <c r="K9" s="318">
        <f t="shared" si="0"/>
        <v>110.39</v>
      </c>
      <c r="M9" s="361"/>
    </row>
    <row r="10" spans="2:15" ht="15.75" thickBot="1" x14ac:dyDescent="0.3">
      <c r="B10" s="321" t="s">
        <v>16</v>
      </c>
      <c r="C10" s="131">
        <f>SUM('ASO Study Transmission Cost'!E8:E9)</f>
        <v>60</v>
      </c>
      <c r="D10" s="131" t="s">
        <v>132</v>
      </c>
      <c r="E10" s="131">
        <f>'Final Station Group'!Y26</f>
        <v>231.49999999999997</v>
      </c>
      <c r="F10" s="9"/>
      <c r="G10" s="9"/>
      <c r="H10" s="9"/>
      <c r="I10" s="322"/>
      <c r="J10" s="323"/>
      <c r="K10" s="318"/>
      <c r="M10" s="7"/>
    </row>
    <row r="11" spans="2:15" ht="14.25" thickTop="1" thickBot="1" x14ac:dyDescent="0.3">
      <c r="B11" s="36"/>
      <c r="C11" s="20">
        <f>SUM(C3:C10)</f>
        <v>60</v>
      </c>
      <c r="D11" s="20" t="s">
        <v>133</v>
      </c>
      <c r="E11" s="20">
        <f>SUM(E3:E10)</f>
        <v>231.49999999999997</v>
      </c>
      <c r="F11" s="20">
        <f>SUM(F3:F9)</f>
        <v>229.40973355912388</v>
      </c>
      <c r="G11" s="20">
        <f>SUM(G3:G9)</f>
        <v>715.01547116528559</v>
      </c>
      <c r="H11" s="320">
        <f>AVERAGE(H3:H9)</f>
        <v>531.32111405564058</v>
      </c>
      <c r="I11" s="325"/>
      <c r="J11" s="326"/>
      <c r="K11" s="21"/>
      <c r="M11" s="361"/>
    </row>
    <row r="12" spans="2:15" ht="13.5" thickTop="1" x14ac:dyDescent="0.25">
      <c r="B12" s="22"/>
      <c r="C12" s="22"/>
      <c r="D12" s="22"/>
      <c r="E12" s="22"/>
      <c r="F12" s="22"/>
      <c r="G12" s="22"/>
      <c r="H12" s="22"/>
      <c r="I12" s="23">
        <f>SUM(I3:I11)</f>
        <v>348.17779999999999</v>
      </c>
      <c r="J12" s="23">
        <f>SUM(J3:J11)</f>
        <v>1207.4512</v>
      </c>
      <c r="K12" s="23">
        <f>SUM(K3:K11)</f>
        <v>1555.6289999999999</v>
      </c>
    </row>
    <row r="48" spans="2:8" x14ac:dyDescent="0.25">
      <c r="B48" s="363"/>
      <c r="C48" s="363"/>
      <c r="D48" s="363"/>
      <c r="E48" s="363"/>
      <c r="F48" s="363"/>
      <c r="G48" s="363"/>
      <c r="H48" s="363"/>
    </row>
  </sheetData>
  <mergeCells count="1">
    <mergeCell ref="B48:H48"/>
  </mergeCells>
  <pageMargins left="0.7" right="0.7" top="0.75" bottom="0.75" header="0.3" footer="0.3"/>
  <pageSetup orientation="portrait"/>
  <ignoredErrors>
    <ignoredError sqref="I3:I11 C10" formulaRange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E5C9D-6BAD-4DE3-8B3F-CEBA00F8F703}">
  <sheetPr>
    <tabColor rgb="FF92D050"/>
  </sheetPr>
  <dimension ref="A1:J12"/>
  <sheetViews>
    <sheetView workbookViewId="0">
      <selection activeCell="C17" sqref="C17"/>
    </sheetView>
  </sheetViews>
  <sheetFormatPr defaultRowHeight="15" x14ac:dyDescent="0.25"/>
  <cols>
    <col min="1" max="1" width="16.5703125" customWidth="1"/>
    <col min="2" max="2" width="17.28515625" customWidth="1"/>
    <col min="3" max="3" width="42.85546875" bestFit="1" customWidth="1"/>
    <col min="4" max="4" width="18" style="25" customWidth="1"/>
    <col min="5" max="5" width="16.5703125" style="25" customWidth="1"/>
    <col min="6" max="6" width="92.42578125" bestFit="1" customWidth="1"/>
    <col min="8" max="8" width="22.7109375" bestFit="1" customWidth="1"/>
    <col min="9" max="9" width="5.85546875" bestFit="1" customWidth="1"/>
    <col min="10" max="10" width="17.5703125" style="25" bestFit="1" customWidth="1"/>
  </cols>
  <sheetData>
    <row r="1" spans="1:10" ht="21" x14ac:dyDescent="0.35">
      <c r="A1" s="43" t="s">
        <v>103</v>
      </c>
      <c r="B1" s="26"/>
      <c r="C1" s="26"/>
    </row>
    <row r="3" spans="1:10" x14ac:dyDescent="0.25">
      <c r="A3" s="26" t="s">
        <v>104</v>
      </c>
      <c r="B3" s="26" t="s">
        <v>105</v>
      </c>
      <c r="C3" s="26" t="s">
        <v>106</v>
      </c>
      <c r="D3" s="37" t="s">
        <v>107</v>
      </c>
      <c r="E3" s="37" t="s">
        <v>108</v>
      </c>
      <c r="F3" s="37" t="s">
        <v>109</v>
      </c>
      <c r="H3" s="26"/>
      <c r="I3" s="26"/>
      <c r="J3" s="37"/>
    </row>
    <row r="4" spans="1:10" x14ac:dyDescent="0.25">
      <c r="A4" t="s">
        <v>126</v>
      </c>
      <c r="B4" t="s">
        <v>111</v>
      </c>
      <c r="C4" t="s">
        <v>125</v>
      </c>
      <c r="D4" s="25">
        <v>100</v>
      </c>
      <c r="E4" s="38" t="s">
        <v>134</v>
      </c>
      <c r="F4" t="s">
        <v>127</v>
      </c>
      <c r="J4" s="39"/>
    </row>
    <row r="5" spans="1:10" x14ac:dyDescent="0.25">
      <c r="A5" t="s">
        <v>110</v>
      </c>
      <c r="B5" t="s">
        <v>111</v>
      </c>
      <c r="C5" t="s">
        <v>129</v>
      </c>
      <c r="D5" s="25">
        <v>1</v>
      </c>
      <c r="E5" s="38" t="s">
        <v>135</v>
      </c>
      <c r="F5" t="s">
        <v>130</v>
      </c>
    </row>
    <row r="6" spans="1:10" x14ac:dyDescent="0.25">
      <c r="A6" t="s">
        <v>126</v>
      </c>
      <c r="B6" t="s">
        <v>112</v>
      </c>
      <c r="C6" t="s">
        <v>131</v>
      </c>
      <c r="D6" s="25">
        <v>1</v>
      </c>
      <c r="E6" s="38" t="s">
        <v>136</v>
      </c>
      <c r="F6" t="s">
        <v>113</v>
      </c>
    </row>
    <row r="7" spans="1:10" x14ac:dyDescent="0.25">
      <c r="A7" t="s">
        <v>114</v>
      </c>
      <c r="B7" t="s">
        <v>115</v>
      </c>
      <c r="C7" t="s">
        <v>128</v>
      </c>
      <c r="D7" s="25">
        <v>75</v>
      </c>
      <c r="E7" s="38" t="s">
        <v>137</v>
      </c>
      <c r="F7" s="44" t="s">
        <v>116</v>
      </c>
    </row>
    <row r="8" spans="1:10" x14ac:dyDescent="0.25">
      <c r="A8" t="s">
        <v>114</v>
      </c>
      <c r="B8" t="s">
        <v>117</v>
      </c>
      <c r="C8" t="s">
        <v>118</v>
      </c>
      <c r="D8" s="25">
        <v>1</v>
      </c>
      <c r="E8" s="38">
        <v>27</v>
      </c>
      <c r="F8" s="44" t="s">
        <v>119</v>
      </c>
    </row>
    <row r="9" spans="1:10" x14ac:dyDescent="0.25">
      <c r="A9" t="s">
        <v>114</v>
      </c>
      <c r="B9" t="s">
        <v>117</v>
      </c>
      <c r="C9" t="s">
        <v>120</v>
      </c>
      <c r="D9" s="25">
        <v>1</v>
      </c>
      <c r="E9" s="38">
        <v>33</v>
      </c>
      <c r="F9" s="44" t="s">
        <v>119</v>
      </c>
    </row>
    <row r="12" spans="1:10" ht="15.75" customHeight="1" x14ac:dyDescent="0.25"/>
  </sheetData>
  <pageMargins left="0.7" right="0.7" top="0.75" bottom="0.75" header="0.3" footer="0.3"/>
  <pageSetup orientation="portrait" horizontalDpi="1200" verticalDpi="12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826CD-4E6B-4C61-B51C-7C77AF8C88F5}">
  <sheetPr>
    <tabColor theme="0" tint="-0.249977111117893"/>
  </sheetPr>
  <dimension ref="A1:AF55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140625" defaultRowHeight="12.75" x14ac:dyDescent="0.25"/>
  <cols>
    <col min="1" max="1" width="28.140625" style="148" bestFit="1" customWidth="1"/>
    <col min="2" max="2" width="24" style="148" customWidth="1"/>
    <col min="3" max="3" width="11.28515625" style="168" customWidth="1"/>
    <col min="4" max="4" width="15" style="148" customWidth="1"/>
    <col min="5" max="5" width="18.140625" style="148" customWidth="1"/>
    <col min="6" max="6" width="14.7109375" style="148" customWidth="1"/>
    <col min="7" max="7" width="21.140625" style="148" customWidth="1"/>
    <col min="8" max="8" width="16.140625" style="148" customWidth="1"/>
    <col min="9" max="9" width="21.140625" style="168" customWidth="1"/>
    <col min="10" max="10" width="23.140625" style="148" customWidth="1"/>
    <col min="11" max="11" width="24.140625" style="148" customWidth="1"/>
    <col min="12" max="12" width="14" style="148" customWidth="1"/>
    <col min="13" max="13" width="16.28515625" style="148" customWidth="1"/>
    <col min="14" max="14" width="21.28515625" style="148" bestFit="1" customWidth="1"/>
    <col min="15" max="15" width="15" style="148" customWidth="1"/>
    <col min="16" max="16" width="21" style="148" customWidth="1"/>
    <col min="17" max="17" width="22.85546875" style="148" bestFit="1" customWidth="1"/>
    <col min="18" max="18" width="18.140625" style="148" customWidth="1"/>
    <col min="19" max="19" width="14.28515625" style="148" bestFit="1" customWidth="1"/>
    <col min="20" max="20" width="16.7109375" style="148" bestFit="1" customWidth="1"/>
    <col min="21" max="21" width="15.5703125" style="148" customWidth="1"/>
    <col min="22" max="22" width="15.140625" style="148" customWidth="1"/>
    <col min="23" max="23" width="15.5703125" style="148" customWidth="1"/>
    <col min="24" max="24" width="16.7109375" style="148" customWidth="1"/>
    <col min="25" max="25" width="17.5703125" style="148" customWidth="1"/>
    <col min="26" max="26" width="17.7109375" style="148" customWidth="1"/>
    <col min="27" max="27" width="17.28515625" style="148" customWidth="1"/>
    <col min="28" max="28" width="24.85546875" style="148" bestFit="1" customWidth="1"/>
    <col min="29" max="29" width="11.140625" style="148" customWidth="1"/>
    <col min="30" max="16384" width="9.140625" style="148"/>
  </cols>
  <sheetData>
    <row r="1" spans="1:32" ht="96" customHeight="1" thickBot="1" x14ac:dyDescent="0.3">
      <c r="C1" s="148"/>
      <c r="D1" s="6"/>
      <c r="I1" s="148"/>
      <c r="J1" s="150"/>
      <c r="K1" s="151"/>
      <c r="L1" s="152"/>
      <c r="M1" s="152"/>
      <c r="N1" s="151"/>
      <c r="O1" s="152"/>
      <c r="P1" s="152"/>
      <c r="Q1" s="151"/>
      <c r="R1" s="151"/>
      <c r="S1" s="133"/>
      <c r="T1" s="153"/>
      <c r="U1" s="154"/>
      <c r="W1" s="155" t="s">
        <v>17</v>
      </c>
      <c r="X1" s="151"/>
      <c r="Y1" s="151"/>
      <c r="Z1" s="155" t="s">
        <v>18</v>
      </c>
      <c r="AA1" s="155" t="s">
        <v>19</v>
      </c>
    </row>
    <row r="2" spans="1:32" s="133" customFormat="1" ht="62.25" customHeight="1" thickTop="1" thickBot="1" x14ac:dyDescent="0.3">
      <c r="C2" s="378" t="s">
        <v>20</v>
      </c>
      <c r="D2" s="379"/>
      <c r="E2" s="375" t="s">
        <v>21</v>
      </c>
      <c r="F2" s="376"/>
      <c r="G2" s="375" t="s">
        <v>22</v>
      </c>
      <c r="H2" s="377"/>
      <c r="I2" s="380" t="s">
        <v>23</v>
      </c>
      <c r="J2" s="381"/>
      <c r="K2" s="134" t="s">
        <v>24</v>
      </c>
      <c r="L2" s="367" t="s">
        <v>25</v>
      </c>
      <c r="M2" s="368"/>
      <c r="N2" s="369"/>
      <c r="O2" s="364" t="s">
        <v>26</v>
      </c>
      <c r="P2" s="365"/>
      <c r="Q2" s="366"/>
      <c r="R2" s="362" t="s">
        <v>27</v>
      </c>
      <c r="S2" s="370" t="s">
        <v>28</v>
      </c>
      <c r="T2" s="371"/>
      <c r="U2" s="371"/>
      <c r="V2" s="371"/>
      <c r="W2" s="371"/>
      <c r="X2" s="372"/>
      <c r="Y2" s="364" t="s">
        <v>29</v>
      </c>
      <c r="Z2" s="365"/>
      <c r="AA2" s="366"/>
    </row>
    <row r="3" spans="1:32" ht="78" thickTop="1" thickBot="1" x14ac:dyDescent="0.3">
      <c r="A3" s="135" t="s">
        <v>30</v>
      </c>
      <c r="B3" s="136" t="s">
        <v>31</v>
      </c>
      <c r="C3" s="137" t="s">
        <v>32</v>
      </c>
      <c r="D3" s="138" t="s">
        <v>33</v>
      </c>
      <c r="E3" s="135" t="s">
        <v>34</v>
      </c>
      <c r="F3" s="138" t="s">
        <v>35</v>
      </c>
      <c r="G3" s="139" t="s">
        <v>36</v>
      </c>
      <c r="H3" s="140" t="s">
        <v>37</v>
      </c>
      <c r="I3" s="141" t="s">
        <v>38</v>
      </c>
      <c r="J3" s="142" t="s">
        <v>39</v>
      </c>
      <c r="K3" s="143" t="s">
        <v>40</v>
      </c>
      <c r="L3" s="144" t="s">
        <v>41</v>
      </c>
      <c r="M3" s="145" t="s">
        <v>42</v>
      </c>
      <c r="N3" s="143" t="s">
        <v>43</v>
      </c>
      <c r="O3" s="144" t="s">
        <v>44</v>
      </c>
      <c r="P3" s="145" t="s">
        <v>45</v>
      </c>
      <c r="Q3" s="143" t="s">
        <v>46</v>
      </c>
      <c r="R3" s="143" t="s">
        <v>47</v>
      </c>
      <c r="S3" s="144" t="s">
        <v>48</v>
      </c>
      <c r="T3" s="145" t="s">
        <v>49</v>
      </c>
      <c r="U3" s="146" t="s">
        <v>50</v>
      </c>
      <c r="V3" s="145" t="s">
        <v>51</v>
      </c>
      <c r="W3" s="147" t="s">
        <v>52</v>
      </c>
      <c r="X3" s="143" t="s">
        <v>53</v>
      </c>
      <c r="Y3" s="144" t="s">
        <v>54</v>
      </c>
      <c r="Z3" s="145" t="s">
        <v>124</v>
      </c>
      <c r="AA3" s="305" t="s">
        <v>19</v>
      </c>
      <c r="AB3" s="149" t="s">
        <v>55</v>
      </c>
    </row>
    <row r="4" spans="1:32" ht="13.5" thickTop="1" x14ac:dyDescent="0.25">
      <c r="A4" s="156" t="s">
        <v>9</v>
      </c>
      <c r="B4" s="157" t="s">
        <v>56</v>
      </c>
      <c r="C4" s="158">
        <v>5.5</v>
      </c>
      <c r="D4" s="159">
        <v>2.5409999999999999</v>
      </c>
      <c r="E4" s="158">
        <v>2</v>
      </c>
      <c r="F4" s="159">
        <v>3.2490000000000001</v>
      </c>
      <c r="G4" s="158">
        <v>2.9441999999999999</v>
      </c>
      <c r="H4" s="160">
        <v>2.8</v>
      </c>
      <c r="I4" s="161">
        <v>3.7410000000000001</v>
      </c>
      <c r="J4" s="162">
        <f>C4+D4+E4+F4+G4+H4</f>
        <v>19.034200000000002</v>
      </c>
      <c r="K4" s="163">
        <f>'Group 1 Cost'!I4</f>
        <v>0</v>
      </c>
      <c r="L4" s="164">
        <f>'Group 1 Cost'!D4</f>
        <v>1</v>
      </c>
      <c r="M4" s="165">
        <f>'Group 1 Cost'!E4</f>
        <v>3</v>
      </c>
      <c r="N4" s="166">
        <f>SUM('Group 1 Cost'!D4:E4)-K4</f>
        <v>4</v>
      </c>
      <c r="O4" s="164">
        <f>'Group 1 Cost'!F4</f>
        <v>0</v>
      </c>
      <c r="P4" s="165">
        <f>'Group 1 Cost'!G4</f>
        <v>0</v>
      </c>
      <c r="Q4" s="166">
        <f>SUM('Group 1 Cost'!F4:G4)</f>
        <v>0</v>
      </c>
      <c r="R4" s="163">
        <f>'Group 1 Cost'!H4-L4</f>
        <v>2.5383529578663637</v>
      </c>
      <c r="S4" s="276">
        <v>35</v>
      </c>
      <c r="T4" s="167">
        <v>35</v>
      </c>
      <c r="U4" s="167">
        <f t="shared" ref="U4:U25" si="0">T4-V4+H4</f>
        <v>4.55</v>
      </c>
      <c r="V4" s="167">
        <v>33.25</v>
      </c>
      <c r="W4" s="167">
        <f t="shared" ref="W4:W25" si="1">($V4-($C4+$D4-$I4))-H4</f>
        <v>26.15</v>
      </c>
      <c r="X4" s="287">
        <f t="shared" ref="X4:X25" si="2">W4-E4</f>
        <v>24.15</v>
      </c>
      <c r="Y4" s="276">
        <f t="shared" ref="Y4:Y25" si="3">Q4</f>
        <v>0</v>
      </c>
      <c r="Z4" s="167">
        <f t="shared" ref="Z4:Z25" si="4">U4/(U4+W4)*N4</f>
        <v>0.59283387622149841</v>
      </c>
      <c r="AA4" s="287">
        <f>W4/(U4+W4)*N4+R4</f>
        <v>5.9455190816448651</v>
      </c>
      <c r="AB4" s="296"/>
      <c r="AC4" s="154"/>
      <c r="AD4" s="168"/>
    </row>
    <row r="5" spans="1:32" x14ac:dyDescent="0.25">
      <c r="A5" s="169" t="s">
        <v>9</v>
      </c>
      <c r="B5" s="311" t="s">
        <v>57</v>
      </c>
      <c r="C5" s="170">
        <v>4.5</v>
      </c>
      <c r="D5" s="171">
        <v>2.593</v>
      </c>
      <c r="E5" s="170">
        <v>6.7</v>
      </c>
      <c r="F5" s="171">
        <v>15.744999999999999</v>
      </c>
      <c r="G5" s="170">
        <v>12.861600000000001</v>
      </c>
      <c r="H5" s="172">
        <v>2.5</v>
      </c>
      <c r="I5" s="173">
        <v>2.593</v>
      </c>
      <c r="J5" s="174">
        <f t="shared" ref="J5:J25" si="5">C5+D5+E5+F5+G5+H5</f>
        <v>44.8996</v>
      </c>
      <c r="K5" s="175">
        <f>'Group 1 Cost'!I5</f>
        <v>0</v>
      </c>
      <c r="L5" s="176">
        <f>'Group 1 Cost'!D5</f>
        <v>4</v>
      </c>
      <c r="M5" s="177">
        <f>'Group 1 Cost'!E5</f>
        <v>33</v>
      </c>
      <c r="N5" s="178">
        <f>SUM('Group 1 Cost'!D5:E5)-K5</f>
        <v>37</v>
      </c>
      <c r="O5" s="176">
        <f>'Group 1 Cost'!F5</f>
        <v>0</v>
      </c>
      <c r="P5" s="177">
        <f>'Group 1 Cost'!G5</f>
        <v>12</v>
      </c>
      <c r="Q5" s="178">
        <f>SUM('Group 1 Cost'!F5:G5)</f>
        <v>12</v>
      </c>
      <c r="R5" s="175">
        <f>'Group 1 Cost'!H5-L5</f>
        <v>9.8697738281012004</v>
      </c>
      <c r="S5" s="277">
        <v>40</v>
      </c>
      <c r="T5" s="179">
        <v>125</v>
      </c>
      <c r="U5" s="179">
        <f t="shared" si="0"/>
        <v>65</v>
      </c>
      <c r="V5" s="179">
        <v>62.5</v>
      </c>
      <c r="W5" s="179">
        <f t="shared" si="1"/>
        <v>55.5</v>
      </c>
      <c r="X5" s="288">
        <f t="shared" si="2"/>
        <v>48.8</v>
      </c>
      <c r="Y5" s="277">
        <f t="shared" si="3"/>
        <v>12</v>
      </c>
      <c r="Z5" s="179">
        <f t="shared" si="4"/>
        <v>19.95850622406639</v>
      </c>
      <c r="AA5" s="288">
        <f t="shared" ref="AA5:AA25" si="6">W5/(U5+W5)*N5+R5</f>
        <v>26.911267604034812</v>
      </c>
      <c r="AB5" s="297" t="s">
        <v>58</v>
      </c>
      <c r="AC5" s="154"/>
      <c r="AD5" s="168"/>
    </row>
    <row r="6" spans="1:32" x14ac:dyDescent="0.25">
      <c r="A6" s="169" t="s">
        <v>9</v>
      </c>
      <c r="B6" s="311" t="s">
        <v>59</v>
      </c>
      <c r="C6" s="170">
        <v>7.45</v>
      </c>
      <c r="D6" s="171">
        <v>1.1839999999999999</v>
      </c>
      <c r="E6" s="170">
        <v>19</v>
      </c>
      <c r="F6" s="171">
        <v>1</v>
      </c>
      <c r="G6" s="170">
        <v>11.4109</v>
      </c>
      <c r="H6" s="172">
        <v>1.8</v>
      </c>
      <c r="I6" s="173">
        <v>4.8840000000000003</v>
      </c>
      <c r="J6" s="174">
        <f t="shared" si="5"/>
        <v>41.844899999999996</v>
      </c>
      <c r="K6" s="175">
        <f>'Group 1 Cost'!I6</f>
        <v>2</v>
      </c>
      <c r="L6" s="176">
        <f>'Group 1 Cost'!D6</f>
        <v>8</v>
      </c>
      <c r="M6" s="177">
        <f>'Group 1 Cost'!E6</f>
        <v>41</v>
      </c>
      <c r="N6" s="178">
        <f>SUM('Group 1 Cost'!D6:E6)-K6</f>
        <v>47</v>
      </c>
      <c r="O6" s="176">
        <f>'Group 1 Cost'!F6</f>
        <v>0</v>
      </c>
      <c r="P6" s="177">
        <f>'Group 1 Cost'!G6</f>
        <v>0</v>
      </c>
      <c r="Q6" s="178">
        <f>SUM('Group 1 Cost'!F6:G6)</f>
        <v>0</v>
      </c>
      <c r="R6" s="175">
        <f>'Group 1 Cost'!H6-L6</f>
        <v>31.660178748758682</v>
      </c>
      <c r="S6" s="277">
        <f>2*12.5</f>
        <v>25</v>
      </c>
      <c r="T6" s="179">
        <v>125</v>
      </c>
      <c r="U6" s="179">
        <f t="shared" si="0"/>
        <v>64.3</v>
      </c>
      <c r="V6" s="179">
        <v>62.5</v>
      </c>
      <c r="W6" s="179">
        <f t="shared" si="1"/>
        <v>56.95</v>
      </c>
      <c r="X6" s="288">
        <f t="shared" si="2"/>
        <v>37.950000000000003</v>
      </c>
      <c r="Y6" s="277">
        <f t="shared" si="3"/>
        <v>0</v>
      </c>
      <c r="Z6" s="179">
        <f t="shared" si="4"/>
        <v>24.924536082474226</v>
      </c>
      <c r="AA6" s="288">
        <f t="shared" si="6"/>
        <v>53.735642666284456</v>
      </c>
      <c r="AB6" s="297" t="s">
        <v>58</v>
      </c>
      <c r="AC6" s="154"/>
      <c r="AD6" s="168"/>
    </row>
    <row r="7" spans="1:32" ht="13.5" thickBot="1" x14ac:dyDescent="0.3">
      <c r="A7" s="180" t="s">
        <v>9</v>
      </c>
      <c r="B7" s="312" t="s">
        <v>60</v>
      </c>
      <c r="C7" s="181">
        <v>4.9880000000000004</v>
      </c>
      <c r="D7" s="182">
        <v>3.3570000000000002</v>
      </c>
      <c r="E7" s="181">
        <v>20.95</v>
      </c>
      <c r="F7" s="182">
        <v>10.451000000000001</v>
      </c>
      <c r="G7" s="181">
        <v>8</v>
      </c>
      <c r="H7" s="183">
        <v>3.5</v>
      </c>
      <c r="I7" s="184">
        <v>4.3570000000000002</v>
      </c>
      <c r="J7" s="185">
        <f t="shared" si="5"/>
        <v>51.246000000000002</v>
      </c>
      <c r="K7" s="186">
        <f>'Group 1 Cost'!I7</f>
        <v>0</v>
      </c>
      <c r="L7" s="187">
        <f>'Group 1 Cost'!D7</f>
        <v>14</v>
      </c>
      <c r="M7" s="188">
        <f>'Group 1 Cost'!E7</f>
        <v>12</v>
      </c>
      <c r="N7" s="189">
        <f>SUM('Group 1 Cost'!D7:E7)-K7</f>
        <v>26</v>
      </c>
      <c r="O7" s="187">
        <f>'Group 1 Cost'!F7</f>
        <v>0</v>
      </c>
      <c r="P7" s="188">
        <f>'Group 1 Cost'!G7</f>
        <v>0</v>
      </c>
      <c r="Q7" s="189">
        <f>SUM('Group 1 Cost'!F7:G7)</f>
        <v>0</v>
      </c>
      <c r="R7" s="186">
        <f>'Group 1 Cost'!H7-L7</f>
        <v>8.9316944652737007</v>
      </c>
      <c r="S7" s="278">
        <f>40+20</f>
        <v>60</v>
      </c>
      <c r="T7" s="190">
        <v>125</v>
      </c>
      <c r="U7" s="190">
        <f t="shared" si="0"/>
        <v>66</v>
      </c>
      <c r="V7" s="190">
        <v>62.5</v>
      </c>
      <c r="W7" s="190">
        <f t="shared" si="1"/>
        <v>55.012</v>
      </c>
      <c r="X7" s="289">
        <f t="shared" si="2"/>
        <v>34.061999999999998</v>
      </c>
      <c r="Y7" s="278">
        <f t="shared" si="3"/>
        <v>0</v>
      </c>
      <c r="Z7" s="190">
        <f t="shared" si="4"/>
        <v>14.180411859980827</v>
      </c>
      <c r="AA7" s="289">
        <f t="shared" si="6"/>
        <v>20.751282605292872</v>
      </c>
      <c r="AB7" s="298" t="s">
        <v>58</v>
      </c>
      <c r="AC7" s="154"/>
      <c r="AD7" s="168"/>
    </row>
    <row r="8" spans="1:32" ht="12" customHeight="1" x14ac:dyDescent="0.25">
      <c r="A8" s="191" t="s">
        <v>10</v>
      </c>
      <c r="B8" s="192" t="s">
        <v>61</v>
      </c>
      <c r="C8" s="193">
        <v>11.484999999999999</v>
      </c>
      <c r="D8" s="194">
        <v>1.306</v>
      </c>
      <c r="E8" s="193">
        <v>2</v>
      </c>
      <c r="F8" s="194">
        <v>1.56</v>
      </c>
      <c r="G8" s="193">
        <v>4.9101000000000008</v>
      </c>
      <c r="H8" s="195">
        <v>1</v>
      </c>
      <c r="I8" s="196">
        <v>2.306</v>
      </c>
      <c r="J8" s="197">
        <f t="shared" si="5"/>
        <v>22.261099999999999</v>
      </c>
      <c r="K8" s="198">
        <f>'Group 2 Cost'!I4</f>
        <v>0</v>
      </c>
      <c r="L8" s="199">
        <f>'Group 2 Cost'!D4</f>
        <v>2</v>
      </c>
      <c r="M8" s="200">
        <f>'Group 2 Cost'!E4</f>
        <v>3</v>
      </c>
      <c r="N8" s="201">
        <f>SUM('Group 2 Cost'!D4:E4)-K8</f>
        <v>5</v>
      </c>
      <c r="O8" s="199">
        <f>'Group 2 Cost'!F4</f>
        <v>0</v>
      </c>
      <c r="P8" s="200">
        <f>'Group 2 Cost'!G4</f>
        <v>0</v>
      </c>
      <c r="Q8" s="201">
        <f>SUM('Group 2 Cost'!F4:G4)</f>
        <v>0</v>
      </c>
      <c r="R8" s="198">
        <f>'Group 2 Cost'!H4-L8</f>
        <v>3.4189164750561911</v>
      </c>
      <c r="S8" s="279">
        <v>50</v>
      </c>
      <c r="T8" s="202">
        <v>50</v>
      </c>
      <c r="U8" s="202">
        <f t="shared" si="0"/>
        <v>3.5</v>
      </c>
      <c r="V8" s="202">
        <v>47.5</v>
      </c>
      <c r="W8" s="202">
        <f t="shared" si="1"/>
        <v>36.015000000000001</v>
      </c>
      <c r="X8" s="290">
        <f t="shared" si="2"/>
        <v>34.015000000000001</v>
      </c>
      <c r="Y8" s="279">
        <f t="shared" si="3"/>
        <v>0</v>
      </c>
      <c r="Z8" s="202">
        <f t="shared" si="4"/>
        <v>0.44286979627989376</v>
      </c>
      <c r="AA8" s="290">
        <f t="shared" si="6"/>
        <v>7.9760466787762976</v>
      </c>
      <c r="AB8" s="299"/>
      <c r="AC8" s="154"/>
      <c r="AD8" s="168"/>
    </row>
    <row r="9" spans="1:32" ht="11.25" customHeight="1" x14ac:dyDescent="0.25">
      <c r="A9" s="191" t="s">
        <v>10</v>
      </c>
      <c r="B9" s="192" t="s">
        <v>62</v>
      </c>
      <c r="C9" s="193">
        <v>14.930999999999999</v>
      </c>
      <c r="D9" s="194">
        <v>3.7130000000000001</v>
      </c>
      <c r="E9" s="193">
        <v>34.045999999999999</v>
      </c>
      <c r="F9" s="194">
        <v>3</v>
      </c>
      <c r="G9" s="193">
        <v>21.353999999999999</v>
      </c>
      <c r="H9" s="195">
        <v>4</v>
      </c>
      <c r="I9" s="196">
        <v>10.312999999999999</v>
      </c>
      <c r="J9" s="197">
        <f t="shared" si="5"/>
        <v>81.043999999999997</v>
      </c>
      <c r="K9" s="198">
        <f>'Group 2 Cost'!I5</f>
        <v>2</v>
      </c>
      <c r="L9" s="199">
        <f>'Group 2 Cost'!D5</f>
        <v>19</v>
      </c>
      <c r="M9" s="200">
        <f>'Group 2 Cost'!E5</f>
        <v>61</v>
      </c>
      <c r="N9" s="201">
        <f>SUM('Group 2 Cost'!D5:E5)-K9</f>
        <v>78</v>
      </c>
      <c r="O9" s="199">
        <f>'Group 2 Cost'!F5</f>
        <v>1.5</v>
      </c>
      <c r="P9" s="200">
        <f>'Group 2 Cost'!G5</f>
        <v>0</v>
      </c>
      <c r="Q9" s="201">
        <f>SUM('Group 2 Cost'!F5:G5)</f>
        <v>1.5</v>
      </c>
      <c r="R9" s="198">
        <f>'Group 2 Cost'!H5-L9</f>
        <v>33.92082181517555</v>
      </c>
      <c r="S9" s="279">
        <f>2*25</f>
        <v>50</v>
      </c>
      <c r="T9" s="202">
        <v>225</v>
      </c>
      <c r="U9" s="202">
        <f t="shared" si="0"/>
        <v>79</v>
      </c>
      <c r="V9" s="202">
        <v>150</v>
      </c>
      <c r="W9" s="202">
        <f t="shared" si="1"/>
        <v>137.66900000000001</v>
      </c>
      <c r="X9" s="290">
        <f t="shared" si="2"/>
        <v>103.62300000000002</v>
      </c>
      <c r="Y9" s="279">
        <f t="shared" si="3"/>
        <v>1.5</v>
      </c>
      <c r="Z9" s="202">
        <f>U9/(U9+W9)*N9</f>
        <v>28.439693726375253</v>
      </c>
      <c r="AA9" s="290">
        <f t="shared" si="6"/>
        <v>83.481128088800304</v>
      </c>
      <c r="AB9" s="299" t="s">
        <v>63</v>
      </c>
      <c r="AC9" s="154"/>
      <c r="AD9" s="168"/>
    </row>
    <row r="10" spans="1:32" x14ac:dyDescent="0.25">
      <c r="A10" s="191" t="s">
        <v>10</v>
      </c>
      <c r="B10" s="192" t="s">
        <v>64</v>
      </c>
      <c r="C10" s="193">
        <v>14</v>
      </c>
      <c r="D10" s="194">
        <v>5.1210000000000004</v>
      </c>
      <c r="E10" s="193">
        <v>5.57</v>
      </c>
      <c r="F10" s="194">
        <v>1</v>
      </c>
      <c r="G10" s="193">
        <v>5.524</v>
      </c>
      <c r="H10" s="195">
        <v>5</v>
      </c>
      <c r="I10" s="196">
        <v>11.420999999999999</v>
      </c>
      <c r="J10" s="197">
        <f t="shared" si="5"/>
        <v>36.215000000000003</v>
      </c>
      <c r="K10" s="198">
        <f>'Group 2 Cost'!I6</f>
        <v>0</v>
      </c>
      <c r="L10" s="199">
        <f>'Group 2 Cost'!D6</f>
        <v>1</v>
      </c>
      <c r="M10" s="200">
        <f>'Group 2 Cost'!E6</f>
        <v>6</v>
      </c>
      <c r="N10" s="201">
        <f>SUM('Group 2 Cost'!D6:E6)-K10</f>
        <v>7</v>
      </c>
      <c r="O10" s="199">
        <f>'Group 2 Cost'!F6</f>
        <v>0</v>
      </c>
      <c r="P10" s="200">
        <f>'Group 2 Cost'!G6</f>
        <v>0</v>
      </c>
      <c r="Q10" s="201">
        <f>SUM('Group 2 Cost'!F6:G6)</f>
        <v>0</v>
      </c>
      <c r="R10" s="198">
        <f>'Group 2 Cost'!H6-L10</f>
        <v>5.237566848373679</v>
      </c>
      <c r="S10" s="279">
        <f>2*50</f>
        <v>100</v>
      </c>
      <c r="T10" s="202">
        <v>100</v>
      </c>
      <c r="U10" s="202">
        <f t="shared" si="0"/>
        <v>55</v>
      </c>
      <c r="V10" s="202">
        <v>50</v>
      </c>
      <c r="W10" s="202">
        <f t="shared" si="1"/>
        <v>37.299999999999997</v>
      </c>
      <c r="X10" s="290">
        <f t="shared" si="2"/>
        <v>31.729999999999997</v>
      </c>
      <c r="Y10" s="279">
        <f t="shared" si="3"/>
        <v>0</v>
      </c>
      <c r="Z10" s="202">
        <f t="shared" si="4"/>
        <v>4.1711809317443125</v>
      </c>
      <c r="AA10" s="290">
        <f t="shared" si="6"/>
        <v>8.0663859166293665</v>
      </c>
      <c r="AB10" s="299"/>
      <c r="AC10" s="154"/>
      <c r="AD10" s="168"/>
    </row>
    <row r="11" spans="1:32" x14ac:dyDescent="0.25">
      <c r="A11" s="191" t="s">
        <v>10</v>
      </c>
      <c r="B11" s="192" t="s">
        <v>65</v>
      </c>
      <c r="C11" s="193">
        <v>22.774000000000001</v>
      </c>
      <c r="D11" s="194">
        <v>3.915</v>
      </c>
      <c r="E11" s="193">
        <v>46.51</v>
      </c>
      <c r="F11" s="194">
        <v>2</v>
      </c>
      <c r="G11" s="193">
        <v>28.030399999999997</v>
      </c>
      <c r="H11" s="195">
        <v>4</v>
      </c>
      <c r="I11" s="196">
        <v>12.114999999999998</v>
      </c>
      <c r="J11" s="197">
        <f t="shared" si="5"/>
        <v>107.2294</v>
      </c>
      <c r="K11" s="198">
        <f>'Group 2 Cost'!I7</f>
        <v>0</v>
      </c>
      <c r="L11" s="199">
        <f>'Group 2 Cost'!D7</f>
        <v>22</v>
      </c>
      <c r="M11" s="200">
        <f>'Group 2 Cost'!E7</f>
        <v>33</v>
      </c>
      <c r="N11" s="201">
        <f>SUM('Group 2 Cost'!D7:E7)-K11</f>
        <v>55</v>
      </c>
      <c r="O11" s="199">
        <f>'Group 2 Cost'!F7</f>
        <v>33.6</v>
      </c>
      <c r="P11" s="200">
        <f>'Group 2 Cost'!G7</f>
        <v>0</v>
      </c>
      <c r="Q11" s="201">
        <f>SUM('Group 2 Cost'!F7:G7)</f>
        <v>33.6</v>
      </c>
      <c r="R11" s="198">
        <f>'Group 2 Cost'!H7-L11</f>
        <v>0.28925000645878285</v>
      </c>
      <c r="S11" s="279">
        <v>50</v>
      </c>
      <c r="T11" s="202">
        <v>225</v>
      </c>
      <c r="U11" s="202">
        <f t="shared" si="0"/>
        <v>79</v>
      </c>
      <c r="V11" s="202">
        <v>150</v>
      </c>
      <c r="W11" s="202">
        <f t="shared" si="1"/>
        <v>131.42599999999999</v>
      </c>
      <c r="X11" s="290">
        <f t="shared" si="2"/>
        <v>84.915999999999997</v>
      </c>
      <c r="Y11" s="279">
        <f t="shared" si="3"/>
        <v>33.6</v>
      </c>
      <c r="Z11" s="202">
        <f t="shared" si="4"/>
        <v>20.648589052683604</v>
      </c>
      <c r="AA11" s="290">
        <f t="shared" si="6"/>
        <v>34.640660953775182</v>
      </c>
      <c r="AB11" s="299" t="s">
        <v>63</v>
      </c>
      <c r="AC11" s="154"/>
      <c r="AD11" s="168"/>
    </row>
    <row r="12" spans="1:32" x14ac:dyDescent="0.25">
      <c r="A12" s="191" t="s">
        <v>10</v>
      </c>
      <c r="B12" s="192" t="s">
        <v>66</v>
      </c>
      <c r="C12" s="193">
        <v>28.596</v>
      </c>
      <c r="D12" s="194">
        <v>5.8460000000000001</v>
      </c>
      <c r="E12" s="193">
        <v>34.200000000000003</v>
      </c>
      <c r="F12" s="194">
        <v>12.532</v>
      </c>
      <c r="G12" s="193">
        <v>25.854200000000002</v>
      </c>
      <c r="H12" s="195">
        <v>6</v>
      </c>
      <c r="I12" s="196">
        <v>25.146000000000001</v>
      </c>
      <c r="J12" s="197">
        <f t="shared" si="5"/>
        <v>113.0282</v>
      </c>
      <c r="K12" s="198">
        <f>'Group 2 Cost'!I8</f>
        <v>0</v>
      </c>
      <c r="L12" s="199">
        <f>'Group 2 Cost'!D8</f>
        <v>2</v>
      </c>
      <c r="M12" s="200">
        <f>'Group 2 Cost'!E8</f>
        <v>38</v>
      </c>
      <c r="N12" s="201">
        <f>SUM('Group 2 Cost'!D8:E8)-K12</f>
        <v>40</v>
      </c>
      <c r="O12" s="199">
        <f>'Group 2 Cost'!F8</f>
        <v>32.799999999999997</v>
      </c>
      <c r="P12" s="200">
        <f>'Group 2 Cost'!G8</f>
        <v>6</v>
      </c>
      <c r="Q12" s="201">
        <f>SUM('Group 2 Cost'!F8:G8)</f>
        <v>38.799999999999997</v>
      </c>
      <c r="R12" s="198">
        <f>'Group 2 Cost'!H8-L12</f>
        <v>20.289250006458783</v>
      </c>
      <c r="S12" s="279">
        <f>2*50</f>
        <v>100</v>
      </c>
      <c r="T12" s="202">
        <v>225</v>
      </c>
      <c r="U12" s="202">
        <f t="shared" si="0"/>
        <v>81</v>
      </c>
      <c r="V12" s="202">
        <v>150</v>
      </c>
      <c r="W12" s="202">
        <f t="shared" si="1"/>
        <v>134.70400000000001</v>
      </c>
      <c r="X12" s="290">
        <f t="shared" si="2"/>
        <v>100.504</v>
      </c>
      <c r="Y12" s="279">
        <f t="shared" si="3"/>
        <v>38.799999999999997</v>
      </c>
      <c r="Z12" s="202">
        <f t="shared" si="4"/>
        <v>15.020583762934391</v>
      </c>
      <c r="AA12" s="290">
        <f t="shared" si="6"/>
        <v>45.268666243524393</v>
      </c>
      <c r="AB12" s="299" t="s">
        <v>63</v>
      </c>
      <c r="AC12" s="154"/>
      <c r="AD12" s="168"/>
    </row>
    <row r="13" spans="1:32" x14ac:dyDescent="0.25">
      <c r="A13" s="191" t="s">
        <v>10</v>
      </c>
      <c r="B13" s="192" t="s">
        <v>67</v>
      </c>
      <c r="C13" s="193">
        <v>16.7</v>
      </c>
      <c r="D13" s="194">
        <v>1.4</v>
      </c>
      <c r="E13" s="193">
        <v>0.8657999999999999</v>
      </c>
      <c r="F13" s="194">
        <v>0</v>
      </c>
      <c r="G13" s="193">
        <v>0.7266999999999999</v>
      </c>
      <c r="H13" s="195">
        <v>1.4</v>
      </c>
      <c r="I13" s="196">
        <v>13.1</v>
      </c>
      <c r="J13" s="197">
        <f t="shared" si="5"/>
        <v>21.092499999999998</v>
      </c>
      <c r="K13" s="198">
        <f>'Group 2 Cost'!I9</f>
        <v>0</v>
      </c>
      <c r="L13" s="199">
        <f>'Group 2 Cost'!D9</f>
        <v>0</v>
      </c>
      <c r="M13" s="200">
        <f>'Group 2 Cost'!E9</f>
        <v>0</v>
      </c>
      <c r="N13" s="201">
        <f>SUM('Group 2 Cost'!D9:E9)-K13</f>
        <v>0</v>
      </c>
      <c r="O13" s="199">
        <f>'Group 2 Cost'!F9</f>
        <v>0</v>
      </c>
      <c r="P13" s="200">
        <f>'Group 2 Cost'!G9</f>
        <v>0</v>
      </c>
      <c r="Q13" s="201">
        <f>SUM('Group 2 Cost'!F9:G9)</f>
        <v>0</v>
      </c>
      <c r="R13" s="198">
        <f>'Group 2 Cost'!H9-L13</f>
        <v>8.0880073371741545</v>
      </c>
      <c r="S13" s="279">
        <v>50</v>
      </c>
      <c r="T13" s="202">
        <v>50</v>
      </c>
      <c r="U13" s="202">
        <f t="shared" si="0"/>
        <v>3.9</v>
      </c>
      <c r="V13" s="202">
        <v>47.5</v>
      </c>
      <c r="W13" s="202">
        <f t="shared" si="1"/>
        <v>41.1</v>
      </c>
      <c r="X13" s="290">
        <f t="shared" si="2"/>
        <v>40.234200000000001</v>
      </c>
      <c r="Y13" s="279">
        <f t="shared" si="3"/>
        <v>0</v>
      </c>
      <c r="Z13" s="202">
        <f t="shared" si="4"/>
        <v>0</v>
      </c>
      <c r="AA13" s="290">
        <f t="shared" si="6"/>
        <v>8.0880073371741545</v>
      </c>
      <c r="AB13" s="299"/>
      <c r="AC13" s="154"/>
      <c r="AD13" s="168"/>
    </row>
    <row r="14" spans="1:32" ht="13.5" thickBot="1" x14ac:dyDescent="0.3">
      <c r="A14" s="191" t="s">
        <v>10</v>
      </c>
      <c r="B14" s="192" t="s">
        <v>68</v>
      </c>
      <c r="C14" s="193">
        <v>5.28</v>
      </c>
      <c r="D14" s="194">
        <v>2.3220000000000001</v>
      </c>
      <c r="E14" s="193">
        <v>2.76</v>
      </c>
      <c r="F14" s="194">
        <v>2</v>
      </c>
      <c r="G14" s="193">
        <v>2.6768000000000001</v>
      </c>
      <c r="H14" s="195">
        <v>0.67</v>
      </c>
      <c r="I14" s="196">
        <v>8.6219999999999999</v>
      </c>
      <c r="J14" s="197">
        <f t="shared" si="5"/>
        <v>15.7088</v>
      </c>
      <c r="K14" s="198">
        <f>'Group 2 Cost'!I10</f>
        <v>0</v>
      </c>
      <c r="L14" s="199">
        <f>'Group 2 Cost'!D10</f>
        <v>4</v>
      </c>
      <c r="M14" s="200">
        <f>'Group 2 Cost'!E10</f>
        <v>0</v>
      </c>
      <c r="N14" s="201">
        <f>SUM('Group 2 Cost'!D10:E10)-K14</f>
        <v>4</v>
      </c>
      <c r="O14" s="199">
        <f>'Group 2 Cost'!F10</f>
        <v>0</v>
      </c>
      <c r="P14" s="200">
        <f>'Group 2 Cost'!G10</f>
        <v>0</v>
      </c>
      <c r="Q14" s="201">
        <f>SUM('Group 2 Cost'!F10:G10)</f>
        <v>0</v>
      </c>
      <c r="R14" s="198">
        <f>'Group 2 Cost'!H10-L14</f>
        <v>3.7561875113028638</v>
      </c>
      <c r="S14" s="279">
        <v>40</v>
      </c>
      <c r="T14" s="202">
        <v>100</v>
      </c>
      <c r="U14" s="202">
        <f t="shared" si="0"/>
        <v>50.67</v>
      </c>
      <c r="V14" s="202">
        <v>50</v>
      </c>
      <c r="W14" s="202">
        <f t="shared" si="1"/>
        <v>50.349999999999994</v>
      </c>
      <c r="X14" s="290">
        <f t="shared" si="2"/>
        <v>47.589999999999996</v>
      </c>
      <c r="Y14" s="279">
        <f t="shared" si="3"/>
        <v>0</v>
      </c>
      <c r="Z14" s="202">
        <f t="shared" si="4"/>
        <v>2.0063353791328451</v>
      </c>
      <c r="AA14" s="290">
        <f t="shared" si="6"/>
        <v>5.7498521321700187</v>
      </c>
      <c r="AB14" s="299"/>
      <c r="AC14" s="154"/>
      <c r="AD14" s="168"/>
    </row>
    <row r="15" spans="1:32" ht="13.5" thickBot="1" x14ac:dyDescent="0.3">
      <c r="A15" s="203" t="s">
        <v>12</v>
      </c>
      <c r="B15" s="313" t="s">
        <v>69</v>
      </c>
      <c r="C15" s="204">
        <v>2.0379999999999998</v>
      </c>
      <c r="D15" s="205">
        <v>1.9259999999999999</v>
      </c>
      <c r="E15" s="204">
        <v>22.364000000000001</v>
      </c>
      <c r="F15" s="205">
        <v>4.9950000000000001</v>
      </c>
      <c r="G15" s="204">
        <v>12.8071</v>
      </c>
      <c r="H15" s="206">
        <v>2</v>
      </c>
      <c r="I15" s="207">
        <v>4.226</v>
      </c>
      <c r="J15" s="208">
        <f t="shared" si="5"/>
        <v>46.130099999999999</v>
      </c>
      <c r="K15" s="209">
        <f>'Group 4 Cost'!I4</f>
        <v>10</v>
      </c>
      <c r="L15" s="210">
        <f>'Group 4 Cost'!D4</f>
        <v>8</v>
      </c>
      <c r="M15" s="211">
        <f>'Group 4 Cost'!E4</f>
        <v>39</v>
      </c>
      <c r="N15" s="212">
        <f>SUM('Group 4 Cost'!D4:E4)-K15</f>
        <v>37</v>
      </c>
      <c r="O15" s="210">
        <f>'Group 4 Cost'!F4</f>
        <v>42</v>
      </c>
      <c r="P15" s="211">
        <f>'Group 4 Cost'!G4</f>
        <v>40</v>
      </c>
      <c r="Q15" s="212">
        <f>SUM('Group 4 Cost'!F4:G4)</f>
        <v>82</v>
      </c>
      <c r="R15" s="209">
        <f>'Group 4 Cost'!H4-L15</f>
        <v>21</v>
      </c>
      <c r="S15" s="280">
        <f>2*15</f>
        <v>30</v>
      </c>
      <c r="T15" s="213">
        <v>187.5</v>
      </c>
      <c r="U15" s="213">
        <f t="shared" si="0"/>
        <v>64.5</v>
      </c>
      <c r="V15" s="213">
        <v>125</v>
      </c>
      <c r="W15" s="213">
        <f t="shared" si="1"/>
        <v>123.262</v>
      </c>
      <c r="X15" s="291">
        <f t="shared" si="2"/>
        <v>100.898</v>
      </c>
      <c r="Y15" s="280">
        <f t="shared" si="3"/>
        <v>82</v>
      </c>
      <c r="Z15" s="213">
        <f t="shared" si="4"/>
        <v>12.71023955859013</v>
      </c>
      <c r="AA15" s="291">
        <f t="shared" si="6"/>
        <v>45.289760441409868</v>
      </c>
      <c r="AB15" s="300" t="s">
        <v>70</v>
      </c>
      <c r="AC15" s="154"/>
      <c r="AD15" s="168"/>
    </row>
    <row r="16" spans="1:32" s="226" customFormat="1" x14ac:dyDescent="0.25">
      <c r="A16" s="214" t="s">
        <v>13</v>
      </c>
      <c r="B16" s="215" t="s">
        <v>71</v>
      </c>
      <c r="C16" s="216">
        <v>13.577999999999999</v>
      </c>
      <c r="D16" s="217">
        <v>6.7</v>
      </c>
      <c r="E16" s="216">
        <v>3</v>
      </c>
      <c r="F16" s="217">
        <v>4.8209999999999997</v>
      </c>
      <c r="G16" s="216">
        <v>7.9272</v>
      </c>
      <c r="H16" s="218">
        <v>7</v>
      </c>
      <c r="I16" s="219">
        <v>7.7</v>
      </c>
      <c r="J16" s="220">
        <f t="shared" si="5"/>
        <v>43.026199999999996</v>
      </c>
      <c r="K16" s="221">
        <f>'Group 5 Cost'!I4</f>
        <v>0</v>
      </c>
      <c r="L16" s="222">
        <f>'Group 5 Cost'!D4-5</f>
        <v>1</v>
      </c>
      <c r="M16" s="223">
        <f>'Group 5 Cost'!E4</f>
        <v>0</v>
      </c>
      <c r="N16" s="224">
        <f>SUM('Group 5 Cost'!D4:E4)-K16</f>
        <v>6</v>
      </c>
      <c r="O16" s="222">
        <f>'Group 5 Cost'!F4</f>
        <v>0</v>
      </c>
      <c r="P16" s="223">
        <f>'Group 5 Cost'!G4</f>
        <v>0</v>
      </c>
      <c r="Q16" s="224">
        <f>SUM('Group 5 Cost'!F4:G4)</f>
        <v>0</v>
      </c>
      <c r="R16" s="221">
        <f>'Group 5 Cost'!H4-L16</f>
        <v>2.6027210884353744</v>
      </c>
      <c r="S16" s="281">
        <f>2*62.5</f>
        <v>125</v>
      </c>
      <c r="T16" s="225">
        <v>125</v>
      </c>
      <c r="U16" s="225">
        <f t="shared" si="0"/>
        <v>69.5</v>
      </c>
      <c r="V16" s="225">
        <v>62.5</v>
      </c>
      <c r="W16" s="225">
        <f t="shared" si="1"/>
        <v>42.921999999999997</v>
      </c>
      <c r="X16" s="292">
        <f t="shared" si="2"/>
        <v>39.921999999999997</v>
      </c>
      <c r="Y16" s="281">
        <f t="shared" si="3"/>
        <v>0</v>
      </c>
      <c r="Z16" s="225">
        <f t="shared" si="4"/>
        <v>3.7092384052943372</v>
      </c>
      <c r="AA16" s="292">
        <f t="shared" si="6"/>
        <v>4.8934826831410367</v>
      </c>
      <c r="AB16" s="301"/>
      <c r="AC16" s="154"/>
      <c r="AD16" s="168"/>
      <c r="AF16" s="148"/>
    </row>
    <row r="17" spans="1:32" s="226" customFormat="1" ht="13.5" thickBot="1" x14ac:dyDescent="0.3">
      <c r="A17" s="214" t="s">
        <v>13</v>
      </c>
      <c r="B17" s="215" t="s">
        <v>72</v>
      </c>
      <c r="C17" s="216">
        <v>13.497999999999999</v>
      </c>
      <c r="D17" s="217">
        <v>6.26</v>
      </c>
      <c r="E17" s="216">
        <v>13</v>
      </c>
      <c r="F17" s="217">
        <v>0.7</v>
      </c>
      <c r="G17" s="216">
        <v>6.9203000000000001</v>
      </c>
      <c r="H17" s="218">
        <v>6</v>
      </c>
      <c r="I17" s="219">
        <v>10.46</v>
      </c>
      <c r="J17" s="220">
        <f t="shared" si="5"/>
        <v>46.378299999999996</v>
      </c>
      <c r="K17" s="221">
        <f>'Group 5 Cost'!I5</f>
        <v>0</v>
      </c>
      <c r="L17" s="222">
        <f>'Group 5 Cost'!D5</f>
        <v>1</v>
      </c>
      <c r="M17" s="223">
        <f>'Group 5 Cost'!E5</f>
        <v>41.8</v>
      </c>
      <c r="N17" s="224">
        <f>SUM('Group 5 Cost'!D5:E5)-K17</f>
        <v>42.8</v>
      </c>
      <c r="O17" s="222">
        <f>'Group 5 Cost'!F5</f>
        <v>1.2</v>
      </c>
      <c r="P17" s="223">
        <f>'Group 5 Cost'!G5</f>
        <v>0</v>
      </c>
      <c r="Q17" s="224">
        <f>SUM('Group 5 Cost'!F5:G5)</f>
        <v>1.2</v>
      </c>
      <c r="R17" s="221">
        <f>'Group 5 Cost'!H5-L17</f>
        <v>16.997278911564599</v>
      </c>
      <c r="S17" s="281">
        <f>2*20</f>
        <v>40</v>
      </c>
      <c r="T17" s="225">
        <v>125</v>
      </c>
      <c r="U17" s="225">
        <f t="shared" si="0"/>
        <v>68.5</v>
      </c>
      <c r="V17" s="225">
        <v>62.5</v>
      </c>
      <c r="W17" s="225">
        <f t="shared" si="1"/>
        <v>47.201999999999998</v>
      </c>
      <c r="X17" s="292">
        <f t="shared" si="2"/>
        <v>34.201999999999998</v>
      </c>
      <c r="Y17" s="281">
        <f t="shared" si="3"/>
        <v>1.2</v>
      </c>
      <c r="Z17" s="225">
        <f t="shared" si="4"/>
        <v>25.339233548253269</v>
      </c>
      <c r="AA17" s="292">
        <f t="shared" si="6"/>
        <v>34.458045363311328</v>
      </c>
      <c r="AB17" s="301" t="s">
        <v>58</v>
      </c>
      <c r="AC17" s="154"/>
      <c r="AD17" s="168"/>
      <c r="AF17" s="148"/>
    </row>
    <row r="18" spans="1:32" ht="13.5" thickBot="1" x14ac:dyDescent="0.3">
      <c r="A18" s="227" t="s">
        <v>14</v>
      </c>
      <c r="B18" s="314" t="s">
        <v>73</v>
      </c>
      <c r="C18" s="228">
        <v>38.052999999999997</v>
      </c>
      <c r="D18" s="229">
        <v>7.3680000000000003</v>
      </c>
      <c r="E18" s="228">
        <v>48.49</v>
      </c>
      <c r="F18" s="229">
        <v>2.125</v>
      </c>
      <c r="G18" s="228">
        <v>33.033399999999993</v>
      </c>
      <c r="H18" s="230">
        <v>7</v>
      </c>
      <c r="I18" s="231">
        <v>11.568000000000001</v>
      </c>
      <c r="J18" s="232">
        <f t="shared" si="5"/>
        <v>136.0694</v>
      </c>
      <c r="K18" s="233">
        <f>'Group 6 Cost'!I4</f>
        <v>0</v>
      </c>
      <c r="L18" s="234">
        <f>'Group 6 Cost'!D4</f>
        <v>9</v>
      </c>
      <c r="M18" s="235">
        <f>'Group 6 Cost'!E4</f>
        <v>49</v>
      </c>
      <c r="N18" s="236">
        <f>SUM('Group 6 Cost'!D4:E4)-K18</f>
        <v>58</v>
      </c>
      <c r="O18" s="234">
        <f>'Group 6 Cost'!F4</f>
        <v>31.2</v>
      </c>
      <c r="P18" s="235">
        <f>'Group 6 Cost'!G4</f>
        <v>0</v>
      </c>
      <c r="Q18" s="236">
        <f>SUM('Group 6 Cost'!F4:G4)</f>
        <v>31.2</v>
      </c>
      <c r="R18" s="233">
        <f>'Group 6 Cost'!H4-L18</f>
        <v>55</v>
      </c>
      <c r="S18" s="282">
        <f>2*50</f>
        <v>100</v>
      </c>
      <c r="T18" s="237">
        <v>187.5</v>
      </c>
      <c r="U18" s="237">
        <f t="shared" si="0"/>
        <v>69.5</v>
      </c>
      <c r="V18" s="237">
        <v>125</v>
      </c>
      <c r="W18" s="237">
        <f t="shared" si="1"/>
        <v>84.147000000000006</v>
      </c>
      <c r="X18" s="306">
        <f t="shared" si="2"/>
        <v>35.657000000000004</v>
      </c>
      <c r="Y18" s="282">
        <f t="shared" si="3"/>
        <v>31.2</v>
      </c>
      <c r="Z18" s="237">
        <f t="shared" si="4"/>
        <v>26.235461805306972</v>
      </c>
      <c r="AA18" s="306">
        <f t="shared" si="6"/>
        <v>86.764538194693031</v>
      </c>
      <c r="AB18" s="302" t="s">
        <v>70</v>
      </c>
      <c r="AC18" s="154"/>
      <c r="AD18" s="168"/>
    </row>
    <row r="19" spans="1:32" x14ac:dyDescent="0.25">
      <c r="A19" s="238" t="s">
        <v>11</v>
      </c>
      <c r="B19" s="239" t="s">
        <v>74</v>
      </c>
      <c r="C19" s="240">
        <v>15.6</v>
      </c>
      <c r="D19" s="241">
        <v>13.2</v>
      </c>
      <c r="E19" s="240">
        <v>14.948</v>
      </c>
      <c r="F19" s="241">
        <v>0</v>
      </c>
      <c r="G19" s="240">
        <v>13.4954</v>
      </c>
      <c r="H19" s="242">
        <f t="shared" ref="H19:H24" si="7">D19*0.9</f>
        <v>11.879999999999999</v>
      </c>
      <c r="I19" s="243">
        <v>36.299999999999997</v>
      </c>
      <c r="J19" s="244">
        <f t="shared" si="5"/>
        <v>69.12339999999999</v>
      </c>
      <c r="K19" s="245">
        <f>'Group 3 Cost'!I4</f>
        <v>0</v>
      </c>
      <c r="L19" s="246">
        <f>'Group 3 Cost'!D4</f>
        <v>9</v>
      </c>
      <c r="M19" s="247">
        <f>'Group 3 Cost'!E4</f>
        <v>0</v>
      </c>
      <c r="N19" s="248">
        <f>SUM('Group 3 Cost'!D4:E4)-K19</f>
        <v>9</v>
      </c>
      <c r="O19" s="246">
        <f>'Group 3 Cost'!F4</f>
        <v>0</v>
      </c>
      <c r="P19" s="247">
        <f>'Group 3 Cost'!G4</f>
        <v>0</v>
      </c>
      <c r="Q19" s="248">
        <f>SUM('Group 3 Cost'!F4:G4)</f>
        <v>0</v>
      </c>
      <c r="R19" s="245">
        <f>'Group 3 Cost'!H4-L19</f>
        <v>27.277236220472439</v>
      </c>
      <c r="S19" s="283">
        <f>3*50</f>
        <v>150</v>
      </c>
      <c r="T19" s="249">
        <v>150</v>
      </c>
      <c r="U19" s="249">
        <f t="shared" si="0"/>
        <v>61.879999999999995</v>
      </c>
      <c r="V19" s="249">
        <v>100</v>
      </c>
      <c r="W19" s="249">
        <f t="shared" si="1"/>
        <v>95.62</v>
      </c>
      <c r="X19" s="293">
        <f t="shared" si="2"/>
        <v>80.671999999999997</v>
      </c>
      <c r="Y19" s="283">
        <f t="shared" si="3"/>
        <v>0</v>
      </c>
      <c r="Z19" s="249">
        <f t="shared" si="4"/>
        <v>3.5359999999999996</v>
      </c>
      <c r="AA19" s="293">
        <f t="shared" si="6"/>
        <v>32.741236220472437</v>
      </c>
      <c r="AB19" s="303"/>
      <c r="AC19" s="154"/>
      <c r="AD19" s="168"/>
    </row>
    <row r="20" spans="1:32" x14ac:dyDescent="0.25">
      <c r="A20" s="238" t="s">
        <v>11</v>
      </c>
      <c r="B20" s="239" t="s">
        <v>75</v>
      </c>
      <c r="C20" s="240">
        <v>8.89</v>
      </c>
      <c r="D20" s="241">
        <v>10.3</v>
      </c>
      <c r="E20" s="240">
        <v>15.208</v>
      </c>
      <c r="F20" s="241">
        <v>0</v>
      </c>
      <c r="G20" s="240">
        <v>7.6025</v>
      </c>
      <c r="H20" s="242">
        <f t="shared" si="7"/>
        <v>9.2700000000000014</v>
      </c>
      <c r="I20" s="243">
        <v>27.2</v>
      </c>
      <c r="J20" s="244">
        <f t="shared" si="5"/>
        <v>51.270500000000006</v>
      </c>
      <c r="K20" s="245">
        <f>'Group 3 Cost'!I5</f>
        <v>0</v>
      </c>
      <c r="L20" s="246">
        <f>'Group 3 Cost'!D5</f>
        <v>5</v>
      </c>
      <c r="M20" s="247">
        <f>'Group 3 Cost'!E5</f>
        <v>0</v>
      </c>
      <c r="N20" s="248">
        <f>SUM('Group 3 Cost'!D5:E5)-K20</f>
        <v>5</v>
      </c>
      <c r="O20" s="246">
        <f>'Group 3 Cost'!F5</f>
        <v>0</v>
      </c>
      <c r="P20" s="247">
        <f>'Group 3 Cost'!G5</f>
        <v>0</v>
      </c>
      <c r="Q20" s="248">
        <f>SUM('Group 3 Cost'!F5:G5)</f>
        <v>0</v>
      </c>
      <c r="R20" s="245">
        <f>'Group 3 Cost'!H5-L20</f>
        <v>28.421464566929131</v>
      </c>
      <c r="S20" s="283">
        <f>2*50</f>
        <v>100</v>
      </c>
      <c r="T20" s="249">
        <v>100</v>
      </c>
      <c r="U20" s="249">
        <f t="shared" si="0"/>
        <v>59.27</v>
      </c>
      <c r="V20" s="249">
        <v>50</v>
      </c>
      <c r="W20" s="249">
        <f t="shared" si="1"/>
        <v>48.739999999999995</v>
      </c>
      <c r="X20" s="293">
        <f t="shared" si="2"/>
        <v>33.531999999999996</v>
      </c>
      <c r="Y20" s="283">
        <f t="shared" si="3"/>
        <v>0</v>
      </c>
      <c r="Z20" s="249">
        <f t="shared" si="4"/>
        <v>2.7437274326451262</v>
      </c>
      <c r="AA20" s="293">
        <f t="shared" si="6"/>
        <v>30.677737134284005</v>
      </c>
      <c r="AB20" s="303"/>
      <c r="AC20" s="154"/>
      <c r="AD20" s="168"/>
    </row>
    <row r="21" spans="1:32" x14ac:dyDescent="0.25">
      <c r="A21" s="238" t="s">
        <v>11</v>
      </c>
      <c r="B21" s="239" t="s">
        <v>76</v>
      </c>
      <c r="C21" s="240">
        <v>2.4</v>
      </c>
      <c r="D21" s="241">
        <v>5.5</v>
      </c>
      <c r="E21" s="240">
        <v>9.2850000000000001</v>
      </c>
      <c r="F21" s="241">
        <v>20.728999999999999</v>
      </c>
      <c r="G21" s="240">
        <v>14.031500000000001</v>
      </c>
      <c r="H21" s="242">
        <f t="shared" si="7"/>
        <v>4.95</v>
      </c>
      <c r="I21" s="243">
        <v>15.5</v>
      </c>
      <c r="J21" s="244">
        <f t="shared" si="5"/>
        <v>56.895500000000006</v>
      </c>
      <c r="K21" s="245">
        <f>'Group 3 Cost'!I6</f>
        <v>0</v>
      </c>
      <c r="L21" s="246">
        <f>'Group 3 Cost'!D6</f>
        <v>5</v>
      </c>
      <c r="M21" s="247">
        <f>'Group 3 Cost'!E6</f>
        <v>0</v>
      </c>
      <c r="N21" s="248">
        <f>SUM('Group 3 Cost'!D6:E6)-K21</f>
        <v>5</v>
      </c>
      <c r="O21" s="246">
        <f>'Group 3 Cost'!F6</f>
        <v>0</v>
      </c>
      <c r="P21" s="247">
        <f>'Group 3 Cost'!G6</f>
        <v>0</v>
      </c>
      <c r="Q21" s="248">
        <f>SUM('Group 3 Cost'!F6:G6)</f>
        <v>0</v>
      </c>
      <c r="R21" s="245">
        <f>'Group 3 Cost'!H6-L21</f>
        <v>13.763771653543305</v>
      </c>
      <c r="S21" s="283">
        <v>50</v>
      </c>
      <c r="T21" s="249">
        <v>50</v>
      </c>
      <c r="U21" s="249">
        <f t="shared" si="0"/>
        <v>7.45</v>
      </c>
      <c r="V21" s="249">
        <v>47.5</v>
      </c>
      <c r="W21" s="249">
        <f t="shared" si="1"/>
        <v>50.15</v>
      </c>
      <c r="X21" s="293">
        <f t="shared" si="2"/>
        <v>40.864999999999995</v>
      </c>
      <c r="Y21" s="283">
        <f t="shared" si="3"/>
        <v>0</v>
      </c>
      <c r="Z21" s="249">
        <f t="shared" si="4"/>
        <v>0.64670138888888895</v>
      </c>
      <c r="AA21" s="293">
        <f t="shared" si="6"/>
        <v>18.117070264654416</v>
      </c>
      <c r="AB21" s="303"/>
      <c r="AC21" s="154"/>
      <c r="AD21" s="168"/>
    </row>
    <row r="22" spans="1:32" x14ac:dyDescent="0.25">
      <c r="A22" s="238" t="s">
        <v>11</v>
      </c>
      <c r="B22" s="239" t="s">
        <v>77</v>
      </c>
      <c r="C22" s="240">
        <v>15.7</v>
      </c>
      <c r="D22" s="241">
        <v>9.8000000000000007</v>
      </c>
      <c r="E22" s="240">
        <v>3.7290000000000001</v>
      </c>
      <c r="F22" s="241">
        <v>0</v>
      </c>
      <c r="G22" s="240">
        <v>3.1206999999999998</v>
      </c>
      <c r="H22" s="242">
        <f t="shared" si="7"/>
        <v>8.82</v>
      </c>
      <c r="I22" s="243">
        <v>36.700000000000003</v>
      </c>
      <c r="J22" s="244">
        <f t="shared" si="5"/>
        <v>41.169699999999999</v>
      </c>
      <c r="K22" s="245">
        <f>'Group 3 Cost'!I7</f>
        <v>0</v>
      </c>
      <c r="L22" s="246">
        <f>'Group 3 Cost'!D7</f>
        <v>5</v>
      </c>
      <c r="M22" s="247">
        <f>'Group 3 Cost'!E7</f>
        <v>0</v>
      </c>
      <c r="N22" s="248">
        <f>SUM('Group 3 Cost'!D7:E7)-K22</f>
        <v>5</v>
      </c>
      <c r="O22" s="246">
        <f>'Group 3 Cost'!F7</f>
        <v>0</v>
      </c>
      <c r="P22" s="247">
        <f>'Group 3 Cost'!G7</f>
        <v>0</v>
      </c>
      <c r="Q22" s="248">
        <f>SUM('Group 3 Cost'!F7:G7)</f>
        <v>0</v>
      </c>
      <c r="R22" s="245">
        <f>'Group 3 Cost'!H7-L22</f>
        <v>25.807047244094488</v>
      </c>
      <c r="S22" s="283">
        <f>2*50+75</f>
        <v>175</v>
      </c>
      <c r="T22" s="249">
        <v>150</v>
      </c>
      <c r="U22" s="249">
        <f t="shared" si="0"/>
        <v>58.82</v>
      </c>
      <c r="V22" s="249">
        <v>100</v>
      </c>
      <c r="W22" s="249">
        <f t="shared" si="1"/>
        <v>102.38</v>
      </c>
      <c r="X22" s="293">
        <f t="shared" si="2"/>
        <v>98.650999999999996</v>
      </c>
      <c r="Y22" s="283">
        <f t="shared" si="3"/>
        <v>0</v>
      </c>
      <c r="Z22" s="249">
        <f t="shared" si="4"/>
        <v>1.8244416873449132</v>
      </c>
      <c r="AA22" s="293">
        <f t="shared" si="6"/>
        <v>28.982605556749576</v>
      </c>
      <c r="AB22" s="303"/>
      <c r="AC22" s="154"/>
      <c r="AD22" s="168"/>
    </row>
    <row r="23" spans="1:32" x14ac:dyDescent="0.25">
      <c r="A23" s="238" t="s">
        <v>11</v>
      </c>
      <c r="B23" s="239" t="s">
        <v>78</v>
      </c>
      <c r="C23" s="240">
        <v>10.199999999999999</v>
      </c>
      <c r="D23" s="241">
        <v>2.2999999999999998</v>
      </c>
      <c r="E23" s="240">
        <v>0.499</v>
      </c>
      <c r="F23" s="241">
        <v>5.9740000000000002</v>
      </c>
      <c r="G23" s="240">
        <v>3.7460000000000004</v>
      </c>
      <c r="H23" s="242">
        <f t="shared" si="7"/>
        <v>2.0699999999999998</v>
      </c>
      <c r="I23" s="243">
        <v>10</v>
      </c>
      <c r="J23" s="244">
        <f t="shared" si="5"/>
        <v>24.789000000000001</v>
      </c>
      <c r="K23" s="245">
        <f>'Group 3 Cost'!I8</f>
        <v>0</v>
      </c>
      <c r="L23" s="246">
        <v>1</v>
      </c>
      <c r="M23" s="247">
        <f>'Group 3 Cost'!E8</f>
        <v>0</v>
      </c>
      <c r="N23" s="248">
        <f>SUM('Group 3 Cost'!D8:E8)-K23</f>
        <v>5</v>
      </c>
      <c r="O23" s="246">
        <f>'Group 3 Cost'!F8</f>
        <v>0</v>
      </c>
      <c r="P23" s="247">
        <f>'Group 3 Cost'!G8</f>
        <v>0</v>
      </c>
      <c r="Q23" s="248">
        <f>SUM('Group 3 Cost'!F8:G8)</f>
        <v>0</v>
      </c>
      <c r="R23" s="245">
        <f>'Group 3 Cost'!H8-L23</f>
        <v>0.41146456692913391</v>
      </c>
      <c r="S23" s="283">
        <f>50</f>
        <v>50</v>
      </c>
      <c r="T23" s="249">
        <v>50</v>
      </c>
      <c r="U23" s="249">
        <f t="shared" si="0"/>
        <v>4.57</v>
      </c>
      <c r="V23" s="249">
        <v>47.5</v>
      </c>
      <c r="W23" s="249">
        <f t="shared" si="1"/>
        <v>42.93</v>
      </c>
      <c r="X23" s="293">
        <f t="shared" si="2"/>
        <v>42.430999999999997</v>
      </c>
      <c r="Y23" s="283">
        <f t="shared" si="3"/>
        <v>0</v>
      </c>
      <c r="Z23" s="249">
        <f t="shared" si="4"/>
        <v>0.4810526315789474</v>
      </c>
      <c r="AA23" s="293">
        <f t="shared" si="6"/>
        <v>4.9304119353501861</v>
      </c>
      <c r="AB23" s="303"/>
      <c r="AC23" s="154"/>
      <c r="AD23" s="168"/>
    </row>
    <row r="24" spans="1:32" ht="13.5" thickBot="1" x14ac:dyDescent="0.3">
      <c r="A24" s="238" t="s">
        <v>11</v>
      </c>
      <c r="B24" s="239" t="s">
        <v>79</v>
      </c>
      <c r="C24" s="240">
        <v>5.25</v>
      </c>
      <c r="D24" s="241">
        <v>4.5999999999999996</v>
      </c>
      <c r="E24" s="240">
        <v>30.305</v>
      </c>
      <c r="F24" s="241">
        <v>0.499</v>
      </c>
      <c r="G24" s="240">
        <v>16.143999999999998</v>
      </c>
      <c r="H24" s="242">
        <f t="shared" si="7"/>
        <v>4.1399999999999997</v>
      </c>
      <c r="I24" s="243">
        <v>12.2</v>
      </c>
      <c r="J24" s="244">
        <f t="shared" si="5"/>
        <v>60.938000000000002</v>
      </c>
      <c r="K24" s="245">
        <f>'Group 3 Cost'!I9</f>
        <v>0</v>
      </c>
      <c r="L24" s="246">
        <f>'Group 3 Cost'!D9</f>
        <v>11</v>
      </c>
      <c r="M24" s="247">
        <f>'Group 3 Cost'!E9</f>
        <v>0</v>
      </c>
      <c r="N24" s="248">
        <f>SUM('Group 3 Cost'!D9:E9)-K24</f>
        <v>11</v>
      </c>
      <c r="O24" s="246">
        <f>'Group 3 Cost'!F9</f>
        <v>0</v>
      </c>
      <c r="P24" s="247">
        <f>'Group 3 Cost'!G9</f>
        <v>0</v>
      </c>
      <c r="Q24" s="248">
        <f>SUM('Group 3 Cost'!F9:G9)</f>
        <v>0</v>
      </c>
      <c r="R24" s="245">
        <f>'Group 3 Cost'!H9-L24</f>
        <v>62.344220472440952</v>
      </c>
      <c r="S24" s="283">
        <v>50</v>
      </c>
      <c r="T24" s="249">
        <v>50</v>
      </c>
      <c r="U24" s="249">
        <f t="shared" si="0"/>
        <v>6.64</v>
      </c>
      <c r="V24" s="249">
        <v>47.5</v>
      </c>
      <c r="W24" s="249">
        <f t="shared" si="1"/>
        <v>45.71</v>
      </c>
      <c r="X24" s="293">
        <f t="shared" si="2"/>
        <v>15.405000000000001</v>
      </c>
      <c r="Y24" s="283">
        <f t="shared" si="3"/>
        <v>0</v>
      </c>
      <c r="Z24" s="249">
        <f t="shared" si="4"/>
        <v>1.3952244508118434</v>
      </c>
      <c r="AA24" s="293">
        <f t="shared" si="6"/>
        <v>71.948996021629114</v>
      </c>
      <c r="AB24" s="303"/>
      <c r="AC24" s="154"/>
      <c r="AD24" s="168"/>
    </row>
    <row r="25" spans="1:32" ht="13.5" thickBot="1" x14ac:dyDescent="0.3">
      <c r="A25" s="250" t="s">
        <v>15</v>
      </c>
      <c r="B25" s="251" t="s">
        <v>80</v>
      </c>
      <c r="C25" s="252">
        <v>25</v>
      </c>
      <c r="D25" s="253">
        <v>2.61</v>
      </c>
      <c r="E25" s="252">
        <v>12.747999999999999</v>
      </c>
      <c r="F25" s="253">
        <v>24.148</v>
      </c>
      <c r="G25" s="252">
        <v>24.0334</v>
      </c>
      <c r="H25" s="254">
        <v>2.6</v>
      </c>
      <c r="I25" s="255">
        <v>15.6</v>
      </c>
      <c r="J25" s="256">
        <f t="shared" si="5"/>
        <v>91.139399999999995</v>
      </c>
      <c r="K25" s="257">
        <f>'Group 7 Cost'!I4</f>
        <v>0</v>
      </c>
      <c r="L25" s="258">
        <f>'Group 7 Cost'!D4</f>
        <v>6</v>
      </c>
      <c r="M25" s="259">
        <f>'Group 7 Cost'!E4</f>
        <v>49</v>
      </c>
      <c r="N25" s="260">
        <f>SUM('Group 7 Cost'!D4:E4)-K25</f>
        <v>55</v>
      </c>
      <c r="O25" s="273">
        <f>'Group 7 Cost'!F4</f>
        <v>31.2</v>
      </c>
      <c r="P25" s="259">
        <f>'Group 7 Cost'!G4</f>
        <v>0</v>
      </c>
      <c r="Q25" s="261">
        <f>SUM('Group 7 Cost'!F4:G4)</f>
        <v>31.2</v>
      </c>
      <c r="R25" s="257">
        <f>'Group 7 Cost'!H4</f>
        <v>21</v>
      </c>
      <c r="S25" s="284">
        <v>55</v>
      </c>
      <c r="T25" s="262">
        <v>187.5</v>
      </c>
      <c r="U25" s="262">
        <f t="shared" si="0"/>
        <v>65.099999999999994</v>
      </c>
      <c r="V25" s="262">
        <v>125</v>
      </c>
      <c r="W25" s="262">
        <f t="shared" si="1"/>
        <v>110.39</v>
      </c>
      <c r="X25" s="294">
        <f t="shared" si="2"/>
        <v>97.641999999999996</v>
      </c>
      <c r="Y25" s="284">
        <f t="shared" si="3"/>
        <v>31.2</v>
      </c>
      <c r="Z25" s="262">
        <f t="shared" si="4"/>
        <v>20.402871958516151</v>
      </c>
      <c r="AA25" s="294">
        <f t="shared" si="6"/>
        <v>55.597128041483842</v>
      </c>
      <c r="AB25" s="310" t="s">
        <v>70</v>
      </c>
      <c r="AC25" s="154"/>
      <c r="AD25" s="168"/>
    </row>
    <row r="26" spans="1:32" ht="21.75" thickBot="1" x14ac:dyDescent="0.3">
      <c r="A26" s="373" t="s">
        <v>81</v>
      </c>
      <c r="B26" s="374"/>
      <c r="C26" s="263">
        <f t="shared" ref="C26:AA26" si="8">SUM(C4:C25)</f>
        <v>286.411</v>
      </c>
      <c r="D26" s="264">
        <f t="shared" si="8"/>
        <v>103.86199999999999</v>
      </c>
      <c r="E26" s="263">
        <f t="shared" si="8"/>
        <v>348.17780000000005</v>
      </c>
      <c r="F26" s="264">
        <f t="shared" si="8"/>
        <v>116.52799999999999</v>
      </c>
      <c r="G26" s="263">
        <f t="shared" si="8"/>
        <v>267.15440000000001</v>
      </c>
      <c r="H26" s="265">
        <f t="shared" si="8"/>
        <v>98.399999999999991</v>
      </c>
      <c r="I26" s="266">
        <f t="shared" si="8"/>
        <v>286.05199999999996</v>
      </c>
      <c r="J26" s="267">
        <f t="shared" si="8"/>
        <v>1220.5331999999999</v>
      </c>
      <c r="K26" s="268">
        <f>SUM(K4:K25)</f>
        <v>14</v>
      </c>
      <c r="L26" s="269">
        <f t="shared" si="8"/>
        <v>138</v>
      </c>
      <c r="M26" s="270">
        <f t="shared" si="8"/>
        <v>408.8</v>
      </c>
      <c r="N26" s="274">
        <f t="shared" si="8"/>
        <v>541.79999999999995</v>
      </c>
      <c r="O26" s="271">
        <f t="shared" si="8"/>
        <v>173.5</v>
      </c>
      <c r="P26" s="272">
        <f t="shared" si="8"/>
        <v>58</v>
      </c>
      <c r="Q26" s="274">
        <f t="shared" si="8"/>
        <v>231.49999999999997</v>
      </c>
      <c r="R26" s="275">
        <f t="shared" si="8"/>
        <v>402.62520472440934</v>
      </c>
      <c r="S26" s="285">
        <f t="shared" si="8"/>
        <v>1525</v>
      </c>
      <c r="T26" s="286">
        <f t="shared" si="8"/>
        <v>2747.5</v>
      </c>
      <c r="U26" s="286">
        <f t="shared" si="8"/>
        <v>1087.6500000000001</v>
      </c>
      <c r="V26" s="286">
        <f t="shared" si="8"/>
        <v>1758.25</v>
      </c>
      <c r="W26" s="286">
        <f>SUM(W4:W25)</f>
        <v>1555.6290000000004</v>
      </c>
      <c r="X26" s="295">
        <f t="shared" si="8"/>
        <v>1207.4512000000004</v>
      </c>
      <c r="Y26" s="307">
        <f t="shared" si="8"/>
        <v>231.49999999999997</v>
      </c>
      <c r="Z26" s="308">
        <f t="shared" si="8"/>
        <v>229.40973355912385</v>
      </c>
      <c r="AA26" s="275">
        <f t="shared" si="8"/>
        <v>715.01547116528559</v>
      </c>
      <c r="AB26" s="304"/>
    </row>
    <row r="27" spans="1:32" ht="38.25" customHeight="1" thickBot="1" x14ac:dyDescent="0.3">
      <c r="I27" s="309" t="s">
        <v>82</v>
      </c>
      <c r="J27" s="132">
        <f>J26/I26</f>
        <v>4.2668228154321595</v>
      </c>
    </row>
    <row r="28" spans="1:32" ht="13.5" thickTop="1" x14ac:dyDescent="0.25">
      <c r="X28" s="319"/>
    </row>
    <row r="30" spans="1:32" ht="13.5" thickBot="1" x14ac:dyDescent="0.3">
      <c r="C30" s="148"/>
    </row>
    <row r="31" spans="1:32" ht="37.5" thickTop="1" thickBot="1" x14ac:dyDescent="0.3">
      <c r="C31" s="148"/>
      <c r="N31" s="328" t="s">
        <v>83</v>
      </c>
      <c r="O31" s="329" t="s">
        <v>84</v>
      </c>
      <c r="P31" s="329" t="s">
        <v>85</v>
      </c>
      <c r="Q31" s="329" t="s">
        <v>86</v>
      </c>
      <c r="R31" s="329" t="s">
        <v>87</v>
      </c>
      <c r="S31" s="330"/>
    </row>
    <row r="32" spans="1:32" ht="13.5" thickTop="1" x14ac:dyDescent="0.25">
      <c r="C32" s="148"/>
      <c r="N32" s="331" t="s">
        <v>88</v>
      </c>
      <c r="O32" s="332" t="s">
        <v>89</v>
      </c>
      <c r="P32" s="331">
        <v>17</v>
      </c>
      <c r="Q32" s="332">
        <v>61</v>
      </c>
      <c r="R32" s="333">
        <v>44470</v>
      </c>
      <c r="S32" s="334"/>
    </row>
    <row r="33" spans="3:19" x14ac:dyDescent="0.25">
      <c r="C33" s="148"/>
      <c r="N33" s="335" t="s">
        <v>90</v>
      </c>
      <c r="O33" s="336" t="s">
        <v>89</v>
      </c>
      <c r="P33" s="335">
        <v>40</v>
      </c>
      <c r="Q33" s="336">
        <v>125</v>
      </c>
      <c r="R33" s="337">
        <v>44470</v>
      </c>
      <c r="S33" s="338"/>
    </row>
    <row r="34" spans="3:19" ht="13.5" thickBot="1" x14ac:dyDescent="0.3">
      <c r="C34" s="148"/>
      <c r="N34" s="339" t="s">
        <v>91</v>
      </c>
      <c r="O34" s="340" t="s">
        <v>89</v>
      </c>
      <c r="P34" s="339">
        <v>59</v>
      </c>
      <c r="Q34" s="340">
        <v>81</v>
      </c>
      <c r="R34" s="341">
        <v>44470</v>
      </c>
      <c r="S34" s="342"/>
    </row>
    <row r="35" spans="3:19" ht="14.25" thickTop="1" thickBot="1" x14ac:dyDescent="0.3">
      <c r="C35" s="148"/>
      <c r="N35" s="343" t="s">
        <v>92</v>
      </c>
      <c r="O35" s="344" t="s">
        <v>89</v>
      </c>
      <c r="P35" s="343">
        <v>6</v>
      </c>
      <c r="Q35" s="344">
        <v>22</v>
      </c>
      <c r="R35" s="345">
        <v>44409</v>
      </c>
      <c r="S35" s="346"/>
    </row>
    <row r="36" spans="3:19" ht="13.5" thickTop="1" x14ac:dyDescent="0.25">
      <c r="C36" s="148"/>
      <c r="N36" s="347" t="s">
        <v>93</v>
      </c>
      <c r="O36" s="348" t="s">
        <v>89</v>
      </c>
      <c r="P36" s="347">
        <v>6</v>
      </c>
      <c r="Q36" s="348">
        <v>19</v>
      </c>
      <c r="R36" s="349">
        <v>44409</v>
      </c>
      <c r="S36" s="350"/>
    </row>
    <row r="37" spans="3:19" x14ac:dyDescent="0.25">
      <c r="C37" s="148"/>
      <c r="N37" s="351" t="s">
        <v>94</v>
      </c>
      <c r="O37" s="352" t="s">
        <v>89</v>
      </c>
      <c r="P37" s="351">
        <v>14</v>
      </c>
      <c r="Q37" s="352">
        <v>55</v>
      </c>
      <c r="R37" s="353">
        <v>44409</v>
      </c>
      <c r="S37" s="354"/>
    </row>
    <row r="38" spans="3:19" ht="13.5" thickBot="1" x14ac:dyDescent="0.3">
      <c r="C38" s="148"/>
      <c r="N38" s="355" t="s">
        <v>95</v>
      </c>
      <c r="O38" s="356" t="s">
        <v>96</v>
      </c>
      <c r="P38" s="357">
        <v>3</v>
      </c>
      <c r="Q38" s="356">
        <v>13</v>
      </c>
      <c r="R38" s="358" t="s">
        <v>97</v>
      </c>
      <c r="S38" s="359"/>
    </row>
    <row r="39" spans="3:19" ht="13.5" thickTop="1" x14ac:dyDescent="0.25">
      <c r="C39" s="148"/>
    </row>
    <row r="40" spans="3:19" x14ac:dyDescent="0.25">
      <c r="C40" s="148"/>
    </row>
    <row r="41" spans="3:19" x14ac:dyDescent="0.25">
      <c r="C41" s="148"/>
    </row>
    <row r="42" spans="3:19" x14ac:dyDescent="0.25">
      <c r="C42" s="148"/>
    </row>
    <row r="43" spans="3:19" x14ac:dyDescent="0.25">
      <c r="C43" s="148"/>
    </row>
    <row r="44" spans="3:19" x14ac:dyDescent="0.25">
      <c r="C44" s="148"/>
    </row>
    <row r="45" spans="3:19" x14ac:dyDescent="0.25">
      <c r="C45" s="148"/>
    </row>
    <row r="46" spans="3:19" x14ac:dyDescent="0.25">
      <c r="C46" s="148"/>
    </row>
    <row r="47" spans="3:19" x14ac:dyDescent="0.25">
      <c r="C47" s="148"/>
    </row>
    <row r="48" spans="3:19" x14ac:dyDescent="0.25">
      <c r="C48" s="148"/>
    </row>
    <row r="49" spans="3:3" x14ac:dyDescent="0.25">
      <c r="C49" s="148"/>
    </row>
    <row r="50" spans="3:3" x14ac:dyDescent="0.25">
      <c r="C50" s="148"/>
    </row>
    <row r="51" spans="3:3" x14ac:dyDescent="0.25">
      <c r="C51" s="148"/>
    </row>
    <row r="52" spans="3:3" x14ac:dyDescent="0.25">
      <c r="C52" s="148"/>
    </row>
    <row r="53" spans="3:3" x14ac:dyDescent="0.25">
      <c r="C53" s="148"/>
    </row>
    <row r="54" spans="3:3" x14ac:dyDescent="0.25">
      <c r="C54" s="148"/>
    </row>
    <row r="55" spans="3:3" x14ac:dyDescent="0.25">
      <c r="C55" s="148"/>
    </row>
  </sheetData>
  <mergeCells count="9">
    <mergeCell ref="O2:Q2"/>
    <mergeCell ref="L2:N2"/>
    <mergeCell ref="S2:X2"/>
    <mergeCell ref="Y2:AA2"/>
    <mergeCell ref="A26:B26"/>
    <mergeCell ref="E2:F2"/>
    <mergeCell ref="G2:H2"/>
    <mergeCell ref="C2:D2"/>
    <mergeCell ref="I2:J2"/>
  </mergeCells>
  <pageMargins left="0.7" right="0.7" top="0.75" bottom="0.75" header="0.3" footer="0.3"/>
  <pageSetup orientation="portrait"/>
  <ignoredErrors>
    <ignoredError sqref="N9 Q4:Q25 N11:N23 N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5734-583C-4DEA-8F72-DBE5AF0538DD}">
  <sheetPr>
    <tabColor theme="8" tint="0.79998168889431442"/>
  </sheetPr>
  <dimension ref="B1:L8"/>
  <sheetViews>
    <sheetView zoomScale="85" zoomScaleNormal="85" workbookViewId="0">
      <selection activeCell="C36" sqref="C36"/>
    </sheetView>
  </sheetViews>
  <sheetFormatPr defaultColWidth="9.140625" defaultRowHeight="12.75" x14ac:dyDescent="0.25"/>
  <cols>
    <col min="1" max="1" width="18.5703125" style="1" customWidth="1"/>
    <col min="2" max="2" width="23.42578125" style="1" bestFit="1" customWidth="1"/>
    <col min="3" max="3" width="24" style="1" customWidth="1"/>
    <col min="4" max="4" width="14" style="1" customWidth="1"/>
    <col min="5" max="5" width="16.28515625" style="1" customWidth="1"/>
    <col min="6" max="6" width="15" style="1" customWidth="1"/>
    <col min="7" max="7" width="13.42578125" style="1" customWidth="1"/>
    <col min="8" max="8" width="28.140625" style="1" customWidth="1"/>
    <col min="9" max="9" width="23.140625" style="1" customWidth="1"/>
    <col min="10" max="10" width="46.140625" style="1" customWidth="1"/>
    <col min="11" max="11" width="11.140625" style="1" customWidth="1"/>
    <col min="12" max="16384" width="9.140625" style="1"/>
  </cols>
  <sheetData>
    <row r="1" spans="2:12" ht="90" customHeight="1" thickBot="1" x14ac:dyDescent="0.3">
      <c r="D1" s="4" t="s">
        <v>18</v>
      </c>
      <c r="E1" s="4" t="s">
        <v>18</v>
      </c>
      <c r="F1" s="4" t="s">
        <v>18</v>
      </c>
      <c r="G1" s="4" t="s">
        <v>18</v>
      </c>
      <c r="H1" s="4" t="s">
        <v>19</v>
      </c>
      <c r="I1" s="4" t="s">
        <v>98</v>
      </c>
    </row>
    <row r="2" spans="2:12" s="2" customFormat="1" ht="50.25" customHeight="1" thickTop="1" thickBot="1" x14ac:dyDescent="0.3">
      <c r="D2" s="382" t="s">
        <v>99</v>
      </c>
      <c r="E2" s="383"/>
      <c r="F2" s="48"/>
      <c r="G2" s="47"/>
      <c r="H2" s="28" t="s">
        <v>100</v>
      </c>
      <c r="I2" s="28"/>
    </row>
    <row r="3" spans="2:12" ht="69.75" customHeight="1" thickTop="1" x14ac:dyDescent="0.25">
      <c r="B3" s="72" t="s">
        <v>30</v>
      </c>
      <c r="C3" s="73" t="s">
        <v>31</v>
      </c>
      <c r="D3" s="74" t="s">
        <v>41</v>
      </c>
      <c r="E3" s="74" t="s">
        <v>42</v>
      </c>
      <c r="F3" s="74" t="s">
        <v>44</v>
      </c>
      <c r="G3" s="74" t="s">
        <v>45</v>
      </c>
      <c r="H3" s="74" t="s">
        <v>47</v>
      </c>
      <c r="I3" s="74" t="s">
        <v>101</v>
      </c>
      <c r="J3" s="75" t="s">
        <v>55</v>
      </c>
    </row>
    <row r="4" spans="2:12" x14ac:dyDescent="0.25">
      <c r="B4" s="76" t="s">
        <v>9</v>
      </c>
      <c r="C4" s="77" t="s">
        <v>56</v>
      </c>
      <c r="D4" s="78">
        <v>1</v>
      </c>
      <c r="E4" s="78">
        <v>3</v>
      </c>
      <c r="F4" s="79"/>
      <c r="G4" s="79"/>
      <c r="H4" s="79">
        <v>3.5383529578663637</v>
      </c>
      <c r="I4" s="80"/>
      <c r="J4" s="81"/>
      <c r="K4" s="8"/>
      <c r="L4" s="3"/>
    </row>
    <row r="5" spans="2:12" x14ac:dyDescent="0.25">
      <c r="B5" s="76" t="s">
        <v>9</v>
      </c>
      <c r="C5" s="82" t="s">
        <v>57</v>
      </c>
      <c r="D5" s="78">
        <v>4</v>
      </c>
      <c r="E5" s="78">
        <v>33</v>
      </c>
      <c r="F5" s="79"/>
      <c r="G5" s="79">
        <v>12</v>
      </c>
      <c r="H5" s="79">
        <f>11.9697738281012+1.9</f>
        <v>13.8697738281012</v>
      </c>
      <c r="I5" s="80"/>
      <c r="J5" s="81"/>
      <c r="K5" s="8"/>
      <c r="L5" s="3"/>
    </row>
    <row r="6" spans="2:12" x14ac:dyDescent="0.25">
      <c r="B6" s="76" t="s">
        <v>9</v>
      </c>
      <c r="C6" s="82" t="s">
        <v>59</v>
      </c>
      <c r="D6" s="78">
        <v>8</v>
      </c>
      <c r="E6" s="78">
        <v>41</v>
      </c>
      <c r="F6" s="79"/>
      <c r="G6" s="79"/>
      <c r="H6" s="79">
        <v>39.660178748758682</v>
      </c>
      <c r="I6" s="80">
        <v>2</v>
      </c>
      <c r="J6" s="81"/>
      <c r="K6" s="8"/>
      <c r="L6" s="3"/>
    </row>
    <row r="7" spans="2:12" ht="13.5" thickBot="1" x14ac:dyDescent="0.3">
      <c r="B7" s="83" t="s">
        <v>9</v>
      </c>
      <c r="C7" s="84" t="s">
        <v>60</v>
      </c>
      <c r="D7" s="85">
        <v>14</v>
      </c>
      <c r="E7" s="85">
        <v>12</v>
      </c>
      <c r="F7" s="86"/>
      <c r="G7" s="86"/>
      <c r="H7" s="86">
        <f>21.9316944652737+1</f>
        <v>22.931694465273701</v>
      </c>
      <c r="I7" s="87"/>
      <c r="J7" s="88"/>
      <c r="K7" s="8"/>
      <c r="L7" s="3"/>
    </row>
    <row r="8" spans="2:12" ht="13.5" thickTop="1" x14ac:dyDescent="0.25">
      <c r="H8" s="327">
        <f>SUM(H4:H7)</f>
        <v>79.999999999999943</v>
      </c>
    </row>
  </sheetData>
  <mergeCells count="1">
    <mergeCell ref="D2:E2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7B8BD-FDD5-43F1-8B14-84DCF363260B}">
  <sheetPr>
    <tabColor theme="5" tint="0.79998168889431442"/>
  </sheetPr>
  <dimension ref="A1:N41"/>
  <sheetViews>
    <sheetView zoomScale="85" zoomScaleNormal="85" workbookViewId="0">
      <selection activeCell="E35" sqref="E34:E35"/>
    </sheetView>
  </sheetViews>
  <sheetFormatPr defaultColWidth="9.140625" defaultRowHeight="12.75" x14ac:dyDescent="0.25"/>
  <cols>
    <col min="1" max="1" width="18.5703125" style="1" customWidth="1"/>
    <col min="2" max="2" width="19" style="1" customWidth="1"/>
    <col min="3" max="3" width="24" style="1" customWidth="1"/>
    <col min="4" max="4" width="14" style="1" customWidth="1"/>
    <col min="5" max="5" width="18.28515625" style="1" customWidth="1"/>
    <col min="6" max="6" width="15" style="1" customWidth="1"/>
    <col min="7" max="7" width="13.42578125" style="1" customWidth="1"/>
    <col min="8" max="8" width="18.42578125" style="1" customWidth="1"/>
    <col min="9" max="9" width="17.28515625" style="1" customWidth="1"/>
    <col min="10" max="10" width="46.140625" style="1" customWidth="1"/>
    <col min="11" max="11" width="11.140625" style="1" customWidth="1"/>
    <col min="12" max="16384" width="9.140625" style="1"/>
  </cols>
  <sheetData>
    <row r="1" spans="1:14" ht="90" customHeight="1" thickBot="1" x14ac:dyDescent="0.3">
      <c r="D1" s="4" t="s">
        <v>18</v>
      </c>
      <c r="E1" s="4" t="s">
        <v>18</v>
      </c>
      <c r="F1" s="4" t="s">
        <v>18</v>
      </c>
      <c r="G1" s="4" t="s">
        <v>18</v>
      </c>
      <c r="H1" s="4" t="s">
        <v>19</v>
      </c>
      <c r="I1" s="4" t="s">
        <v>98</v>
      </c>
    </row>
    <row r="2" spans="1:14" s="2" customFormat="1" ht="50.25" customHeight="1" thickTop="1" thickBot="1" x14ac:dyDescent="0.3">
      <c r="D2" s="382" t="s">
        <v>99</v>
      </c>
      <c r="E2" s="383"/>
      <c r="F2" s="384"/>
      <c r="G2" s="385"/>
      <c r="H2" s="28" t="s">
        <v>100</v>
      </c>
      <c r="I2" s="28"/>
    </row>
    <row r="3" spans="1:14" ht="69.75" customHeight="1" thickTop="1" thickBot="1" x14ac:dyDescent="0.3">
      <c r="B3" s="49" t="s">
        <v>30</v>
      </c>
      <c r="C3" s="50" t="s">
        <v>31</v>
      </c>
      <c r="D3" s="51" t="s">
        <v>41</v>
      </c>
      <c r="E3" s="51" t="s">
        <v>42</v>
      </c>
      <c r="F3" s="51" t="s">
        <v>44</v>
      </c>
      <c r="G3" s="51" t="s">
        <v>45</v>
      </c>
      <c r="H3" s="51" t="s">
        <v>47</v>
      </c>
      <c r="I3" s="51" t="s">
        <v>101</v>
      </c>
      <c r="J3" s="52" t="s">
        <v>55</v>
      </c>
    </row>
    <row r="4" spans="1:14" ht="12" customHeight="1" thickTop="1" x14ac:dyDescent="0.25">
      <c r="B4" s="53" t="s">
        <v>10</v>
      </c>
      <c r="C4" s="54" t="s">
        <v>61</v>
      </c>
      <c r="D4" s="55">
        <v>2</v>
      </c>
      <c r="E4" s="55">
        <v>3</v>
      </c>
      <c r="F4" s="101"/>
      <c r="G4" s="56"/>
      <c r="H4" s="56">
        <v>5.4189164750561911</v>
      </c>
      <c r="I4" s="57"/>
      <c r="J4" s="58"/>
      <c r="K4" s="8"/>
      <c r="L4" s="3"/>
    </row>
    <row r="5" spans="1:14" ht="11.25" customHeight="1" x14ac:dyDescent="0.25">
      <c r="B5" s="59" t="s">
        <v>10</v>
      </c>
      <c r="C5" s="60" t="s">
        <v>62</v>
      </c>
      <c r="D5" s="61">
        <v>19</v>
      </c>
      <c r="E5" s="61">
        <v>61</v>
      </c>
      <c r="F5" s="102">
        <v>1.5</v>
      </c>
      <c r="G5" s="62"/>
      <c r="H5" s="62">
        <v>52.92082181517555</v>
      </c>
      <c r="I5" s="63">
        <v>2</v>
      </c>
      <c r="J5" s="64"/>
      <c r="K5" s="8"/>
      <c r="L5" s="3"/>
    </row>
    <row r="6" spans="1:14" x14ac:dyDescent="0.25">
      <c r="B6" s="59" t="s">
        <v>10</v>
      </c>
      <c r="C6" s="65" t="s">
        <v>64</v>
      </c>
      <c r="D6" s="61">
        <v>1</v>
      </c>
      <c r="E6" s="61">
        <v>6</v>
      </c>
      <c r="F6" s="102"/>
      <c r="G6" s="62"/>
      <c r="H6" s="62">
        <v>6.237566848373679</v>
      </c>
      <c r="I6" s="63"/>
      <c r="J6" s="64"/>
      <c r="K6" s="8"/>
      <c r="L6" s="3"/>
    </row>
    <row r="7" spans="1:14" x14ac:dyDescent="0.25">
      <c r="B7" s="59" t="s">
        <v>10</v>
      </c>
      <c r="C7" s="60" t="s">
        <v>65</v>
      </c>
      <c r="D7" s="61">
        <v>22</v>
      </c>
      <c r="E7" s="61">
        <v>33</v>
      </c>
      <c r="F7" s="102">
        <v>33.6</v>
      </c>
      <c r="G7" s="62"/>
      <c r="H7" s="62">
        <v>22.289250006458783</v>
      </c>
      <c r="I7" s="63"/>
      <c r="J7" s="64"/>
      <c r="K7" s="8"/>
      <c r="L7" s="3"/>
    </row>
    <row r="8" spans="1:14" x14ac:dyDescent="0.25">
      <c r="B8" s="59" t="s">
        <v>10</v>
      </c>
      <c r="C8" s="60" t="s">
        <v>66</v>
      </c>
      <c r="D8" s="61">
        <v>2</v>
      </c>
      <c r="E8" s="61">
        <v>38</v>
      </c>
      <c r="F8" s="102">
        <v>32.799999999999997</v>
      </c>
      <c r="G8" s="62">
        <v>6</v>
      </c>
      <c r="H8" s="62">
        <v>22.289250006458783</v>
      </c>
      <c r="I8" s="63"/>
      <c r="J8" s="64"/>
      <c r="K8" s="8"/>
      <c r="L8" s="3"/>
    </row>
    <row r="9" spans="1:14" x14ac:dyDescent="0.25">
      <c r="B9" s="59" t="s">
        <v>10</v>
      </c>
      <c r="C9" s="65" t="s">
        <v>67</v>
      </c>
      <c r="D9" s="61">
        <v>0</v>
      </c>
      <c r="E9" s="61"/>
      <c r="F9" s="102"/>
      <c r="G9" s="62"/>
      <c r="H9" s="62">
        <v>8.0880073371741545</v>
      </c>
      <c r="I9" s="63"/>
      <c r="J9" s="64"/>
      <c r="K9" s="8"/>
      <c r="L9" s="3"/>
    </row>
    <row r="10" spans="1:14" ht="13.5" thickBot="1" x14ac:dyDescent="0.3">
      <c r="B10" s="66" t="s">
        <v>10</v>
      </c>
      <c r="C10" s="67" t="s">
        <v>68</v>
      </c>
      <c r="D10" s="68">
        <v>4</v>
      </c>
      <c r="E10" s="68"/>
      <c r="F10" s="103"/>
      <c r="G10" s="69"/>
      <c r="H10" s="69">
        <v>7.7561875113028638</v>
      </c>
      <c r="I10" s="70"/>
      <c r="J10" s="71"/>
      <c r="K10" s="8"/>
      <c r="L10" s="3"/>
    </row>
    <row r="11" spans="1:14" ht="13.5" thickTop="1" x14ac:dyDescent="0.25">
      <c r="H11" s="327">
        <f>SUM(H4:H10)</f>
        <v>125.00000000000003</v>
      </c>
    </row>
    <row r="15" spans="1:14" s="3" customForma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s="3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3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s="3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3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3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3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3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3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3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3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3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3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3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3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3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s="3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s="3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s="3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3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s="3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s="3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s="3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s="3" customForma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s="3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s="3" customForma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s="3" customForma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2">
    <mergeCell ref="F2:G2"/>
    <mergeCell ref="D2:E2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EEA1C-82AB-42EC-B864-C3FC74CB8CD3}">
  <sheetPr>
    <tabColor theme="9" tint="0.79998168889431442"/>
  </sheetPr>
  <dimension ref="A1:N35"/>
  <sheetViews>
    <sheetView zoomScale="85" zoomScaleNormal="85" workbookViewId="0">
      <selection activeCell="H31" sqref="H31"/>
    </sheetView>
  </sheetViews>
  <sheetFormatPr defaultColWidth="9.140625" defaultRowHeight="12.75" x14ac:dyDescent="0.25"/>
  <cols>
    <col min="1" max="1" width="18.5703125" style="1" customWidth="1"/>
    <col min="2" max="2" width="19" style="1" customWidth="1"/>
    <col min="3" max="3" width="24" style="1" customWidth="1"/>
    <col min="4" max="4" width="14" style="1" customWidth="1"/>
    <col min="5" max="5" width="16.28515625" style="1" customWidth="1"/>
    <col min="6" max="6" width="15" style="1" customWidth="1"/>
    <col min="7" max="7" width="13.42578125" style="1" customWidth="1"/>
    <col min="8" max="8" width="18.42578125" style="1" customWidth="1"/>
    <col min="9" max="9" width="15.5703125" style="1" customWidth="1"/>
    <col min="10" max="10" width="46.140625" style="1" customWidth="1"/>
    <col min="11" max="11" width="11.140625" style="1" customWidth="1"/>
    <col min="12" max="16384" width="9.140625" style="1"/>
  </cols>
  <sheetData>
    <row r="1" spans="1:14" ht="90" customHeight="1" thickBot="1" x14ac:dyDescent="0.3">
      <c r="D1" s="4" t="s">
        <v>18</v>
      </c>
      <c r="E1" s="4" t="s">
        <v>18</v>
      </c>
      <c r="F1" s="4" t="s">
        <v>18</v>
      </c>
      <c r="G1" s="4" t="s">
        <v>18</v>
      </c>
      <c r="H1" s="4" t="s">
        <v>19</v>
      </c>
      <c r="I1" s="4" t="s">
        <v>98</v>
      </c>
    </row>
    <row r="2" spans="1:14" s="2" customFormat="1" ht="50.25" customHeight="1" thickTop="1" thickBot="1" x14ac:dyDescent="0.3">
      <c r="D2" s="382" t="s">
        <v>99</v>
      </c>
      <c r="E2" s="383"/>
      <c r="F2" s="384"/>
      <c r="G2" s="385"/>
      <c r="H2" s="28" t="s">
        <v>100</v>
      </c>
      <c r="I2" s="28"/>
    </row>
    <row r="3" spans="1:14" ht="69.75" customHeight="1" thickTop="1" x14ac:dyDescent="0.25">
      <c r="B3" s="72" t="s">
        <v>30</v>
      </c>
      <c r="C3" s="73" t="s">
        <v>31</v>
      </c>
      <c r="D3" s="74" t="s">
        <v>41</v>
      </c>
      <c r="E3" s="74" t="s">
        <v>42</v>
      </c>
      <c r="F3" s="74" t="s">
        <v>44</v>
      </c>
      <c r="G3" s="74" t="s">
        <v>45</v>
      </c>
      <c r="H3" s="74" t="s">
        <v>47</v>
      </c>
      <c r="I3" s="74" t="s">
        <v>101</v>
      </c>
      <c r="J3" s="75" t="s">
        <v>55</v>
      </c>
    </row>
    <row r="4" spans="1:14" x14ac:dyDescent="0.25">
      <c r="B4" s="89" t="s">
        <v>11</v>
      </c>
      <c r="C4" s="14" t="s">
        <v>74</v>
      </c>
      <c r="D4" s="15">
        <v>9</v>
      </c>
      <c r="E4" s="15"/>
      <c r="F4" s="90"/>
      <c r="G4" s="91"/>
      <c r="H4" s="91">
        <v>36.277236220472439</v>
      </c>
      <c r="I4" s="92"/>
      <c r="J4" s="93"/>
      <c r="K4" s="8"/>
      <c r="L4" s="3"/>
    </row>
    <row r="5" spans="1:14" x14ac:dyDescent="0.25">
      <c r="B5" s="89" t="s">
        <v>11</v>
      </c>
      <c r="C5" s="14" t="s">
        <v>75</v>
      </c>
      <c r="D5" s="15">
        <v>5</v>
      </c>
      <c r="E5" s="15"/>
      <c r="F5" s="90"/>
      <c r="G5" s="91"/>
      <c r="H5" s="91">
        <v>33.421464566929131</v>
      </c>
      <c r="I5" s="92"/>
      <c r="J5" s="93"/>
      <c r="K5" s="8"/>
      <c r="L5" s="3"/>
    </row>
    <row r="6" spans="1:14" x14ac:dyDescent="0.25">
      <c r="B6" s="89" t="s">
        <v>11</v>
      </c>
      <c r="C6" s="14" t="s">
        <v>76</v>
      </c>
      <c r="D6" s="15">
        <v>5</v>
      </c>
      <c r="E6" s="15"/>
      <c r="F6" s="90"/>
      <c r="G6" s="91"/>
      <c r="H6" s="91">
        <v>18.763771653543305</v>
      </c>
      <c r="I6" s="92"/>
      <c r="J6" s="93"/>
      <c r="K6" s="8"/>
      <c r="L6" s="3"/>
    </row>
    <row r="7" spans="1:14" x14ac:dyDescent="0.25">
      <c r="B7" s="89" t="s">
        <v>11</v>
      </c>
      <c r="C7" s="14" t="s">
        <v>77</v>
      </c>
      <c r="D7" s="15">
        <v>5</v>
      </c>
      <c r="E7" s="15"/>
      <c r="F7" s="90"/>
      <c r="G7" s="91"/>
      <c r="H7" s="91">
        <v>30.807047244094488</v>
      </c>
      <c r="I7" s="92"/>
      <c r="J7" s="93"/>
      <c r="K7" s="8"/>
      <c r="L7" s="3"/>
    </row>
    <row r="8" spans="1:14" x14ac:dyDescent="0.25">
      <c r="B8" s="89" t="s">
        <v>11</v>
      </c>
      <c r="C8" s="14" t="s">
        <v>78</v>
      </c>
      <c r="D8" s="15">
        <v>5</v>
      </c>
      <c r="E8" s="15"/>
      <c r="F8" s="90"/>
      <c r="G8" s="91"/>
      <c r="H8" s="91">
        <v>1.4114645669291339</v>
      </c>
      <c r="I8" s="92"/>
      <c r="J8" s="93"/>
      <c r="K8" s="8"/>
      <c r="L8" s="3"/>
    </row>
    <row r="9" spans="1:14" ht="13.5" thickBot="1" x14ac:dyDescent="0.3">
      <c r="B9" s="94" t="s">
        <v>11</v>
      </c>
      <c r="C9" s="95" t="s">
        <v>79</v>
      </c>
      <c r="D9" s="96">
        <v>11</v>
      </c>
      <c r="E9" s="96"/>
      <c r="F9" s="97"/>
      <c r="G9" s="98"/>
      <c r="H9" s="98">
        <v>73.344220472440952</v>
      </c>
      <c r="I9" s="99"/>
      <c r="J9" s="100"/>
      <c r="K9" s="8"/>
      <c r="L9" s="3"/>
    </row>
    <row r="10" spans="1:14" s="3" customFormat="1" ht="13.5" thickTop="1" x14ac:dyDescent="0.25">
      <c r="A10" s="1"/>
      <c r="B10" s="1"/>
      <c r="C10" s="1"/>
      <c r="D10" s="1"/>
      <c r="E10" s="1"/>
      <c r="F10" s="1"/>
      <c r="G10" s="1"/>
      <c r="H10" s="327">
        <f>SUM(H4:H9)</f>
        <v>194.02520472440946</v>
      </c>
      <c r="I10" s="1"/>
      <c r="J10" s="1"/>
      <c r="K10" s="1"/>
      <c r="L10" s="1"/>
      <c r="M10" s="1"/>
      <c r="N10" s="1"/>
    </row>
    <row r="11" spans="1:14" s="3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3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s="3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3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s="3" customForma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s="3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3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s="3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3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3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3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3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3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3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3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3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3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3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3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3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s="3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s="3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s="3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3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s="3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2">
    <mergeCell ref="F2:G2"/>
    <mergeCell ref="D2:E2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345E-40CB-4A73-9A93-8DD4D26A05B2}">
  <sheetPr>
    <tabColor rgb="FFF1BBE9"/>
  </sheetPr>
  <dimension ref="A1:N35"/>
  <sheetViews>
    <sheetView zoomScale="85" zoomScaleNormal="85" workbookViewId="0">
      <selection activeCell="F32" sqref="F32"/>
    </sheetView>
  </sheetViews>
  <sheetFormatPr defaultColWidth="9.140625" defaultRowHeight="12.75" x14ac:dyDescent="0.25"/>
  <cols>
    <col min="1" max="1" width="18.5703125" style="1" customWidth="1"/>
    <col min="2" max="2" width="19" style="1" customWidth="1"/>
    <col min="3" max="3" width="24" style="1" customWidth="1"/>
    <col min="4" max="4" width="14" style="1" customWidth="1"/>
    <col min="5" max="5" width="16.28515625" style="1" customWidth="1"/>
    <col min="6" max="6" width="15" style="1" customWidth="1"/>
    <col min="7" max="7" width="13.42578125" style="1" customWidth="1"/>
    <col min="8" max="8" width="18.42578125" style="1" customWidth="1"/>
    <col min="9" max="9" width="15.5703125" style="1" customWidth="1"/>
    <col min="10" max="10" width="87.140625" style="1" bestFit="1" customWidth="1"/>
    <col min="11" max="11" width="11.140625" style="1" customWidth="1"/>
    <col min="12" max="16384" width="9.140625" style="1"/>
  </cols>
  <sheetData>
    <row r="1" spans="1:14" ht="90" customHeight="1" thickBot="1" x14ac:dyDescent="0.3">
      <c r="D1" s="4" t="s">
        <v>18</v>
      </c>
      <c r="E1" s="4" t="s">
        <v>18</v>
      </c>
      <c r="F1" s="4" t="s">
        <v>18</v>
      </c>
      <c r="G1" s="4" t="s">
        <v>18</v>
      </c>
      <c r="H1" s="4" t="s">
        <v>19</v>
      </c>
      <c r="I1" s="4" t="s">
        <v>98</v>
      </c>
    </row>
    <row r="2" spans="1:14" s="2" customFormat="1" ht="50.25" customHeight="1" thickTop="1" thickBot="1" x14ac:dyDescent="0.3">
      <c r="D2" s="382" t="s">
        <v>99</v>
      </c>
      <c r="E2" s="383"/>
      <c r="F2" s="384"/>
      <c r="G2" s="385"/>
      <c r="H2" s="28" t="s">
        <v>100</v>
      </c>
      <c r="I2" s="28"/>
    </row>
    <row r="3" spans="1:14" ht="69.75" customHeight="1" thickTop="1" x14ac:dyDescent="0.25">
      <c r="B3" s="72" t="s">
        <v>30</v>
      </c>
      <c r="C3" s="73" t="s">
        <v>31</v>
      </c>
      <c r="D3" s="74" t="s">
        <v>41</v>
      </c>
      <c r="E3" s="74" t="s">
        <v>42</v>
      </c>
      <c r="F3" s="74" t="s">
        <v>44</v>
      </c>
      <c r="G3" s="74" t="s">
        <v>45</v>
      </c>
      <c r="H3" s="74" t="s">
        <v>47</v>
      </c>
      <c r="I3" s="74" t="s">
        <v>101</v>
      </c>
      <c r="J3" s="75" t="s">
        <v>55</v>
      </c>
    </row>
    <row r="4" spans="1:14" ht="13.5" thickBot="1" x14ac:dyDescent="0.3">
      <c r="B4" s="104" t="s">
        <v>12</v>
      </c>
      <c r="C4" s="105" t="s">
        <v>69</v>
      </c>
      <c r="D4" s="106">
        <v>8</v>
      </c>
      <c r="E4" s="106">
        <v>39</v>
      </c>
      <c r="F4" s="110">
        <v>42</v>
      </c>
      <c r="G4" s="107">
        <v>40</v>
      </c>
      <c r="H4" s="107">
        <v>29</v>
      </c>
      <c r="I4" s="108">
        <f>6.5+3.5</f>
        <v>10</v>
      </c>
      <c r="J4" s="109"/>
      <c r="K4" s="8"/>
      <c r="L4" s="3"/>
    </row>
    <row r="5" spans="1:14" ht="13.5" thickTop="1" x14ac:dyDescent="0.25"/>
    <row r="9" spans="1:14" s="3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3" customForma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3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3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s="3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3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s="3" customForma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s="3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3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s="3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3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3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3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3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3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3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3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3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3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3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3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3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s="3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s="3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s="3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3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s="3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2">
    <mergeCell ref="F2:G2"/>
    <mergeCell ref="D2:E2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3587B-1A41-43C2-9818-F926CB6B6B41}">
  <sheetPr>
    <tabColor theme="7" tint="0.79998168889431442"/>
  </sheetPr>
  <dimension ref="A1:N35"/>
  <sheetViews>
    <sheetView zoomScale="85" zoomScaleNormal="85" workbookViewId="0">
      <selection activeCell="F33" sqref="F33"/>
    </sheetView>
  </sheetViews>
  <sheetFormatPr defaultColWidth="9.140625" defaultRowHeight="12.75" x14ac:dyDescent="0.25"/>
  <cols>
    <col min="1" max="1" width="18.5703125" style="1" customWidth="1"/>
    <col min="2" max="2" width="24.85546875" style="1" bestFit="1" customWidth="1"/>
    <col min="3" max="3" width="24" style="1" customWidth="1"/>
    <col min="4" max="4" width="14" style="1" customWidth="1"/>
    <col min="5" max="5" width="16.28515625" style="1" customWidth="1"/>
    <col min="6" max="6" width="15" style="1" customWidth="1"/>
    <col min="7" max="7" width="13.42578125" style="1" customWidth="1"/>
    <col min="8" max="8" width="18.42578125" style="1" customWidth="1"/>
    <col min="9" max="9" width="15.5703125" style="1" customWidth="1"/>
    <col min="10" max="10" width="46.140625" style="1" customWidth="1"/>
    <col min="11" max="11" width="11.140625" style="1" customWidth="1"/>
    <col min="12" max="16384" width="9.140625" style="1"/>
  </cols>
  <sheetData>
    <row r="1" spans="1:14" ht="90" customHeight="1" thickBot="1" x14ac:dyDescent="0.3">
      <c r="D1" s="4" t="s">
        <v>102</v>
      </c>
      <c r="E1" s="4" t="s">
        <v>102</v>
      </c>
      <c r="F1" s="4" t="s">
        <v>18</v>
      </c>
      <c r="G1" s="4" t="s">
        <v>18</v>
      </c>
      <c r="H1" s="4" t="s">
        <v>19</v>
      </c>
      <c r="I1" s="4" t="s">
        <v>98</v>
      </c>
    </row>
    <row r="2" spans="1:14" s="2" customFormat="1" ht="50.25" customHeight="1" thickTop="1" thickBot="1" x14ac:dyDescent="0.3">
      <c r="D2" s="386" t="s">
        <v>99</v>
      </c>
      <c r="E2" s="387"/>
      <c r="F2" s="384"/>
      <c r="G2" s="385"/>
      <c r="H2" s="28" t="s">
        <v>100</v>
      </c>
      <c r="I2" s="28"/>
    </row>
    <row r="3" spans="1:14" ht="69.75" customHeight="1" thickTop="1" x14ac:dyDescent="0.25">
      <c r="B3" s="72" t="s">
        <v>30</v>
      </c>
      <c r="C3" s="73" t="s">
        <v>31</v>
      </c>
      <c r="D3" s="74" t="s">
        <v>41</v>
      </c>
      <c r="E3" s="74" t="s">
        <v>42</v>
      </c>
      <c r="F3" s="74" t="s">
        <v>44</v>
      </c>
      <c r="G3" s="74" t="s">
        <v>45</v>
      </c>
      <c r="H3" s="74" t="s">
        <v>47</v>
      </c>
      <c r="I3" s="74" t="s">
        <v>101</v>
      </c>
      <c r="J3" s="75" t="s">
        <v>55</v>
      </c>
    </row>
    <row r="4" spans="1:14" s="5" customFormat="1" x14ac:dyDescent="0.25">
      <c r="B4" s="111" t="s">
        <v>13</v>
      </c>
      <c r="C4" s="112" t="s">
        <v>71</v>
      </c>
      <c r="D4" s="113">
        <v>6</v>
      </c>
      <c r="E4" s="113"/>
      <c r="F4" s="114"/>
      <c r="G4" s="115"/>
      <c r="H4" s="115">
        <v>3.6027210884353744</v>
      </c>
      <c r="I4" s="116"/>
      <c r="J4" s="117"/>
      <c r="K4" s="8"/>
      <c r="L4" s="3"/>
      <c r="N4" s="1"/>
    </row>
    <row r="5" spans="1:14" s="5" customFormat="1" ht="13.5" thickBot="1" x14ac:dyDescent="0.3">
      <c r="B5" s="118" t="s">
        <v>13</v>
      </c>
      <c r="C5" s="119" t="s">
        <v>72</v>
      </c>
      <c r="D5" s="120">
        <v>1</v>
      </c>
      <c r="E5" s="120">
        <v>41.8</v>
      </c>
      <c r="F5" s="121">
        <v>1.2</v>
      </c>
      <c r="G5" s="121"/>
      <c r="H5" s="121">
        <f>17.1972789115646+0.8</f>
        <v>17.997278911564599</v>
      </c>
      <c r="I5" s="122"/>
      <c r="J5" s="123"/>
      <c r="K5" s="8"/>
      <c r="L5" s="3"/>
      <c r="N5" s="1"/>
    </row>
    <row r="6" spans="1:14" ht="13.5" thickTop="1" x14ac:dyDescent="0.25">
      <c r="H6" s="327">
        <f>SUM(H4:H5)</f>
        <v>21.599999999999973</v>
      </c>
    </row>
    <row r="9" spans="1:14" s="3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3" customForma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3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3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s="3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3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s="3" customForma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s="3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3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s="3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3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3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3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3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3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3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3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3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3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3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3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3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s="3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s="3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s="3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3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s="3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2">
    <mergeCell ref="F2:G2"/>
    <mergeCell ref="D2:E2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DA2A-E6DF-41B2-9053-FA434E63EE02}">
  <sheetPr>
    <tabColor theme="0" tint="-0.249977111117893"/>
  </sheetPr>
  <dimension ref="A1:N32"/>
  <sheetViews>
    <sheetView zoomScaleNormal="100" workbookViewId="0">
      <selection activeCell="G11" sqref="G11"/>
    </sheetView>
  </sheetViews>
  <sheetFormatPr defaultColWidth="9.140625" defaultRowHeight="12.75" x14ac:dyDescent="0.25"/>
  <cols>
    <col min="1" max="1" width="18.5703125" style="1" customWidth="1"/>
    <col min="2" max="2" width="23.85546875" style="1" customWidth="1"/>
    <col min="3" max="3" width="24" style="1" customWidth="1"/>
    <col min="4" max="4" width="14" style="1" customWidth="1"/>
    <col min="5" max="5" width="16.28515625" style="1" customWidth="1"/>
    <col min="6" max="6" width="15" style="1" customWidth="1"/>
    <col min="7" max="7" width="13.42578125" style="1" customWidth="1"/>
    <col min="8" max="8" width="18.42578125" style="1" customWidth="1"/>
    <col min="9" max="9" width="15.5703125" style="1" customWidth="1"/>
    <col min="10" max="10" width="46.140625" style="1" customWidth="1"/>
    <col min="11" max="11" width="11.140625" style="1" customWidth="1"/>
    <col min="12" max="16384" width="9.140625" style="1"/>
  </cols>
  <sheetData>
    <row r="1" spans="1:14" ht="90" customHeight="1" thickBot="1" x14ac:dyDescent="0.3">
      <c r="D1" s="4" t="s">
        <v>102</v>
      </c>
      <c r="E1" s="4" t="s">
        <v>102</v>
      </c>
      <c r="F1" s="4" t="s">
        <v>18</v>
      </c>
      <c r="G1" s="4" t="s">
        <v>18</v>
      </c>
      <c r="H1" s="4" t="s">
        <v>19</v>
      </c>
      <c r="I1" s="4" t="s">
        <v>98</v>
      </c>
    </row>
    <row r="2" spans="1:14" s="2" customFormat="1" ht="56.25" customHeight="1" thickTop="1" thickBot="1" x14ac:dyDescent="0.3">
      <c r="D2" s="388" t="s">
        <v>99</v>
      </c>
      <c r="E2" s="389"/>
      <c r="F2" s="384"/>
      <c r="G2" s="385"/>
      <c r="H2" s="28" t="s">
        <v>100</v>
      </c>
      <c r="I2" s="28"/>
    </row>
    <row r="3" spans="1:14" ht="78" customHeight="1" thickTop="1" thickBot="1" x14ac:dyDescent="0.3">
      <c r="B3" s="11" t="s">
        <v>30</v>
      </c>
      <c r="C3" s="41" t="s">
        <v>31</v>
      </c>
      <c r="D3" s="46" t="s">
        <v>41</v>
      </c>
      <c r="E3" s="12" t="s">
        <v>42</v>
      </c>
      <c r="F3" s="11" t="s">
        <v>44</v>
      </c>
      <c r="G3" s="13" t="s">
        <v>45</v>
      </c>
      <c r="H3" s="40" t="s">
        <v>47</v>
      </c>
      <c r="I3" s="40" t="s">
        <v>40</v>
      </c>
      <c r="J3" s="13" t="s">
        <v>55</v>
      </c>
    </row>
    <row r="4" spans="1:14" ht="14.25" thickTop="1" thickBot="1" x14ac:dyDescent="0.3">
      <c r="B4" s="29" t="s">
        <v>14</v>
      </c>
      <c r="C4" s="42" t="s">
        <v>73</v>
      </c>
      <c r="D4" s="31">
        <v>9</v>
      </c>
      <c r="E4" s="31">
        <v>49</v>
      </c>
      <c r="F4" s="32">
        <v>31.2</v>
      </c>
      <c r="G4" s="33"/>
      <c r="H4" s="30">
        <v>64</v>
      </c>
      <c r="I4" s="45"/>
      <c r="J4" s="34"/>
      <c r="K4" s="8"/>
      <c r="L4" s="3"/>
    </row>
    <row r="6" spans="1:14" s="3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3" customForma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" customForma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s="3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s="3" customForma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s="3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s="3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s="3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s="3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s="3" customForma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s="3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s="3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s="3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s="3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3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3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3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3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3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3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3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3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3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3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3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s="3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s="3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2">
    <mergeCell ref="F2:G2"/>
    <mergeCell ref="D2:E2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725D9-1AED-4406-8938-1505E8D22614}">
  <sheetPr>
    <tabColor theme="0"/>
  </sheetPr>
  <dimension ref="A1:L37"/>
  <sheetViews>
    <sheetView zoomScale="85" zoomScaleNormal="85" workbookViewId="0">
      <selection activeCell="D5" sqref="D5"/>
    </sheetView>
  </sheetViews>
  <sheetFormatPr defaultColWidth="9.140625" defaultRowHeight="12.75" x14ac:dyDescent="0.25"/>
  <cols>
    <col min="1" max="1" width="18.5703125" style="1" customWidth="1"/>
    <col min="2" max="2" width="25.85546875" style="1" bestFit="1" customWidth="1"/>
    <col min="3" max="3" width="24" style="1" customWidth="1"/>
    <col min="4" max="4" width="14" style="1" customWidth="1"/>
    <col min="5" max="5" width="16.28515625" style="1" customWidth="1"/>
    <col min="6" max="6" width="15" style="1" customWidth="1"/>
    <col min="7" max="7" width="23.42578125" style="1" bestFit="1" customWidth="1"/>
    <col min="8" max="8" width="18.42578125" style="1" customWidth="1"/>
    <col min="9" max="9" width="15.5703125" style="1" customWidth="1"/>
    <col min="10" max="10" width="93.7109375" style="1" customWidth="1"/>
    <col min="11" max="16384" width="9.140625" style="1"/>
  </cols>
  <sheetData>
    <row r="1" spans="1:12" ht="90" customHeight="1" thickBot="1" x14ac:dyDescent="0.3">
      <c r="D1" s="4" t="s">
        <v>102</v>
      </c>
      <c r="E1" s="4" t="s">
        <v>102</v>
      </c>
      <c r="F1" s="4" t="s">
        <v>18</v>
      </c>
      <c r="G1" s="4" t="s">
        <v>19</v>
      </c>
      <c r="H1" s="4" t="s">
        <v>98</v>
      </c>
    </row>
    <row r="2" spans="1:12" s="2" customFormat="1" ht="50.25" customHeight="1" thickTop="1" thickBot="1" x14ac:dyDescent="0.3">
      <c r="D2" s="390" t="s">
        <v>99</v>
      </c>
      <c r="E2" s="383"/>
      <c r="F2" s="48"/>
      <c r="G2" s="47"/>
      <c r="H2" s="28" t="s">
        <v>121</v>
      </c>
      <c r="I2" s="130"/>
    </row>
    <row r="3" spans="1:12" ht="69.75" customHeight="1" thickTop="1" x14ac:dyDescent="0.25">
      <c r="B3" s="72" t="s">
        <v>30</v>
      </c>
      <c r="C3" s="73" t="s">
        <v>31</v>
      </c>
      <c r="D3" s="74" t="s">
        <v>41</v>
      </c>
      <c r="E3" s="74" t="s">
        <v>42</v>
      </c>
      <c r="F3" s="74" t="s">
        <v>44</v>
      </c>
      <c r="G3" s="74" t="s">
        <v>45</v>
      </c>
      <c r="H3" s="74" t="s">
        <v>47</v>
      </c>
      <c r="I3" s="74" t="s">
        <v>101</v>
      </c>
      <c r="J3" s="75" t="s">
        <v>55</v>
      </c>
    </row>
    <row r="4" spans="1:12" ht="13.5" thickBot="1" x14ac:dyDescent="0.3">
      <c r="B4" s="124" t="s">
        <v>15</v>
      </c>
      <c r="C4" s="125" t="s">
        <v>80</v>
      </c>
      <c r="D4" s="126">
        <f>9-3</f>
        <v>6</v>
      </c>
      <c r="E4" s="126">
        <v>49</v>
      </c>
      <c r="F4" s="127">
        <v>31.2</v>
      </c>
      <c r="G4" s="128"/>
      <c r="H4" s="128">
        <v>21</v>
      </c>
      <c r="I4" s="128"/>
      <c r="J4" s="129"/>
    </row>
    <row r="5" spans="1:12" ht="13.5" thickTop="1" x14ac:dyDescent="0.25"/>
    <row r="11" spans="1:12" s="3" customForma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3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3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3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s="3" customForma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s="3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s="3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s="3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s="3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s="3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s="3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s="3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s="3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s="3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s="3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s="3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s="3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s="3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s="3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s="3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s="3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s="3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s="3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s="3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s="3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s="3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s="3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D2:E2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F9E5EA4C60E84FA8FFA15F965EF085" ma:contentTypeVersion="14" ma:contentTypeDescription="Create a new document." ma:contentTypeScope="" ma:versionID="cb5d8b72a82d7f0c508aac9a598cbd5c">
  <xsd:schema xmlns:xsd="http://www.w3.org/2001/XMLSchema" xmlns:xs="http://www.w3.org/2001/XMLSchema" xmlns:p="http://schemas.microsoft.com/office/2006/metadata/properties" xmlns:ns1="http://schemas.microsoft.com/sharepoint/v3" xmlns:ns2="efbc43d2-7eee-47cd-8398-faa8dee950e5" xmlns:ns3="93d6851b-5cbe-49ff-95d9-c9da664a271f" targetNamespace="http://schemas.microsoft.com/office/2006/metadata/properties" ma:root="true" ma:fieldsID="5c2c6524b6e98c467c85aa82825bcebc" ns1:_="" ns2:_="" ns3:_="">
    <xsd:import namespace="http://schemas.microsoft.com/sharepoint/v3"/>
    <xsd:import namespace="efbc43d2-7eee-47cd-8398-faa8dee950e5"/>
    <xsd:import namespace="93d6851b-5cbe-49ff-95d9-c9da664a27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Note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bc43d2-7eee-47cd-8398-faa8dee950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" ma:index="1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6851b-5cbe-49ff-95d9-c9da664a2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93d6851b-5cbe-49ff-95d9-c9da664a271f">
      <UserInfo>
        <DisplayName>Jones, Keith L</DisplayName>
        <AccountId>20</AccountId>
        <AccountType/>
      </UserInfo>
      <UserInfo>
        <DisplayName>Chatterjee, Digaunto</DisplayName>
        <AccountId>38</AccountId>
        <AccountType/>
      </UserInfo>
      <UserInfo>
        <DisplayName>MUKHERJEE, SOURESH</DisplayName>
        <AccountId>42</AccountId>
        <AccountType/>
      </UserInfo>
    </SharedWithUsers>
    <Notes xmlns="efbc43d2-7eee-47cd-8398-faa8dee950e5" xsi:nil="true"/>
  </documentManagement>
</p:properties>
</file>

<file path=customXml/itemProps1.xml><?xml version="1.0" encoding="utf-8"?>
<ds:datastoreItem xmlns:ds="http://schemas.openxmlformats.org/officeDocument/2006/customXml" ds:itemID="{4C2D2B29-0D36-4A63-A25C-6861AC3784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1447E1-1A30-4329-9B18-6D9BB4DD31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bc43d2-7eee-47cd-8398-faa8dee950e5"/>
    <ds:schemaRef ds:uri="93d6851b-5cbe-49ff-95d9-c9da664a27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097FA2-075C-40CD-91FE-4D47C3D5C4D4}">
  <ds:schemaRefs>
    <ds:schemaRef ds:uri="http://schemas.microsoft.com/office/infopath/2007/PartnerControls"/>
    <ds:schemaRef ds:uri="http://purl.org/dc/elements/1.1/"/>
    <ds:schemaRef ds:uri="93d6851b-5cbe-49ff-95d9-c9da664a271f"/>
    <ds:schemaRef ds:uri="efbc43d2-7eee-47cd-8398-faa8dee950e5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Final Station Group</vt:lpstr>
      <vt:lpstr>Group 1 Cost</vt:lpstr>
      <vt:lpstr>Group 2 Cost</vt:lpstr>
      <vt:lpstr>Group 3 Cost</vt:lpstr>
      <vt:lpstr>Group 4 Cost</vt:lpstr>
      <vt:lpstr>Group 5 Cost</vt:lpstr>
      <vt:lpstr>Group 6 Cost</vt:lpstr>
      <vt:lpstr>Group 7 Cost</vt:lpstr>
      <vt:lpstr>ASO Study Transmission 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DONG, JINGYUAN</dc:creator>
  <cp:keywords/>
  <dc:description/>
  <cp:lastModifiedBy>Jack Habib</cp:lastModifiedBy>
  <cp:revision/>
  <dcterms:created xsi:type="dcterms:W3CDTF">2020-03-30T21:58:32Z</dcterms:created>
  <dcterms:modified xsi:type="dcterms:W3CDTF">2021-04-06T21:42:12Z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0x01010068F9E5EA4C60E84FA8FFA15F965EF085</vt:lpwstr>
  </property>
  <property fmtid="{D5CDD505-2E9C-101B-9397-08002B2CF9AE}" pid="3" name="ComplianceAssetId">
    <vt:lpwstr/>
  </property>
  <property fmtid="{D5CDD505-2E9C-101B-9397-08002B2CF9AE}" pid="4" name="Order">
    <vt:r8>8612100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</Properties>
</file>