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ovakova\Documents\Stacey filings DPU 21-124 + DPU 21-128\DPU 21-124\DPU Set 8\"/>
    </mc:Choice>
  </mc:AlternateContent>
  <xr:revisionPtr revIDLastSave="0" documentId="13_ncr:1_{1BD79FF4-3F14-43D8-B2D9-4EB3AAF17074}" xr6:coauthVersionLast="47" xr6:coauthVersionMax="47" xr10:uidLastSave="{00000000-0000-0000-0000-000000000000}"/>
  <bookViews>
    <workbookView xWindow="1080" yWindow="120" windowWidth="20616" windowHeight="12036" tabRatio="836" xr2:uid="{899C6616-B491-4AEF-BC39-58925AADAE0F}"/>
  </bookViews>
  <sheets>
    <sheet name="Assumptions" sheetId="3" r:id="rId1"/>
    <sheet name="Electrification, Electric" sheetId="1" r:id="rId2"/>
    <sheet name="Electrification, Gas" sheetId="2" r:id="rId3"/>
  </sheets>
  <definedNames>
    <definedName name="_xlnm._FilterDatabase" localSheetId="1" hidden="1">'Electrification, Electric'!$A$1:$V$67</definedName>
    <definedName name="_xlnm._FilterDatabase" localSheetId="2" hidden="1">'Electrification, Gas'!$A$1:$T$17</definedName>
    <definedName name="CentralHPSavings">Assumptions!$C$24</definedName>
    <definedName name="CIElecRate">Assumptions!$C$4</definedName>
    <definedName name="CIGasRate">Assumptions!$C$7</definedName>
    <definedName name="DMSHPSavings">Assumptions!$C$25</definedName>
    <definedName name="ElectricEmissions">Assumptions!$C$17</definedName>
    <definedName name="GasolineEmissions">Assumptions!$C$21</definedName>
    <definedName name="GasolineMMBTU">Assumptions!$C$15</definedName>
    <definedName name="GasolinePrice">Assumptions!$C$11</definedName>
    <definedName name="IEGasRate">Assumptions!$C$6</definedName>
    <definedName name="NatGasEmissions">Assumptions!$C$20</definedName>
    <definedName name="OilEmissions">Assumptions!$C$18</definedName>
    <definedName name="OilMMBTu">Assumptions!$C$13</definedName>
    <definedName name="OilPrice">Assumptions!$C$9</definedName>
    <definedName name="PropaneEmissions">Assumptions!$C$19</definedName>
    <definedName name="PropaneMMBTU">Assumptions!$C$14</definedName>
    <definedName name="PropanePrice">Assumptions!$C$10</definedName>
    <definedName name="ResElecRate">Assumptions!$C$2</definedName>
    <definedName name="ResGasRate">Assumptions!$C$5</definedName>
    <definedName name="ResIERate">Assumptions!$C$3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0" i="2" l="1"/>
  <c r="Z11" i="2"/>
  <c r="Z14" i="2"/>
  <c r="Z16" i="2"/>
  <c r="Z2" i="2"/>
  <c r="Z3" i="2"/>
  <c r="Z4" i="2"/>
  <c r="Z5" i="2"/>
  <c r="Z6" i="2"/>
  <c r="Z7" i="2"/>
  <c r="Z8" i="2"/>
  <c r="Z9" i="2"/>
  <c r="Z12" i="2"/>
  <c r="Z13" i="2"/>
  <c r="Z15" i="2"/>
  <c r="Z17" i="2"/>
  <c r="X20" i="1" l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" i="1"/>
  <c r="V3" i="2" l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2" i="2"/>
  <c r="W3" i="2"/>
  <c r="W4" i="2"/>
  <c r="W9" i="2"/>
  <c r="W10" i="2"/>
  <c r="W11" i="2"/>
  <c r="W12" i="2"/>
  <c r="W13" i="2"/>
  <c r="W14" i="2"/>
  <c r="W15" i="2"/>
  <c r="X15" i="2" s="1"/>
  <c r="W16" i="2"/>
  <c r="W17" i="2"/>
  <c r="W2" i="2"/>
  <c r="R3" i="2"/>
  <c r="Q3" i="2"/>
  <c r="S3" i="2" s="1"/>
  <c r="R2" i="2"/>
  <c r="Q2" i="2"/>
  <c r="M8" i="2"/>
  <c r="W8" i="2" s="1"/>
  <c r="M7" i="2"/>
  <c r="W7" i="2" s="1"/>
  <c r="M6" i="2"/>
  <c r="W6" i="2" s="1"/>
  <c r="M5" i="2"/>
  <c r="W5" i="2" s="1"/>
  <c r="M31" i="1"/>
  <c r="M30" i="1"/>
  <c r="M29" i="1"/>
  <c r="M28" i="1"/>
  <c r="M15" i="1"/>
  <c r="M14" i="1"/>
  <c r="M13" i="1"/>
  <c r="T13" i="1" s="1"/>
  <c r="M12" i="1"/>
  <c r="T12" i="1" s="1"/>
  <c r="M27" i="1"/>
  <c r="M26" i="1"/>
  <c r="M25" i="1"/>
  <c r="M24" i="1"/>
  <c r="M11" i="1"/>
  <c r="M10" i="1"/>
  <c r="M9" i="1"/>
  <c r="T9" i="1" s="1"/>
  <c r="M8" i="1"/>
  <c r="V8" i="1" s="1"/>
  <c r="V7" i="1"/>
  <c r="S7" i="1"/>
  <c r="T7" i="1"/>
  <c r="V6" i="1"/>
  <c r="S6" i="1"/>
  <c r="T6" i="1"/>
  <c r="T3" i="1"/>
  <c r="T4" i="1"/>
  <c r="T5" i="1"/>
  <c r="T8" i="1"/>
  <c r="T10" i="1"/>
  <c r="T11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U57" i="1" s="1"/>
  <c r="T58" i="1"/>
  <c r="T59" i="1"/>
  <c r="T60" i="1"/>
  <c r="T61" i="1"/>
  <c r="T62" i="1"/>
  <c r="T63" i="1"/>
  <c r="T64" i="1"/>
  <c r="T65" i="1"/>
  <c r="T66" i="1"/>
  <c r="T67" i="1"/>
  <c r="T2" i="1"/>
  <c r="T9" i="2"/>
  <c r="T10" i="2"/>
  <c r="T11" i="2"/>
  <c r="T12" i="2"/>
  <c r="T13" i="2"/>
  <c r="T14" i="2"/>
  <c r="T15" i="2"/>
  <c r="T16" i="2"/>
  <c r="T17" i="2"/>
  <c r="T4" i="2"/>
  <c r="T8" i="2"/>
  <c r="T7" i="2"/>
  <c r="T6" i="2"/>
  <c r="T5" i="2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4" i="2"/>
  <c r="C21" i="3"/>
  <c r="S72" i="1"/>
  <c r="T72" i="1"/>
  <c r="V72" i="1"/>
  <c r="S73" i="1"/>
  <c r="T73" i="1"/>
  <c r="V73" i="1"/>
  <c r="S74" i="1"/>
  <c r="T74" i="1"/>
  <c r="U74" i="1" s="1"/>
  <c r="V74" i="1"/>
  <c r="S75" i="1"/>
  <c r="U75" i="1" s="1"/>
  <c r="T75" i="1"/>
  <c r="V75" i="1"/>
  <c r="S53" i="1"/>
  <c r="U53" i="1" s="1"/>
  <c r="V70" i="1"/>
  <c r="V71" i="1"/>
  <c r="V40" i="1"/>
  <c r="V41" i="1"/>
  <c r="S40" i="1"/>
  <c r="S69" i="1"/>
  <c r="T69" i="1"/>
  <c r="S70" i="1"/>
  <c r="T70" i="1"/>
  <c r="S71" i="1"/>
  <c r="T71" i="1"/>
  <c r="V15" i="1"/>
  <c r="V13" i="1"/>
  <c r="V11" i="1"/>
  <c r="V10" i="1"/>
  <c r="V9" i="1"/>
  <c r="V69" i="1"/>
  <c r="V68" i="1"/>
  <c r="V3" i="1"/>
  <c r="V4" i="1"/>
  <c r="V5" i="1"/>
  <c r="V14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2" i="1"/>
  <c r="V43" i="1"/>
  <c r="V44" i="1"/>
  <c r="V45" i="1"/>
  <c r="V2" i="1"/>
  <c r="U69" i="1"/>
  <c r="T68" i="1"/>
  <c r="S68" i="1"/>
  <c r="Q17" i="2"/>
  <c r="Q16" i="2"/>
  <c r="Q15" i="2"/>
  <c r="S15" i="2" s="1"/>
  <c r="Q14" i="2"/>
  <c r="Q13" i="2"/>
  <c r="Q4" i="2"/>
  <c r="S4" i="2" s="1"/>
  <c r="Q5" i="2"/>
  <c r="Q6" i="2"/>
  <c r="Q7" i="2"/>
  <c r="S7" i="2" s="1"/>
  <c r="Q8" i="2"/>
  <c r="S8" i="2" s="1"/>
  <c r="Q9" i="2"/>
  <c r="S9" i="2" s="1"/>
  <c r="Q10" i="2"/>
  <c r="S10" i="2" s="1"/>
  <c r="Q11" i="2"/>
  <c r="S11" i="2" s="1"/>
  <c r="Q12" i="2"/>
  <c r="S12" i="2" s="1"/>
  <c r="S13" i="2"/>
  <c r="S2" i="1"/>
  <c r="S3" i="1"/>
  <c r="S4" i="1"/>
  <c r="U4" i="1" s="1"/>
  <c r="S5" i="1"/>
  <c r="U5" i="1" s="1"/>
  <c r="S8" i="1"/>
  <c r="S9" i="1"/>
  <c r="S10" i="1"/>
  <c r="U10" i="1" s="1"/>
  <c r="S11" i="1"/>
  <c r="U11" i="1" s="1"/>
  <c r="S12" i="1"/>
  <c r="S13" i="1"/>
  <c r="S14" i="1"/>
  <c r="U14" i="1" s="1"/>
  <c r="S15" i="1"/>
  <c r="U15" i="1" s="1"/>
  <c r="S16" i="1"/>
  <c r="S17" i="1"/>
  <c r="S18" i="1"/>
  <c r="S19" i="1"/>
  <c r="S20" i="1"/>
  <c r="U20" i="1" s="1"/>
  <c r="S21" i="1"/>
  <c r="U21" i="1" s="1"/>
  <c r="S22" i="1"/>
  <c r="U22" i="1" s="1"/>
  <c r="S23" i="1"/>
  <c r="S24" i="1"/>
  <c r="S25" i="1"/>
  <c r="S26" i="1"/>
  <c r="U26" i="1" s="1"/>
  <c r="S27" i="1"/>
  <c r="U27" i="1" s="1"/>
  <c r="S28" i="1"/>
  <c r="U28" i="1" s="1"/>
  <c r="S29" i="1"/>
  <c r="S30" i="1"/>
  <c r="U30" i="1" s="1"/>
  <c r="S31" i="1"/>
  <c r="U31" i="1" s="1"/>
  <c r="S32" i="1"/>
  <c r="S33" i="1"/>
  <c r="S34" i="1"/>
  <c r="S35" i="1"/>
  <c r="U35" i="1" s="1"/>
  <c r="S36" i="1"/>
  <c r="U36" i="1" s="1"/>
  <c r="S37" i="1"/>
  <c r="U37" i="1" s="1"/>
  <c r="S38" i="1"/>
  <c r="U38" i="1" s="1"/>
  <c r="S39" i="1"/>
  <c r="S41" i="1"/>
  <c r="S42" i="1"/>
  <c r="U42" i="1" s="1"/>
  <c r="S43" i="1"/>
  <c r="U43" i="1" s="1"/>
  <c r="S44" i="1"/>
  <c r="U44" i="1" s="1"/>
  <c r="S45" i="1"/>
  <c r="U45" i="1" s="1"/>
  <c r="S46" i="1"/>
  <c r="U46" i="1" s="1"/>
  <c r="S47" i="1"/>
  <c r="U47" i="1" s="1"/>
  <c r="S48" i="1"/>
  <c r="S49" i="1"/>
  <c r="S50" i="1"/>
  <c r="S51" i="1"/>
  <c r="U51" i="1" s="1"/>
  <c r="S52" i="1"/>
  <c r="U52" i="1" s="1"/>
  <c r="S54" i="1"/>
  <c r="U54" i="1" s="1"/>
  <c r="S55" i="1"/>
  <c r="U55" i="1" s="1"/>
  <c r="S56" i="1"/>
  <c r="S57" i="1"/>
  <c r="S58" i="1"/>
  <c r="U58" i="1" s="1"/>
  <c r="S59" i="1"/>
  <c r="U59" i="1" s="1"/>
  <c r="S60" i="1"/>
  <c r="S61" i="1"/>
  <c r="S62" i="1"/>
  <c r="U62" i="1" s="1"/>
  <c r="S63" i="1"/>
  <c r="U63" i="1" s="1"/>
  <c r="S64" i="1"/>
  <c r="S65" i="1"/>
  <c r="U65" i="1" s="1"/>
  <c r="S66" i="1"/>
  <c r="U66" i="1" s="1"/>
  <c r="S67" i="1"/>
  <c r="U19" i="1"/>
  <c r="U3" i="1"/>
  <c r="U39" i="1"/>
  <c r="U23" i="1"/>
  <c r="S16" i="2" l="1"/>
  <c r="S17" i="2"/>
  <c r="X9" i="2"/>
  <c r="X8" i="2"/>
  <c r="X13" i="2"/>
  <c r="X7" i="2"/>
  <c r="S2" i="2"/>
  <c r="X16" i="2"/>
  <c r="X10" i="2"/>
  <c r="X2" i="2"/>
  <c r="X6" i="2"/>
  <c r="S6" i="2"/>
  <c r="X5" i="2"/>
  <c r="S5" i="2"/>
  <c r="X12" i="2"/>
  <c r="X4" i="2"/>
  <c r="X17" i="2"/>
  <c r="X11" i="2"/>
  <c r="X3" i="2"/>
  <c r="U71" i="1"/>
  <c r="U13" i="1"/>
  <c r="U73" i="1"/>
  <c r="U68" i="1"/>
  <c r="U72" i="1"/>
  <c r="U33" i="1"/>
  <c r="U25" i="1"/>
  <c r="U17" i="1"/>
  <c r="U49" i="1"/>
  <c r="U41" i="1"/>
  <c r="U70" i="1"/>
  <c r="V12" i="1"/>
  <c r="U40" i="1"/>
  <c r="U64" i="1"/>
  <c r="U32" i="1"/>
  <c r="U24" i="1"/>
  <c r="U16" i="1"/>
  <c r="U8" i="1"/>
  <c r="U56" i="1"/>
  <c r="U48" i="1"/>
  <c r="U12" i="1"/>
  <c r="U60" i="1"/>
  <c r="U50" i="1"/>
  <c r="U34" i="1"/>
  <c r="U7" i="1"/>
  <c r="S14" i="2"/>
  <c r="X14" i="2"/>
  <c r="U61" i="1"/>
  <c r="U2" i="1"/>
  <c r="U29" i="1"/>
  <c r="U6" i="1"/>
  <c r="U67" i="1"/>
  <c r="U9" i="1"/>
  <c r="U18" i="1"/>
</calcChain>
</file>

<file path=xl/sharedStrings.xml><?xml version="1.0" encoding="utf-8"?>
<sst xmlns="http://schemas.openxmlformats.org/spreadsheetml/2006/main" count="1044" uniqueCount="273">
  <si>
    <t>Value</t>
  </si>
  <si>
    <t>Source</t>
  </si>
  <si>
    <t>Reference Link(s)</t>
  </si>
  <si>
    <t>Average Residential Electric Rate ($/kWh):</t>
  </si>
  <si>
    <t>National Grid value, as published for winter 2021-2022</t>
  </si>
  <si>
    <t xml:space="preserve">https://www.nationalgridus.com/MA-Home/Rates/Service-Rates </t>
  </si>
  <si>
    <t>https://www.nationalgridus.com/media/pdfs/billing-payments/electric-rates/ma/resitable.pdf</t>
  </si>
  <si>
    <t>Average Income-Eligible Electric Rate ($/kWh):</t>
  </si>
  <si>
    <t>Average C&amp;I Electric Rate ($/kWh):</t>
  </si>
  <si>
    <t>National Grid value for G1 rate, as published for winter 2021-2022</t>
  </si>
  <si>
    <t>https://www.nationalgridus.com/MA-Business/Rates/Service-Rates?regionkey=masselec&amp;customertype=business</t>
  </si>
  <si>
    <t>https://www.nationalgridus.com/media/pdfs/billing-payments/electric-rates/ma/commtable.pdf</t>
  </si>
  <si>
    <t>Average Residential Gas Rate ($/MMBTU):</t>
  </si>
  <si>
    <t>Average of National Grid &amp; Eversource winter 20-21 rates, with supply portion inflated by 14% per EIA projections</t>
  </si>
  <si>
    <t>https://www.eia.gov/outlooks/steo/special/winter/2021_winter_fuels.pdf</t>
  </si>
  <si>
    <t>Average Income-Eligible Gas Rate ($/MMBTU):</t>
  </si>
  <si>
    <t>Average C&amp;I Gas Rate ($/MMBTU):</t>
  </si>
  <si>
    <t>Average Fuel Oil Price:</t>
  </si>
  <si>
    <t>$/gallon Projected by EIA for winter 2021-2022</t>
  </si>
  <si>
    <t>Average Propane Price:</t>
  </si>
  <si>
    <t>Average Motor Gasoline Price:</t>
  </si>
  <si>
    <t>$/gallon 10-Year Average from EIA data, 2011-2021</t>
  </si>
  <si>
    <t>Fuel Oil MMTBU/Gallon</t>
  </si>
  <si>
    <t>Industry standard conversion</t>
  </si>
  <si>
    <t>https://www.eia.gov/energyexplained/units-and-calculators/</t>
  </si>
  <si>
    <t>Propane MMTBU/Gallon</t>
  </si>
  <si>
    <t>Motor Gasoline MMTBU/Gallon</t>
  </si>
  <si>
    <t>Electric Emissions Rate in 2030</t>
  </si>
  <si>
    <t>Metric Tons CO2e/MWh, as prescribed by EEA</t>
  </si>
  <si>
    <t>Oil Emissions Rate</t>
  </si>
  <si>
    <t>Metric Tons CO2e/MMBTU, as prescribed by EEA</t>
  </si>
  <si>
    <t>Propane Emissions Rate</t>
  </si>
  <si>
    <t>Natural Gas Emissions Rate</t>
  </si>
  <si>
    <t>Motor Gasoline Emissions Rate</t>
  </si>
  <si>
    <t>Metric Tons CO2e/MMBTU, Industry Standard</t>
  </si>
  <si>
    <t>https://www.eia.gov/environment/emissions/co2_vol_mass.php</t>
  </si>
  <si>
    <t>Central HP Midstream Savings</t>
  </si>
  <si>
    <t>kWh savings from a baseline-efficiency to high-efficiency heat pump</t>
  </si>
  <si>
    <t>DMSHP Midstream Savings</t>
  </si>
  <si>
    <t>Program Administrator</t>
  </si>
  <si>
    <t>Sector</t>
  </si>
  <si>
    <t>Program</t>
  </si>
  <si>
    <t>Core Initiative</t>
  </si>
  <si>
    <t>Sub Offering</t>
  </si>
  <si>
    <t>End Use</t>
  </si>
  <si>
    <t>Measure</t>
  </si>
  <si>
    <t>BCR Measure ID</t>
  </si>
  <si>
    <t>Quantity Definition</t>
  </si>
  <si>
    <t>Measure Life</t>
  </si>
  <si>
    <t>Total Resource Cost</t>
  </si>
  <si>
    <t>Incentive</t>
  </si>
  <si>
    <t>Gross Annual kWh Used</t>
  </si>
  <si>
    <t>Fossil Fuel Type #1</t>
  </si>
  <si>
    <t xml:space="preserve">Fossil Fuel #1 Savings (MMBtu/Year)
</t>
  </si>
  <si>
    <t>Fossil Fuel Type #2</t>
  </si>
  <si>
    <t xml:space="preserve">Fossil Fuel #2 Savings (MMBtu/Year)
</t>
  </si>
  <si>
    <t>Benefit-Cost Ratio</t>
  </si>
  <si>
    <t>Customer Initial Purchase Cost (Negative Indicates a Cost)</t>
  </si>
  <si>
    <t>Customer Operating Cost Savings (Negative Indicates an Increase)</t>
  </si>
  <si>
    <t>Total Customer Lifetime Cost Impact (Positive Indicates a Savings)</t>
  </si>
  <si>
    <t>GHG Savings in 2030</t>
  </si>
  <si>
    <t>Statewide - Deemed</t>
  </si>
  <si>
    <t>A - Residential</t>
  </si>
  <si>
    <t>A1 - Residential New Buildings</t>
  </si>
  <si>
    <t>A1a - Residential New Homes &amp; Renovations</t>
  </si>
  <si>
    <t>Electrification</t>
  </si>
  <si>
    <t>HVAC</t>
  </si>
  <si>
    <t>RNC Heating - All-Electric</t>
  </si>
  <si>
    <t>EA1a018</t>
  </si>
  <si>
    <t>Homes</t>
  </si>
  <si>
    <t>Propane</t>
  </si>
  <si>
    <t>Hot Water</t>
  </si>
  <si>
    <t>RNC Water Heating - All-Electric</t>
  </si>
  <si>
    <t>EA1a019</t>
  </si>
  <si>
    <t>A2 - Residential Existing Buildings</t>
  </si>
  <si>
    <t>A2c - Residential Retail</t>
  </si>
  <si>
    <t>MSHP Integrated Controls Retrofit Oil</t>
  </si>
  <si>
    <t>EA2c270</t>
  </si>
  <si>
    <t>Fuel Oil - Res Distillate</t>
  </si>
  <si>
    <t>MSHP Integrated Controls Retrofit, Propane</t>
  </si>
  <si>
    <t>EA2c269</t>
  </si>
  <si>
    <t>Central Heat Pump partially displacing Oil Heat</t>
  </si>
  <si>
    <t>EA2c266</t>
  </si>
  <si>
    <t>Central Heat Pump partially displacing Propane Heat</t>
  </si>
  <si>
    <t>EA2c265</t>
  </si>
  <si>
    <t>Central Heat Pump fully displacing Oil Heat</t>
  </si>
  <si>
    <t>EA2c272</t>
  </si>
  <si>
    <t>Central Heat Pump fully displacing Propane Heat</t>
  </si>
  <si>
    <t>EA2c271</t>
  </si>
  <si>
    <t>MSHP partially displacing Oil Heat</t>
  </si>
  <si>
    <t>EA2c268</t>
  </si>
  <si>
    <t>MSHP partially displacing Propane Heat</t>
  </si>
  <si>
    <t>EA2c267</t>
  </si>
  <si>
    <t>MSHP fully displacing Oil Heat</t>
  </si>
  <si>
    <t>EA2c273</t>
  </si>
  <si>
    <t>MSHP fully displacing Propane Heat</t>
  </si>
  <si>
    <t>EA2c274</t>
  </si>
  <si>
    <t>Air-to-Water Heat Pump displacing Oil Heat</t>
  </si>
  <si>
    <t>EA2c290</t>
  </si>
  <si>
    <t>Air-to-Water Heat Pump displacing Propane Heat</t>
  </si>
  <si>
    <t>EA2c291</t>
  </si>
  <si>
    <t>Closed Loop GSHP replacing Oil Heat</t>
  </si>
  <si>
    <t>EA2c292</t>
  </si>
  <si>
    <t>Closed Loop GSHP replacing Propane Heat</t>
  </si>
  <si>
    <t>EA2c293</t>
  </si>
  <si>
    <t>Open Loop GSHP replacing Oil Heat</t>
  </si>
  <si>
    <t>EA2c294</t>
  </si>
  <si>
    <t>Open Loop GSHP replacing Propane Heat</t>
  </si>
  <si>
    <t>EA2c295</t>
  </si>
  <si>
    <t>Moderate Income Qualified - MSHP Integrated Controls Retrofit Oil</t>
  </si>
  <si>
    <t>EA2c317</t>
  </si>
  <si>
    <t>Moderate Income Qualified - MSHP Integrated Controls Retrofit, Propane</t>
  </si>
  <si>
    <t>EA2c318</t>
  </si>
  <si>
    <t>Moderate Income Qualified - Central Heat Pump partially displacing Oil Heat</t>
  </si>
  <si>
    <t>EA2c319</t>
  </si>
  <si>
    <t>Moderate Income Qualified - Central Heat Pump partially displacing Propane Heat</t>
  </si>
  <si>
    <t>EA2c320</t>
  </si>
  <si>
    <t>Moderate Income Qualified - Central Heat Pump fully displacing Oil Heat</t>
  </si>
  <si>
    <t>EA2c321</t>
  </si>
  <si>
    <t>Moderate Income Qualified - Central Heat Pump fully displacing Propane Heat</t>
  </si>
  <si>
    <t>EA2c322</t>
  </si>
  <si>
    <t>Moderate Income Qualified - MSHP partially displacing Oil Heat</t>
  </si>
  <si>
    <t>EA2c323</t>
  </si>
  <si>
    <t>Moderate Income Qualified - MSHP partially displacing Propane Heat</t>
  </si>
  <si>
    <t>EA2c324</t>
  </si>
  <si>
    <t>Moderate Income Qualified - MSHP fully displacing Oil Heat</t>
  </si>
  <si>
    <t>EA2c325</t>
  </si>
  <si>
    <t>Moderate Income Qualified - MSHP fully displacing Propane Heat</t>
  </si>
  <si>
    <t>EA2c326</t>
  </si>
  <si>
    <t>Moderate Income Qualified - Air-to-Water Heat Pump displacing Oil Heat</t>
  </si>
  <si>
    <t>EA2c327</t>
  </si>
  <si>
    <t>Moderate Income Qualified - Air-to-Water Heat Pump displacing Propane Heat</t>
  </si>
  <si>
    <t>EA2c328</t>
  </si>
  <si>
    <t>Moderate Income Qualified - Closed Loop GSHP replacing Oil Heat</t>
  </si>
  <si>
    <t>EA2c329</t>
  </si>
  <si>
    <t>Moderate Income Qualified - Closed Loop GSHP replacing Propane Heat</t>
  </si>
  <si>
    <t>EA2c330</t>
  </si>
  <si>
    <t>Moderate Income Qualified - Open Loop GSHP replacing Oil Heat</t>
  </si>
  <si>
    <t>EA2c331</t>
  </si>
  <si>
    <t>Moderate Income Qualified - Open Loop GSHP replacing Propane Heat</t>
  </si>
  <si>
    <t>EA2c332</t>
  </si>
  <si>
    <t>Heat Pump Water Heater displacing Oil</t>
  </si>
  <si>
    <t>EA2c286</t>
  </si>
  <si>
    <t>Widgets</t>
  </si>
  <si>
    <t>Heat Pump Water Heater displacing Propane</t>
  </si>
  <si>
    <t>EA2c287</t>
  </si>
  <si>
    <t>Process</t>
  </si>
  <si>
    <t>Induction Stove replacing Propane</t>
  </si>
  <si>
    <t>B - Income Eligible</t>
  </si>
  <si>
    <t>B1 - Income Eligible Existing Buildings</t>
  </si>
  <si>
    <t>B1a - Income Eligible Coordinated Delivery</t>
  </si>
  <si>
    <t>Central Heat Pump partially displacing Oil Heat (Single Family)</t>
  </si>
  <si>
    <t>EB1a269</t>
  </si>
  <si>
    <t>Central Heat Pump partially displacing Propane Heat (Single Family)</t>
  </si>
  <si>
    <t>EB1a268</t>
  </si>
  <si>
    <t>Central Heat Pump fully displacing Oil Heat (Single Family)</t>
  </si>
  <si>
    <t>EB1a273</t>
  </si>
  <si>
    <t>Central Heat Pump fully displacing Propane Heat (Single Family)</t>
  </si>
  <si>
    <t>EB1a272</t>
  </si>
  <si>
    <t>MSHP partially displacing Oil Heat (Single Family)</t>
  </si>
  <si>
    <t>EB1a271</t>
  </si>
  <si>
    <t>MSHP partially displacing Propane Heat (Single Family)</t>
  </si>
  <si>
    <t>EB1a270</t>
  </si>
  <si>
    <t>MSHP fully displacing Oil Heat (Single Family)</t>
  </si>
  <si>
    <t>EB1a286</t>
  </si>
  <si>
    <t>MSHP fully displacing Propane Heat (Single Family)</t>
  </si>
  <si>
    <t>EB1a287</t>
  </si>
  <si>
    <t>Heat Pump Water Heater displacing Oil (Single Family)</t>
  </si>
  <si>
    <t>EB1a281</t>
  </si>
  <si>
    <t>Heat Pump Water Heater displacing Propane (Single Family)</t>
  </si>
  <si>
    <t>EB1a282</t>
  </si>
  <si>
    <t>Heat Pump Water Heater displacing Oil (Multifamily)</t>
  </si>
  <si>
    <t>Heat Pump Water Heater displacing Propane (Multifamily)</t>
  </si>
  <si>
    <t>C - Commercial &amp; Industrial</t>
  </si>
  <si>
    <t>C2 - C&amp;I Existing Buildings</t>
  </si>
  <si>
    <t>C2b - C&amp;I New &amp; Replacement Equipment</t>
  </si>
  <si>
    <t>Electric Forklift</t>
  </si>
  <si>
    <t>EC2b125</t>
  </si>
  <si>
    <t>A2a - Residential Coordinated Delivery</t>
  </si>
  <si>
    <t>Custom - Heat Pumps displacing Oil</t>
  </si>
  <si>
    <t>EA2a276</t>
  </si>
  <si>
    <t>Custom - Heat Pumps displacing Propane</t>
  </si>
  <si>
    <t>EA2a277</t>
  </si>
  <si>
    <t>Custom - Heat Pumps displacing Oil (Multifamily)</t>
  </si>
  <si>
    <t>EB1a275</t>
  </si>
  <si>
    <t>Custom - Heat Pumps displacing Propane (Multifamily)</t>
  </si>
  <si>
    <t>EB1a276</t>
  </si>
  <si>
    <t>C2a - C&amp;I Existing Building Retrofit</t>
  </si>
  <si>
    <t>Custom - HVAC (Electrification)</t>
  </si>
  <si>
    <t>EC2a115</t>
  </si>
  <si>
    <t>Projects</t>
  </si>
  <si>
    <t>Fuel Oil - Com Fuel Oil</t>
  </si>
  <si>
    <t>Custom - Electrification Other</t>
  </si>
  <si>
    <t>EC2a163</t>
  </si>
  <si>
    <t>Ducted Heat Pump displacing Oil Heating</t>
  </si>
  <si>
    <t>EC2b104</t>
  </si>
  <si>
    <t>Ductless Heat Pump displacing Oil Heating</t>
  </si>
  <si>
    <t>EC2b105</t>
  </si>
  <si>
    <t>Ducted Heat Pump displacing Propane Heating</t>
  </si>
  <si>
    <t>EC2b106</t>
  </si>
  <si>
    <t>Ductless Heat Pump displacing Propane Heating</t>
  </si>
  <si>
    <t>EC2b107</t>
  </si>
  <si>
    <t>Ducted Heat Pump replacing Oil Heating</t>
  </si>
  <si>
    <t>EC2b115</t>
  </si>
  <si>
    <t>Ductless Heat Pump replacing Oil Heating</t>
  </si>
  <si>
    <t>EC2b116</t>
  </si>
  <si>
    <t>Ducted Heat Pump replacing Propane Heating</t>
  </si>
  <si>
    <t>EC2b117</t>
  </si>
  <si>
    <t>Ductless Heat Pump replacing Propane Heating</t>
  </si>
  <si>
    <t>EC2b118</t>
  </si>
  <si>
    <t>National Grid</t>
  </si>
  <si>
    <t>Electric Lawnmower</t>
  </si>
  <si>
    <t>Motor Gasoline</t>
  </si>
  <si>
    <t>Electric Leafblower</t>
  </si>
  <si>
    <t>Electric Trimmer</t>
  </si>
  <si>
    <t>Electric Chainsaw</t>
  </si>
  <si>
    <t>EC2b119</t>
  </si>
  <si>
    <t>EC2b122</t>
  </si>
  <si>
    <t>EC2b123</t>
  </si>
  <si>
    <t>EC2b124</t>
  </si>
  <si>
    <t>Gross Annual kWh Saved</t>
  </si>
  <si>
    <t xml:space="preserve">Fossil Fuel Type #1
</t>
  </si>
  <si>
    <t xml:space="preserve">Savings from Fuel Type #1 (MMBtu/Year)
</t>
  </si>
  <si>
    <t>Customer Operating Cost Savings</t>
  </si>
  <si>
    <t>Statewide Deemed</t>
  </si>
  <si>
    <t xml:space="preserve">HVAC </t>
  </si>
  <si>
    <t>DMSHP Integrated Controls Retrofit, Gas</t>
  </si>
  <si>
    <t>GA2c069</t>
  </si>
  <si>
    <t>NG - Res Heating</t>
  </si>
  <si>
    <t>Central Ducted Heat Pump Partially Displacing Existing Furnace, Gas</t>
  </si>
  <si>
    <t>GA2c070</t>
  </si>
  <si>
    <t>Central Ducted Heat Pump Fully Displacing Existing Furnace, Gas</t>
  </si>
  <si>
    <t>GA2c071</t>
  </si>
  <si>
    <t>DMSHP with Integrated Controls Partially Displacing Existing Boiler, Gas</t>
  </si>
  <si>
    <t>GA2c072</t>
  </si>
  <si>
    <t>DMSHP with Integrated Controls Fully Displacing Existing Boiler, Gas</t>
  </si>
  <si>
    <t>GA2c073</t>
  </si>
  <si>
    <t>Air-to-Water Heat Pump displacing Existing Boiler, Gas</t>
  </si>
  <si>
    <t>GA2c074</t>
  </si>
  <si>
    <t>Closed Loop GSHP Replacing Furnace, Gas</t>
  </si>
  <si>
    <t>GA2c075</t>
  </si>
  <si>
    <t>Open Loop GSHP Replacing Furnace, Gas</t>
  </si>
  <si>
    <t>GA2c076</t>
  </si>
  <si>
    <t>Heat Pump Water Heater displacing Existing Water Heater, Gas</t>
  </si>
  <si>
    <t>GA2c077</t>
  </si>
  <si>
    <t>NG - Res Hot Water</t>
  </si>
  <si>
    <t>GC2a075</t>
  </si>
  <si>
    <t>NG - C&amp;I Heating</t>
  </si>
  <si>
    <t>Ducted Heat Pump displacing Gas Heating</t>
  </si>
  <si>
    <t>GC2b052</t>
  </si>
  <si>
    <t>Ductless Heat Pump displacing Gas Heating</t>
  </si>
  <si>
    <t>GC2b053</t>
  </si>
  <si>
    <t>Ducted Heat Pump replacing Gas Heating</t>
  </si>
  <si>
    <t>GC2b054</t>
  </si>
  <si>
    <t>Ductless Heat Pump replacing Gas Heating</t>
  </si>
  <si>
    <t>GC2b055</t>
  </si>
  <si>
    <t/>
  </si>
  <si>
    <t>Average of National Grid &amp; Eversource winter 20-21 G1 rates, with supply portion inflated by 14% per EIA projections</t>
  </si>
  <si>
    <t>Midstream - Central Heat Pump, No Integrated Controls</t>
  </si>
  <si>
    <t>EA2c003</t>
  </si>
  <si>
    <t>Midstream - MSHP, No Integrated Controls</t>
  </si>
  <si>
    <t>EA2c004</t>
  </si>
  <si>
    <t>EA2c352</t>
  </si>
  <si>
    <t>EB1c284</t>
  </si>
  <si>
    <t>EB1c285</t>
  </si>
  <si>
    <t>EA2c341</t>
  </si>
  <si>
    <t>EA2c349</t>
  </si>
  <si>
    <t>EA2c350</t>
  </si>
  <si>
    <t>EA2c351</t>
  </si>
  <si>
    <t>Customer Initial Purchase Cost (Excluding Program Incentives)</t>
  </si>
  <si>
    <t>0</t>
  </si>
  <si>
    <t>Benefit-Cost Ratio with $128 SCC</t>
  </si>
  <si>
    <t>Not cost-effective with $128 SCC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</si>
</sst>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_(* #,##0.000_);_(* \(#,##0.000\);_(* &quot;-&quot;??_);_(@_)"/>
    <numFmt numFmtId="168" formatCode="_(&quot;$&quot;* #,##0.000_);_(&quot;$&quot;* \(#,##0.000\);_(&quot;$&quot;* &quot;-&quot;??_);_(@_)"/>
    <numFmt numFmtId="169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u/>
      <sz val="10"/>
      <name val="Arial"/>
      <family val="2"/>
    </font>
    <font>
      <i/>
      <u/>
      <sz val="10"/>
      <name val="Arial"/>
      <family val="2"/>
    </font>
    <font>
      <i/>
      <strike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2">
    <xf numFmtId="0" fontId="0" fillId="0" borderId="0" xfId="0"/>
    <xf numFmtId="164" fontId="2" fillId="0" borderId="1" xfId="2" applyNumberFormat="1" applyFont="1" applyFill="1" applyBorder="1" applyAlignment="1" applyProtection="1">
      <alignment horizontal="center"/>
      <protection locked="0"/>
    </xf>
    <xf numFmtId="165" fontId="2" fillId="0" borderId="1" xfId="1" applyNumberFormat="1" applyFont="1" applyFill="1" applyBorder="1" applyAlignment="1" applyProtection="1">
      <alignment horizontal="right"/>
      <protection locked="0"/>
    </xf>
    <xf numFmtId="0" fontId="2" fillId="0" borderId="1" xfId="1" applyNumberFormat="1" applyFont="1" applyFill="1" applyBorder="1" applyAlignment="1" applyProtection="1">
      <alignment horizontal="right"/>
      <protection locked="0"/>
    </xf>
    <xf numFmtId="166" fontId="2" fillId="0" borderId="1" xfId="1" applyNumberFormat="1" applyFont="1" applyFill="1" applyBorder="1" applyProtection="1">
      <protection locked="0"/>
    </xf>
    <xf numFmtId="164" fontId="2" fillId="0" borderId="1" xfId="2" applyNumberFormat="1" applyFont="1" applyFill="1" applyBorder="1" applyProtection="1">
      <protection locked="0"/>
    </xf>
    <xf numFmtId="166" fontId="2" fillId="0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166" fontId="2" fillId="2" borderId="1" xfId="1" applyNumberFormat="1" applyFont="1" applyFill="1" applyBorder="1" applyProtection="1">
      <protection locked="0"/>
    </xf>
    <xf numFmtId="164" fontId="2" fillId="2" borderId="1" xfId="2" applyNumberFormat="1" applyFont="1" applyFill="1" applyBorder="1" applyProtection="1">
      <protection locked="0"/>
    </xf>
    <xf numFmtId="164" fontId="2" fillId="0" borderId="2" xfId="2" applyNumberFormat="1" applyFont="1" applyFill="1" applyBorder="1" applyAlignment="1" applyProtection="1">
      <alignment horizontal="center"/>
      <protection locked="0"/>
    </xf>
    <xf numFmtId="165" fontId="2" fillId="2" borderId="1" xfId="1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 applyProtection="1">
      <alignment horizontal="right"/>
      <protection locked="0"/>
    </xf>
    <xf numFmtId="164" fontId="2" fillId="2" borderId="2" xfId="2" applyNumberFormat="1" applyFont="1" applyFill="1" applyBorder="1" applyProtection="1">
      <protection locked="0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right"/>
    </xf>
    <xf numFmtId="165" fontId="2" fillId="0" borderId="1" xfId="1" applyNumberFormat="1" applyFont="1" applyFill="1" applyBorder="1" applyAlignment="1" applyProtection="1">
      <alignment horizontal="center" vertical="center"/>
      <protection locked="0"/>
    </xf>
    <xf numFmtId="165" fontId="2" fillId="0" borderId="1" xfId="1" applyNumberFormat="1" applyFont="1" applyFill="1" applyBorder="1" applyAlignment="1">
      <alignment horizontal="center" vertical="center"/>
    </xf>
    <xf numFmtId="0" fontId="3" fillId="3" borderId="1" xfId="2" applyNumberFormat="1" applyFont="1" applyFill="1" applyBorder="1" applyAlignment="1" applyProtection="1">
      <alignment horizontal="center" vertical="top" wrapText="1"/>
      <protection locked="0"/>
    </xf>
    <xf numFmtId="0" fontId="3" fillId="3" borderId="3" xfId="2" applyNumberFormat="1" applyFont="1" applyFill="1" applyBorder="1" applyAlignment="1" applyProtection="1">
      <alignment horizontal="center" vertical="top" wrapText="1"/>
      <protection locked="0"/>
    </xf>
    <xf numFmtId="0" fontId="3" fillId="4" borderId="3" xfId="1" applyNumberFormat="1" applyFont="1" applyFill="1" applyBorder="1" applyAlignment="1" applyProtection="1">
      <alignment horizontal="left" vertical="top" wrapText="1"/>
      <protection locked="0"/>
    </xf>
    <xf numFmtId="0" fontId="3" fillId="4" borderId="3" xfId="0" applyFont="1" applyFill="1" applyBorder="1" applyAlignment="1" applyProtection="1">
      <alignment horizontal="left" vertical="top" wrapText="1"/>
      <protection locked="0"/>
    </xf>
    <xf numFmtId="0" fontId="3" fillId="5" borderId="3" xfId="1" applyNumberFormat="1" applyFont="1" applyFill="1" applyBorder="1" applyAlignment="1" applyProtection="1">
      <alignment horizontal="left" vertical="top" wrapText="1"/>
      <protection locked="0"/>
    </xf>
    <xf numFmtId="0" fontId="3" fillId="0" borderId="3" xfId="2" applyNumberFormat="1" applyFont="1" applyBorder="1" applyAlignment="1" applyProtection="1">
      <alignment horizontal="left" vertical="top" wrapText="1"/>
      <protection locked="0"/>
    </xf>
    <xf numFmtId="0" fontId="3" fillId="0" borderId="3" xfId="1" applyNumberFormat="1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textRotation="90" wrapText="1"/>
      <protection locked="0"/>
    </xf>
    <xf numFmtId="164" fontId="0" fillId="0" borderId="0" xfId="0" applyNumberFormat="1"/>
    <xf numFmtId="43" fontId="2" fillId="2" borderId="2" xfId="1" applyFont="1" applyFill="1" applyBorder="1" applyAlignment="1" applyProtection="1">
      <alignment horizontal="right"/>
      <protection locked="0"/>
    </xf>
    <xf numFmtId="165" fontId="2" fillId="2" borderId="2" xfId="1" applyNumberFormat="1" applyFont="1" applyFill="1" applyBorder="1" applyProtection="1">
      <protection locked="0"/>
    </xf>
    <xf numFmtId="166" fontId="2" fillId="0" borderId="2" xfId="1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43" fontId="2" fillId="2" borderId="1" xfId="1" applyFont="1" applyFill="1" applyBorder="1" applyAlignment="1" applyProtection="1">
      <alignment horizontal="right"/>
      <protection locked="0"/>
    </xf>
    <xf numFmtId="165" fontId="2" fillId="2" borderId="1" xfId="1" applyNumberFormat="1" applyFont="1" applyFill="1" applyBorder="1" applyProtection="1">
      <protection locked="0"/>
    </xf>
    <xf numFmtId="166" fontId="2" fillId="0" borderId="1" xfId="1" applyNumberFormat="1" applyFont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right"/>
      <protection locked="0"/>
    </xf>
    <xf numFmtId="164" fontId="0" fillId="2" borderId="1" xfId="2" applyNumberFormat="1" applyFont="1" applyFill="1" applyBorder="1" applyProtection="1">
      <protection locked="0"/>
    </xf>
    <xf numFmtId="166" fontId="0" fillId="2" borderId="2" xfId="1" applyNumberFormat="1" applyFont="1" applyFill="1" applyBorder="1" applyAlignment="1" applyProtection="1">
      <alignment horizontal="center"/>
      <protection locked="0"/>
    </xf>
    <xf numFmtId="43" fontId="2" fillId="0" borderId="1" xfId="1" applyFont="1" applyBorder="1" applyAlignment="1" applyProtection="1">
      <alignment horizontal="center" vertical="center"/>
      <protection locked="0"/>
    </xf>
    <xf numFmtId="165" fontId="2" fillId="0" borderId="1" xfId="1" applyNumberFormat="1" applyFont="1" applyFill="1" applyBorder="1" applyProtection="1">
      <protection locked="0"/>
    </xf>
    <xf numFmtId="0" fontId="2" fillId="0" borderId="6" xfId="0" applyFont="1" applyBorder="1" applyAlignment="1">
      <alignment horizontal="left"/>
    </xf>
    <xf numFmtId="43" fontId="2" fillId="0" borderId="7" xfId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right"/>
      <protection locked="0"/>
    </xf>
    <xf numFmtId="165" fontId="2" fillId="0" borderId="7" xfId="1" applyNumberFormat="1" applyFont="1" applyFill="1" applyBorder="1" applyProtection="1">
      <protection locked="0"/>
    </xf>
    <xf numFmtId="164" fontId="2" fillId="0" borderId="7" xfId="2" applyNumberFormat="1" applyFont="1" applyFill="1" applyBorder="1" applyProtection="1">
      <protection locked="0"/>
    </xf>
    <xf numFmtId="166" fontId="2" fillId="0" borderId="7" xfId="1" applyNumberFormat="1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166" fontId="2" fillId="6" borderId="1" xfId="1" applyNumberFormat="1" applyFont="1" applyFill="1" applyBorder="1" applyProtection="1">
      <protection locked="0"/>
    </xf>
    <xf numFmtId="164" fontId="2" fillId="0" borderId="1" xfId="2" applyNumberFormat="1" applyFont="1" applyBorder="1" applyProtection="1">
      <protection locked="0"/>
    </xf>
    <xf numFmtId="165" fontId="2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Protection="1">
      <protection locked="0"/>
    </xf>
    <xf numFmtId="165" fontId="2" fillId="0" borderId="1" xfId="1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43" fontId="5" fillId="0" borderId="1" xfId="0" applyNumberFormat="1" applyFont="1" applyBorder="1"/>
    <xf numFmtId="0" fontId="5" fillId="0" borderId="2" xfId="0" applyFont="1" applyBorder="1"/>
    <xf numFmtId="164" fontId="5" fillId="0" borderId="2" xfId="0" applyNumberFormat="1" applyFont="1" applyBorder="1"/>
    <xf numFmtId="164" fontId="5" fillId="2" borderId="1" xfId="2" applyNumberFormat="1" applyFont="1" applyFill="1" applyBorder="1"/>
    <xf numFmtId="166" fontId="5" fillId="2" borderId="1" xfId="1" applyNumberFormat="1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43" fontId="5" fillId="0" borderId="1" xfId="1" applyFont="1" applyBorder="1"/>
    <xf numFmtId="166" fontId="2" fillId="2" borderId="1" xfId="1" applyNumberFormat="1" applyFont="1" applyFill="1" applyBorder="1" applyAlignment="1" applyProtection="1">
      <alignment horizontal="center"/>
      <protection locked="0"/>
    </xf>
    <xf numFmtId="0" fontId="4" fillId="0" borderId="0" xfId="3" applyBorder="1"/>
    <xf numFmtId="0" fontId="6" fillId="0" borderId="0" xfId="0" applyFont="1"/>
    <xf numFmtId="0" fontId="7" fillId="0" borderId="0" xfId="2" applyNumberFormat="1" applyFont="1" applyBorder="1"/>
    <xf numFmtId="0" fontId="7" fillId="0" borderId="0" xfId="2" applyNumberFormat="1" applyFont="1" applyBorder="1" applyAlignment="1">
      <alignment horizontal="right"/>
    </xf>
    <xf numFmtId="44" fontId="7" fillId="0" borderId="0" xfId="2" applyFont="1" applyBorder="1"/>
    <xf numFmtId="0" fontId="7" fillId="0" borderId="0" xfId="2" applyNumberFormat="1" applyFont="1" applyBorder="1" applyAlignment="1">
      <alignment horizontal="center"/>
    </xf>
    <xf numFmtId="0" fontId="8" fillId="0" borderId="0" xfId="2" applyNumberFormat="1" applyFont="1" applyBorder="1" applyAlignment="1">
      <alignment horizontal="center"/>
    </xf>
    <xf numFmtId="44" fontId="7" fillId="0" borderId="0" xfId="2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44" fontId="7" fillId="0" borderId="0" xfId="2" applyFont="1" applyBorder="1" applyAlignment="1">
      <alignment horizontal="center" vertical="center"/>
    </xf>
    <xf numFmtId="0" fontId="7" fillId="0" borderId="0" xfId="2" applyNumberFormat="1" applyFont="1" applyBorder="1" applyAlignment="1">
      <alignment horizontal="left"/>
    </xf>
    <xf numFmtId="167" fontId="7" fillId="0" borderId="0" xfId="1" applyNumberFormat="1" applyFont="1" applyBorder="1" applyAlignment="1">
      <alignment horizontal="center" vertical="center"/>
    </xf>
    <xf numFmtId="0" fontId="4" fillId="0" borderId="0" xfId="3" applyNumberFormat="1" applyBorder="1" applyAlignment="1">
      <alignment horizontal="left"/>
    </xf>
    <xf numFmtId="0" fontId="7" fillId="0" borderId="0" xfId="2" applyNumberFormat="1" applyFont="1" applyFill="1" applyBorder="1" applyAlignment="1">
      <alignment horizontal="left"/>
    </xf>
    <xf numFmtId="169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168" fontId="7" fillId="0" borderId="0" xfId="2" applyNumberFormat="1" applyFont="1" applyBorder="1" applyAlignment="1">
      <alignment horizontal="center" vertical="center"/>
    </xf>
    <xf numFmtId="166" fontId="7" fillId="0" borderId="0" xfId="1" applyNumberFormat="1" applyFont="1" applyBorder="1" applyAlignment="1">
      <alignment horizontal="center"/>
    </xf>
    <xf numFmtId="0" fontId="4" fillId="0" borderId="0" xfId="3" applyAlignment="1">
      <alignment vertical="center"/>
    </xf>
    <xf numFmtId="164" fontId="2" fillId="0" borderId="2" xfId="2" applyNumberFormat="1" applyFont="1" applyFill="1" applyBorder="1" applyProtection="1">
      <protection locked="0"/>
    </xf>
    <xf numFmtId="166" fontId="2" fillId="0" borderId="2" xfId="1" applyNumberFormat="1" applyFont="1" applyBorder="1" applyProtection="1">
      <protection locked="0"/>
    </xf>
    <xf numFmtId="165" fontId="2" fillId="0" borderId="2" xfId="1" applyNumberFormat="1" applyFont="1" applyBorder="1" applyAlignment="1" applyProtection="1">
      <alignment horizontal="center" vertical="center"/>
      <protection locked="0"/>
    </xf>
    <xf numFmtId="0" fontId="0" fillId="2" borderId="0" xfId="0" applyFill="1"/>
    <xf numFmtId="165" fontId="2" fillId="6" borderId="1" xfId="1" applyNumberFormat="1" applyFont="1" applyFill="1" applyBorder="1" applyProtection="1">
      <protection locked="0"/>
    </xf>
    <xf numFmtId="0" fontId="4" fillId="0" borderId="0" xfId="3"/>
    <xf numFmtId="0" fontId="2" fillId="6" borderId="1" xfId="0" applyFont="1" applyFill="1" applyBorder="1" applyAlignment="1" applyProtection="1">
      <alignment horizontal="left"/>
      <protection locked="0"/>
    </xf>
    <xf numFmtId="43" fontId="2" fillId="0" borderId="1" xfId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/>
      <protection locked="0"/>
    </xf>
    <xf numFmtId="0" fontId="9" fillId="7" borderId="2" xfId="2" applyNumberFormat="1" applyFont="1" applyFill="1" applyBorder="1" applyAlignment="1" applyProtection="1">
      <alignment horizontal="center" vertical="top" wrapText="1"/>
      <protection locked="0"/>
    </xf>
    <xf numFmtId="0" fontId="10" fillId="0" borderId="3" xfId="1" applyNumberFormat="1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2" fillId="0" borderId="0" xfId="0" applyFont="1" applyAlignment="1">
      <alignment vertical="top"/>
    </xf>
    <xf numFmtId="43" fontId="0" fillId="0" borderId="0" xfId="1" applyFont="1"/>
    <xf numFmtId="43" fontId="0" fillId="2" borderId="0" xfId="1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rldefense.proofpoint.com/v2/url?u=https-3A__www.nationalgridus.com_media_pdfs_billing-2Dpayments_electric-2Drates_ma_resitable.pdf&amp;d=DwMFAg&amp;c=Rt9MH7x8aPAwEY3f-URIJch7v0PDyVhHmVdpquKSoc0&amp;r=pgHqnPoaMdAf1xkqsJzrIKDIFSR2DCnc2lvX1qEMdrE&amp;m=cWZGfS8QpFlTt5AUptRD8CKz8OUrLsydQhm0QE-qrdw&amp;s=N4mys9EOJjd5sr0prVnmujQiwe53vi_2VyMGieHE6Sw&amp;e=" TargetMode="External"/><Relationship Id="rId3" Type="http://schemas.openxmlformats.org/officeDocument/2006/relationships/hyperlink" Target="https://www.eia.gov/energyexplained/units-and-calculators/" TargetMode="External"/><Relationship Id="rId7" Type="http://schemas.openxmlformats.org/officeDocument/2006/relationships/hyperlink" Target="https://www.nationalgridus.com/MA-Home/Rates/Service-Rates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eia.gov/energyexplained/units-and-calculators/" TargetMode="External"/><Relationship Id="rId1" Type="http://schemas.openxmlformats.org/officeDocument/2006/relationships/hyperlink" Target="https://www.eia.gov/energyexplained/units-and-calculators/" TargetMode="External"/><Relationship Id="rId6" Type="http://schemas.openxmlformats.org/officeDocument/2006/relationships/hyperlink" Target="https://www.eia.gov/outlooks/steo/special/winter/2021_winter_fuels.pdf" TargetMode="External"/><Relationship Id="rId11" Type="http://schemas.openxmlformats.org/officeDocument/2006/relationships/hyperlink" Target="https://www.eia.gov/outlooks/steo/special/winter/2021_winter_fuels.pdf" TargetMode="External"/><Relationship Id="rId5" Type="http://schemas.openxmlformats.org/officeDocument/2006/relationships/hyperlink" Target="https://www.eia.gov/outlooks/steo/special/winter/2021_winter_fuels.pdf" TargetMode="External"/><Relationship Id="rId10" Type="http://schemas.openxmlformats.org/officeDocument/2006/relationships/hyperlink" Target="https://www.nationalgridus.com/MA-Business/Rates/Service-Rates?regionkey=masselec&amp;customertype=business" TargetMode="External"/><Relationship Id="rId4" Type="http://schemas.openxmlformats.org/officeDocument/2006/relationships/hyperlink" Target="https://www.eia.gov/environment/emissions/co2_vol_mass.php" TargetMode="External"/><Relationship Id="rId9" Type="http://schemas.openxmlformats.org/officeDocument/2006/relationships/hyperlink" Target="https://www.nationalgridus.com/media/pdfs/billing-payments/electric-rates/ma/commtable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19064-AA2F-4875-AAEA-4973956FEB45}">
  <dimension ref="A1:K32"/>
  <sheetViews>
    <sheetView tabSelected="1" view="pageLayout" topLeftCell="F1" zoomScale="70" zoomScaleNormal="100" zoomScalePageLayoutView="70" workbookViewId="0">
      <selection activeCell="D18" sqref="D18"/>
    </sheetView>
  </sheetViews>
  <sheetFormatPr defaultColWidth="8.77734375" defaultRowHeight="14.4" x14ac:dyDescent="0.3"/>
  <cols>
    <col min="2" max="2" width="42.21875" style="80" bestFit="1" customWidth="1"/>
    <col min="3" max="3" width="7.77734375" bestFit="1" customWidth="1"/>
    <col min="4" max="4" width="72.77734375" bestFit="1" customWidth="1"/>
    <col min="5" max="5" width="67.21875" customWidth="1"/>
    <col min="6" max="6" width="85.77734375" bestFit="1" customWidth="1"/>
  </cols>
  <sheetData>
    <row r="1" spans="1:11" x14ac:dyDescent="0.3">
      <c r="B1" s="110" t="s">
        <v>0</v>
      </c>
      <c r="C1" s="110"/>
      <c r="D1" s="72" t="s">
        <v>1</v>
      </c>
      <c r="E1" s="111" t="s">
        <v>2</v>
      </c>
      <c r="F1" s="111"/>
      <c r="G1" s="111"/>
    </row>
    <row r="2" spans="1:11" x14ac:dyDescent="0.3">
      <c r="A2" s="73"/>
      <c r="B2" s="74" t="s">
        <v>3</v>
      </c>
      <c r="C2" s="75">
        <v>0.27</v>
      </c>
      <c r="D2" t="s">
        <v>4</v>
      </c>
      <c r="E2" s="71" t="s">
        <v>5</v>
      </c>
      <c r="F2" s="91" t="s">
        <v>6</v>
      </c>
      <c r="G2" s="76"/>
    </row>
    <row r="3" spans="1:11" x14ac:dyDescent="0.3">
      <c r="A3" s="77"/>
      <c r="B3" s="74" t="s">
        <v>7</v>
      </c>
      <c r="C3" s="78">
        <v>0.18</v>
      </c>
      <c r="D3" t="s">
        <v>4</v>
      </c>
      <c r="G3" s="77"/>
    </row>
    <row r="4" spans="1:11" x14ac:dyDescent="0.3">
      <c r="A4" s="77"/>
      <c r="B4" s="74" t="s">
        <v>8</v>
      </c>
      <c r="C4" s="78">
        <v>0.24299999999999999</v>
      </c>
      <c r="D4" t="s">
        <v>9</v>
      </c>
      <c r="E4" s="97" t="s">
        <v>10</v>
      </c>
      <c r="F4" s="97" t="s">
        <v>11</v>
      </c>
      <c r="G4" s="79"/>
    </row>
    <row r="5" spans="1:11" x14ac:dyDescent="0.3">
      <c r="A5" s="77"/>
      <c r="B5" s="74" t="s">
        <v>12</v>
      </c>
      <c r="C5" s="89">
        <v>0.11700000000000001</v>
      </c>
      <c r="D5" t="s">
        <v>13</v>
      </c>
      <c r="E5" s="82"/>
      <c r="F5" s="71" t="s">
        <v>14</v>
      </c>
      <c r="G5" s="79"/>
      <c r="I5" s="84"/>
      <c r="J5" s="79"/>
      <c r="K5" s="85"/>
    </row>
    <row r="6" spans="1:11" x14ac:dyDescent="0.3">
      <c r="A6" s="77"/>
      <c r="B6" s="74" t="s">
        <v>15</v>
      </c>
      <c r="C6" s="89">
        <v>0.96699999999999997</v>
      </c>
      <c r="D6" t="s">
        <v>13</v>
      </c>
      <c r="E6" s="82"/>
      <c r="F6" s="83"/>
      <c r="G6" s="79"/>
      <c r="I6" s="84"/>
      <c r="J6" s="79"/>
      <c r="K6" s="85"/>
    </row>
    <row r="7" spans="1:11" x14ac:dyDescent="0.3">
      <c r="A7" s="77"/>
      <c r="B7" s="74" t="s">
        <v>16</v>
      </c>
      <c r="C7" s="89">
        <v>0.104</v>
      </c>
      <c r="D7" t="s">
        <v>257</v>
      </c>
      <c r="E7" s="82"/>
      <c r="F7" s="83"/>
      <c r="G7" s="79"/>
      <c r="I7" s="84"/>
      <c r="J7" s="79"/>
      <c r="K7" s="85"/>
    </row>
    <row r="8" spans="1:11" x14ac:dyDescent="0.3">
      <c r="A8" s="77"/>
      <c r="B8" s="81"/>
      <c r="C8" s="89"/>
      <c r="D8" s="83"/>
      <c r="E8" s="82"/>
      <c r="F8" s="83"/>
      <c r="G8" s="79"/>
      <c r="I8" s="84"/>
      <c r="J8" s="79"/>
      <c r="K8" s="85"/>
    </row>
    <row r="9" spans="1:11" x14ac:dyDescent="0.3">
      <c r="B9" s="81" t="s">
        <v>17</v>
      </c>
      <c r="C9" s="82">
        <v>3.39</v>
      </c>
      <c r="D9" s="83" t="s">
        <v>18</v>
      </c>
      <c r="E9" s="71" t="s">
        <v>14</v>
      </c>
    </row>
    <row r="10" spans="1:11" x14ac:dyDescent="0.3">
      <c r="B10" s="81" t="s">
        <v>19</v>
      </c>
      <c r="C10" s="82">
        <v>3.57</v>
      </c>
      <c r="D10" s="83" t="s">
        <v>18</v>
      </c>
      <c r="E10" s="71" t="s">
        <v>14</v>
      </c>
    </row>
    <row r="11" spans="1:11" x14ac:dyDescent="0.3">
      <c r="B11" s="81" t="s">
        <v>20</v>
      </c>
      <c r="C11" s="82">
        <v>2.93</v>
      </c>
      <c r="D11" s="83" t="s">
        <v>21</v>
      </c>
    </row>
    <row r="13" spans="1:11" x14ac:dyDescent="0.3">
      <c r="B13" s="80" t="s">
        <v>22</v>
      </c>
      <c r="C13" s="84">
        <v>0.13800000000000001</v>
      </c>
      <c r="D13" s="86" t="s">
        <v>23</v>
      </c>
      <c r="E13" s="85" t="s">
        <v>24</v>
      </c>
    </row>
    <row r="14" spans="1:11" x14ac:dyDescent="0.3">
      <c r="B14" s="80" t="s">
        <v>25</v>
      </c>
      <c r="C14" s="84">
        <v>9.1450000000000004E-2</v>
      </c>
      <c r="D14" s="86" t="s">
        <v>23</v>
      </c>
      <c r="E14" s="85" t="s">
        <v>24</v>
      </c>
    </row>
    <row r="15" spans="1:11" x14ac:dyDescent="0.3">
      <c r="B15" s="80" t="s">
        <v>26</v>
      </c>
      <c r="C15" s="84">
        <v>0.1203</v>
      </c>
      <c r="D15" s="86" t="s">
        <v>23</v>
      </c>
      <c r="E15" s="85" t="s">
        <v>24</v>
      </c>
    </row>
    <row r="17" spans="2:5" x14ac:dyDescent="0.3">
      <c r="B17" s="80" t="s">
        <v>27</v>
      </c>
      <c r="C17" s="87">
        <v>0.1065</v>
      </c>
      <c r="D17" t="s">
        <v>28</v>
      </c>
    </row>
    <row r="18" spans="2:5" x14ac:dyDescent="0.3">
      <c r="B18" s="80" t="s">
        <v>29</v>
      </c>
      <c r="C18" s="87">
        <v>7.8789999999999999E-2</v>
      </c>
      <c r="D18" t="s">
        <v>30</v>
      </c>
    </row>
    <row r="19" spans="2:5" x14ac:dyDescent="0.3">
      <c r="B19" s="80" t="s">
        <v>31</v>
      </c>
      <c r="C19" s="87">
        <v>6.3070000000000001E-2</v>
      </c>
      <c r="D19" t="s">
        <v>30</v>
      </c>
    </row>
    <row r="20" spans="2:5" x14ac:dyDescent="0.3">
      <c r="B20" s="80" t="s">
        <v>32</v>
      </c>
      <c r="C20" s="87">
        <v>5.3069999999999999E-2</v>
      </c>
      <c r="D20" t="s">
        <v>30</v>
      </c>
    </row>
    <row r="21" spans="2:5" x14ac:dyDescent="0.3">
      <c r="B21" s="80" t="s">
        <v>33</v>
      </c>
      <c r="C21" s="87">
        <f>155.77/2205</f>
        <v>7.0643990929705219E-2</v>
      </c>
      <c r="D21" t="s">
        <v>34</v>
      </c>
      <c r="E21" s="71" t="s">
        <v>35</v>
      </c>
    </row>
    <row r="24" spans="2:5" x14ac:dyDescent="0.3">
      <c r="B24" s="74" t="s">
        <v>36</v>
      </c>
      <c r="C24" s="90">
        <v>1533</v>
      </c>
      <c r="D24" t="s">
        <v>37</v>
      </c>
    </row>
    <row r="25" spans="2:5" x14ac:dyDescent="0.3">
      <c r="B25" s="74" t="s">
        <v>38</v>
      </c>
      <c r="C25" s="90">
        <v>584</v>
      </c>
      <c r="D25" t="s">
        <v>37</v>
      </c>
    </row>
    <row r="26" spans="2:5" x14ac:dyDescent="0.3">
      <c r="B26" s="74"/>
      <c r="C26" s="90"/>
    </row>
    <row r="27" spans="2:5" x14ac:dyDescent="0.3">
      <c r="B27" s="74"/>
      <c r="C27" s="90"/>
    </row>
    <row r="29" spans="2:5" x14ac:dyDescent="0.3">
      <c r="B29" s="88"/>
    </row>
    <row r="30" spans="2:5" x14ac:dyDescent="0.3">
      <c r="B30" s="81"/>
      <c r="C30" s="82"/>
      <c r="D30" s="83"/>
    </row>
    <row r="31" spans="2:5" x14ac:dyDescent="0.3">
      <c r="B31" s="81"/>
      <c r="C31" s="82"/>
      <c r="D31" s="83"/>
    </row>
    <row r="32" spans="2:5" x14ac:dyDescent="0.3">
      <c r="B32" s="81"/>
      <c r="C32" s="82"/>
      <c r="D32" s="83"/>
    </row>
  </sheetData>
  <mergeCells count="2">
    <mergeCell ref="B1:C1"/>
    <mergeCell ref="E1:G1"/>
  </mergeCells>
  <hyperlinks>
    <hyperlink ref="E13" r:id="rId1" xr:uid="{3D660DE5-EDD3-4BE4-B3F0-DC3FABD962CD}"/>
    <hyperlink ref="E14" r:id="rId2" xr:uid="{679B5E8C-613D-4BDC-8B3D-D5F7CB39D339}"/>
    <hyperlink ref="E15" r:id="rId3" xr:uid="{B2132A66-D3A4-4B76-B863-BD34E49F1CE2}"/>
    <hyperlink ref="E21" r:id="rId4" xr:uid="{20F887ED-DC28-4AFB-B979-57B0BD347629}"/>
    <hyperlink ref="E9" r:id="rId5" xr:uid="{438A524A-F866-44B1-9C78-E777712BB040}"/>
    <hyperlink ref="E10" r:id="rId6" xr:uid="{5169BACA-2379-4B1B-85EA-8B81A4E99E2A}"/>
    <hyperlink ref="E2" r:id="rId7" xr:uid="{F5442793-57D6-4F0A-8A44-8ACF3A01FB9C}"/>
    <hyperlink ref="F2" r:id="rId8" display="https://urldefense.proofpoint.com/v2/url?u=https-3A__www.nationalgridus.com_media_pdfs_billing-2Dpayments_electric-2Drates_ma_resitable.pdf&amp;d=DwMFAg&amp;c=Rt9MH7x8aPAwEY3f-URIJch7v0PDyVhHmVdpquKSoc0&amp;r=pgHqnPoaMdAf1xkqsJzrIKDIFSR2DCnc2lvX1qEMdrE&amp;m=cWZGfS8QpFlTt5AUptRD8CKz8OUrLsydQhm0QE-qrdw&amp;s=N4mys9EOJjd5sr0prVnmujQiwe53vi_2VyMGieHE6Sw&amp;e=" xr:uid="{FCE316D9-C805-4252-8F11-99908D91337A}"/>
    <hyperlink ref="F4" r:id="rId9" xr:uid="{4FAD0103-AD47-41F8-8F5D-A0056BE1DAEE}"/>
    <hyperlink ref="E4" r:id="rId10" xr:uid="{C67E0F0E-676D-4A5E-8AE4-4D5B7EB4359B}"/>
    <hyperlink ref="F5" r:id="rId11" xr:uid="{0F746732-245C-4B82-9BC2-CDDEB4423A3C}"/>
  </hyperlinks>
  <pageMargins left="0.7" right="0.7" top="0.75" bottom="0.75" header="0.3" footer="0.3"/>
  <pageSetup scale="31" orientation="portrait" r:id="rId12"/>
  <headerFooter>
    <oddHeader>&amp;R&amp;10Boston Gas Company d/b/a National Grid
Attachment DPU-Common 8-2
D.P.U. 21-124 
Page &amp;P of &amp;N
H.O.: Leupold, Ellis, Mealey, Smegal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12573-F999-494B-8778-4D97ED9C89B6}">
  <dimension ref="A1:X75"/>
  <sheetViews>
    <sheetView tabSelected="1" view="pageLayout" topLeftCell="A22" zoomScale="70" zoomScaleNormal="92" zoomScaleSheetLayoutView="40" zoomScalePageLayoutView="70" workbookViewId="0">
      <selection activeCell="D18" sqref="D18"/>
    </sheetView>
  </sheetViews>
  <sheetFormatPr defaultColWidth="8.77734375" defaultRowHeight="13.2" x14ac:dyDescent="0.25"/>
  <cols>
    <col min="1" max="1" width="19.5546875" style="60" bestFit="1" customWidth="1"/>
    <col min="2" max="2" width="2.77734375" style="60" customWidth="1"/>
    <col min="3" max="3" width="5.5546875" style="60" customWidth="1"/>
    <col min="4" max="4" width="24.77734375" style="60" customWidth="1"/>
    <col min="5" max="5" width="13.77734375" style="60" bestFit="1" customWidth="1"/>
    <col min="6" max="6" width="6.77734375" style="60" customWidth="1"/>
    <col min="7" max="7" width="59.44140625" style="60" customWidth="1"/>
    <col min="8" max="8" width="10.5546875" style="60" customWidth="1"/>
    <col min="9" max="10" width="9.21875" style="60" customWidth="1"/>
    <col min="11" max="11" width="11.77734375" style="60" customWidth="1"/>
    <col min="12" max="12" width="11.44140625" style="60" customWidth="1"/>
    <col min="13" max="13" width="13.44140625" style="60" customWidth="1"/>
    <col min="14" max="14" width="19.77734375" style="60" bestFit="1" customWidth="1"/>
    <col min="15" max="15" width="9.21875" style="60" customWidth="1"/>
    <col min="16" max="16" width="11.21875" style="59" customWidth="1"/>
    <col min="17" max="17" width="12.77734375" style="59" customWidth="1"/>
    <col min="18" max="18" width="12.21875" style="60" customWidth="1"/>
    <col min="19" max="19" width="17.77734375" style="60" customWidth="1"/>
    <col min="20" max="20" width="16.77734375" style="60" customWidth="1"/>
    <col min="21" max="21" width="14" style="60" customWidth="1"/>
    <col min="22" max="22" width="9.5546875" style="60" customWidth="1"/>
    <col min="23" max="23" width="21.77734375" style="60" customWidth="1"/>
    <col min="24" max="24" width="10.77734375" style="60" customWidth="1"/>
    <col min="25" max="16384" width="8.77734375" style="60"/>
  </cols>
  <sheetData>
    <row r="1" spans="1:24" ht="92.4" x14ac:dyDescent="0.25">
      <c r="A1" s="30" t="s">
        <v>39</v>
      </c>
      <c r="B1" s="30" t="s">
        <v>40</v>
      </c>
      <c r="C1" s="30" t="s">
        <v>41</v>
      </c>
      <c r="D1" s="30" t="s">
        <v>42</v>
      </c>
      <c r="E1" s="30" t="s">
        <v>43</v>
      </c>
      <c r="F1" s="30" t="s">
        <v>44</v>
      </c>
      <c r="G1" s="29" t="s">
        <v>45</v>
      </c>
      <c r="H1" s="29" t="s">
        <v>46</v>
      </c>
      <c r="I1" s="28" t="s">
        <v>47</v>
      </c>
      <c r="J1" s="28" t="s">
        <v>48</v>
      </c>
      <c r="K1" s="27" t="s">
        <v>49</v>
      </c>
      <c r="L1" s="27" t="s">
        <v>50</v>
      </c>
      <c r="M1" s="26" t="s">
        <v>51</v>
      </c>
      <c r="N1" s="25" t="s">
        <v>52</v>
      </c>
      <c r="O1" s="24" t="s">
        <v>53</v>
      </c>
      <c r="P1" s="25" t="s">
        <v>54</v>
      </c>
      <c r="Q1" s="24" t="s">
        <v>55</v>
      </c>
      <c r="R1" s="22" t="s">
        <v>56</v>
      </c>
      <c r="S1" s="23" t="s">
        <v>57</v>
      </c>
      <c r="T1" s="23" t="s">
        <v>58</v>
      </c>
      <c r="U1" s="23" t="s">
        <v>59</v>
      </c>
      <c r="V1" s="22" t="s">
        <v>60</v>
      </c>
      <c r="W1" s="102" t="s">
        <v>271</v>
      </c>
      <c r="X1" s="102" t="s">
        <v>272</v>
      </c>
    </row>
    <row r="2" spans="1:24" x14ac:dyDescent="0.25">
      <c r="A2" s="60" t="s">
        <v>61</v>
      </c>
      <c r="B2" s="8" t="s">
        <v>62</v>
      </c>
      <c r="C2" s="7" t="s">
        <v>63</v>
      </c>
      <c r="D2" s="7" t="s">
        <v>64</v>
      </c>
      <c r="E2" s="7" t="s">
        <v>65</v>
      </c>
      <c r="F2" s="8" t="s">
        <v>66</v>
      </c>
      <c r="G2" s="100" t="s">
        <v>67</v>
      </c>
      <c r="H2" s="7" t="s">
        <v>68</v>
      </c>
      <c r="I2" s="7" t="s">
        <v>69</v>
      </c>
      <c r="J2" s="6">
        <v>25</v>
      </c>
      <c r="K2" s="6">
        <v>0</v>
      </c>
      <c r="L2" s="6">
        <v>0</v>
      </c>
      <c r="M2" s="6">
        <v>-5845</v>
      </c>
      <c r="N2" s="9"/>
      <c r="O2" s="2"/>
      <c r="P2" s="9" t="s">
        <v>70</v>
      </c>
      <c r="Q2" s="2">
        <v>60.6</v>
      </c>
      <c r="R2" s="69">
        <v>0</v>
      </c>
      <c r="S2" s="1">
        <f t="shared" ref="S2:S35" si="0">L2-K2</f>
        <v>0</v>
      </c>
      <c r="T2" s="1">
        <f t="shared" ref="T2:T35" si="1">(OilPrice*O2/OilMMBTu+PropanePrice*Q2/PropaneMMBTU)+IF(B2="A - Residential",ResElecRate*M2,IF(B2="B - Income Eligible",ResIERate*M2,CIElecRate*M2))</f>
        <v>787.53616730453768</v>
      </c>
      <c r="U2" s="61">
        <f t="shared" ref="U2:U35" si="2">S2+T2*J2</f>
        <v>19688.404182613442</v>
      </c>
      <c r="V2" s="62">
        <f>M2*Assumptions!C$17/1000+O2*Assumptions!C$18+Q2*Assumptions!C$19</f>
        <v>3.1995495000000003</v>
      </c>
      <c r="W2" s="69">
        <v>0</v>
      </c>
      <c r="X2" s="60" t="str">
        <f>IF(W2=0,"",IF(AND(W2&lt;1,R2&lt;1),"",IF(W2&lt;1,"Not cost-effective","")))</f>
        <v/>
      </c>
    </row>
    <row r="3" spans="1:24" x14ac:dyDescent="0.25">
      <c r="A3" s="60" t="s">
        <v>61</v>
      </c>
      <c r="B3" s="8" t="s">
        <v>62</v>
      </c>
      <c r="C3" s="7" t="s">
        <v>63</v>
      </c>
      <c r="D3" s="7" t="s">
        <v>64</v>
      </c>
      <c r="E3" s="7" t="s">
        <v>65</v>
      </c>
      <c r="F3" s="8" t="s">
        <v>71</v>
      </c>
      <c r="G3" s="100" t="s">
        <v>72</v>
      </c>
      <c r="H3" s="7" t="s">
        <v>73</v>
      </c>
      <c r="I3" s="7" t="s">
        <v>69</v>
      </c>
      <c r="J3" s="6">
        <v>15</v>
      </c>
      <c r="K3" s="6">
        <v>0</v>
      </c>
      <c r="L3" s="6">
        <v>0</v>
      </c>
      <c r="M3" s="6">
        <v>-1467</v>
      </c>
      <c r="N3" s="9"/>
      <c r="O3" s="2"/>
      <c r="P3" s="9" t="s">
        <v>70</v>
      </c>
      <c r="Q3" s="2">
        <v>13.5</v>
      </c>
      <c r="R3" s="69">
        <v>0</v>
      </c>
      <c r="S3" s="1">
        <f t="shared" si="0"/>
        <v>0</v>
      </c>
      <c r="T3" s="1">
        <f t="shared" si="1"/>
        <v>130.91929469655543</v>
      </c>
      <c r="U3" s="61">
        <f t="shared" si="2"/>
        <v>1963.7894204483314</v>
      </c>
      <c r="V3" s="62">
        <f>M3*Assumptions!C$17/1000+O3*Assumptions!C$18+Q3*Assumptions!C$19</f>
        <v>0.69520950000000004</v>
      </c>
      <c r="W3" s="69">
        <v>0</v>
      </c>
      <c r="X3" s="60" t="str">
        <f t="shared" ref="X3:X66" si="3">IF(W3=0,"",IF(AND(W3&lt;1,R3&lt;1),"",IF(W3&lt;1,"Not cost-effective","")))</f>
        <v/>
      </c>
    </row>
    <row r="4" spans="1:24" x14ac:dyDescent="0.25">
      <c r="A4" s="60" t="s">
        <v>61</v>
      </c>
      <c r="B4" s="8" t="s">
        <v>62</v>
      </c>
      <c r="C4" s="7" t="s">
        <v>74</v>
      </c>
      <c r="D4" s="8" t="s">
        <v>75</v>
      </c>
      <c r="E4" s="8" t="s">
        <v>65</v>
      </c>
      <c r="F4" s="8" t="s">
        <v>66</v>
      </c>
      <c r="G4" s="100" t="s">
        <v>76</v>
      </c>
      <c r="H4" s="7" t="s">
        <v>77</v>
      </c>
      <c r="I4" s="7" t="s">
        <v>69</v>
      </c>
      <c r="J4" s="6">
        <v>10</v>
      </c>
      <c r="K4" s="6">
        <v>2000</v>
      </c>
      <c r="L4" s="6">
        <v>1500</v>
      </c>
      <c r="M4" s="6">
        <v>-1678.0182222222211</v>
      </c>
      <c r="N4" s="9" t="s">
        <v>78</v>
      </c>
      <c r="O4" s="20">
        <v>24.598427327176037</v>
      </c>
      <c r="P4" s="9"/>
      <c r="Q4" s="20"/>
      <c r="R4" s="69">
        <v>4.7769209659255356</v>
      </c>
      <c r="S4" s="1">
        <f t="shared" si="0"/>
        <v>-500</v>
      </c>
      <c r="T4" s="1">
        <f t="shared" si="1"/>
        <v>151.20079477628104</v>
      </c>
      <c r="U4" s="61">
        <f t="shared" si="2"/>
        <v>1012.0079477628105</v>
      </c>
      <c r="V4" s="62">
        <f>M4*Assumptions!C$17/1000+O4*Assumptions!C$18+Q4*Assumptions!C$19</f>
        <v>1.7594011484415333</v>
      </c>
      <c r="W4" s="69">
        <v>3.0558798721940472</v>
      </c>
      <c r="X4" s="60" t="str">
        <f t="shared" si="3"/>
        <v/>
      </c>
    </row>
    <row r="5" spans="1:24" x14ac:dyDescent="0.25">
      <c r="A5" s="60" t="s">
        <v>61</v>
      </c>
      <c r="B5" s="8" t="s">
        <v>62</v>
      </c>
      <c r="C5" s="7" t="s">
        <v>74</v>
      </c>
      <c r="D5" s="8" t="s">
        <v>75</v>
      </c>
      <c r="E5" s="8" t="s">
        <v>65</v>
      </c>
      <c r="F5" s="8" t="s">
        <v>66</v>
      </c>
      <c r="G5" s="100" t="s">
        <v>79</v>
      </c>
      <c r="H5" s="7" t="s">
        <v>80</v>
      </c>
      <c r="I5" s="7" t="s">
        <v>69</v>
      </c>
      <c r="J5" s="6">
        <v>10</v>
      </c>
      <c r="K5" s="6">
        <v>2000</v>
      </c>
      <c r="L5" s="6">
        <v>1500</v>
      </c>
      <c r="M5" s="6">
        <v>-1678.0182222222211</v>
      </c>
      <c r="N5" s="9"/>
      <c r="O5" s="20"/>
      <c r="P5" s="9" t="s">
        <v>70</v>
      </c>
      <c r="Q5" s="20">
        <v>25.234045604364056</v>
      </c>
      <c r="R5" s="69">
        <v>6.2786824869606948</v>
      </c>
      <c r="S5" s="1">
        <f t="shared" si="0"/>
        <v>-500</v>
      </c>
      <c r="T5" s="1">
        <f t="shared" si="1"/>
        <v>532.01482639234223</v>
      </c>
      <c r="U5" s="61">
        <f t="shared" si="2"/>
        <v>4820.1482639234218</v>
      </c>
      <c r="V5" s="62">
        <f>M5*Assumptions!C$17/1000+O5*Assumptions!C$18+Q5*Assumptions!C$19</f>
        <v>1.4128023156005747</v>
      </c>
      <c r="W5" s="69">
        <v>4.8598251525493321</v>
      </c>
      <c r="X5" s="60" t="str">
        <f t="shared" si="3"/>
        <v/>
      </c>
    </row>
    <row r="6" spans="1:24" x14ac:dyDescent="0.25">
      <c r="A6" s="60" t="s">
        <v>61</v>
      </c>
      <c r="B6" s="8" t="s">
        <v>62</v>
      </c>
      <c r="C6" s="7" t="s">
        <v>74</v>
      </c>
      <c r="D6" s="8" t="s">
        <v>75</v>
      </c>
      <c r="E6" s="8" t="s">
        <v>65</v>
      </c>
      <c r="F6" s="8" t="s">
        <v>66</v>
      </c>
      <c r="G6" s="101" t="s">
        <v>258</v>
      </c>
      <c r="H6" s="35" t="s">
        <v>259</v>
      </c>
      <c r="I6" s="7" t="s">
        <v>69</v>
      </c>
      <c r="J6" s="6">
        <v>15</v>
      </c>
      <c r="K6" s="6">
        <v>2098</v>
      </c>
      <c r="L6" s="6">
        <v>100</v>
      </c>
      <c r="M6" s="6">
        <v>1533</v>
      </c>
      <c r="N6" s="9"/>
      <c r="O6" s="20"/>
      <c r="P6" s="9"/>
      <c r="Q6" s="20"/>
      <c r="R6" s="69">
        <v>3.9160517700761219</v>
      </c>
      <c r="S6" s="1">
        <f t="shared" ref="S6" si="4">L6-K6</f>
        <v>-1998</v>
      </c>
      <c r="T6" s="1">
        <f t="shared" ref="T6" si="5">(OilPrice*O6/OilMMBTu+PropanePrice*Q6/PropaneMMBTU)+IF(B6="A - Residential",ResElecRate*M6,IF(B6="B - Income Eligible",ResIERate*M6,CIElecRate*M6))</f>
        <v>413.91</v>
      </c>
      <c r="U6" s="61">
        <f t="shared" ref="U6" si="6">S6+T6*J6</f>
        <v>4210.6500000000005</v>
      </c>
      <c r="V6" s="62">
        <f>M6*Assumptions!C$17/1000+O6*Assumptions!C$18+Q6*Assumptions!C$19</f>
        <v>0.16326450000000001</v>
      </c>
      <c r="W6" s="69">
        <v>2.6815932642287259</v>
      </c>
      <c r="X6" s="60" t="str">
        <f t="shared" si="3"/>
        <v/>
      </c>
    </row>
    <row r="7" spans="1:24" x14ac:dyDescent="0.25">
      <c r="A7" s="60" t="s">
        <v>61</v>
      </c>
      <c r="B7" s="8" t="s">
        <v>62</v>
      </c>
      <c r="C7" s="7" t="s">
        <v>74</v>
      </c>
      <c r="D7" s="8" t="s">
        <v>75</v>
      </c>
      <c r="E7" s="8" t="s">
        <v>65</v>
      </c>
      <c r="F7" s="8" t="s">
        <v>66</v>
      </c>
      <c r="G7" s="101" t="s">
        <v>260</v>
      </c>
      <c r="H7" s="35" t="s">
        <v>261</v>
      </c>
      <c r="I7" s="7" t="s">
        <v>69</v>
      </c>
      <c r="J7" s="6">
        <v>18</v>
      </c>
      <c r="K7" s="6">
        <v>353</v>
      </c>
      <c r="L7" s="6">
        <v>100</v>
      </c>
      <c r="M7" s="6">
        <v>584</v>
      </c>
      <c r="N7" s="9"/>
      <c r="O7" s="20"/>
      <c r="P7" s="9"/>
      <c r="Q7" s="20"/>
      <c r="R7" s="69">
        <v>10.543507344948772</v>
      </c>
      <c r="S7" s="1">
        <f t="shared" ref="S7" si="7">L7-K7</f>
        <v>-253</v>
      </c>
      <c r="T7" s="1">
        <f t="shared" ref="T7" si="8">(OilPrice*O7/OilMMBTu+PropanePrice*Q7/PropaneMMBTU)+IF(B7="A - Residential",ResElecRate*M7,IF(B7="B - Income Eligible",ResIERate*M7,CIElecRate*M7))</f>
        <v>157.68</v>
      </c>
      <c r="U7" s="61">
        <f t="shared" ref="U7" si="9">S7+T7*J7</f>
        <v>2585.2400000000002</v>
      </c>
      <c r="V7" s="62">
        <f>M7*Assumptions!C$17/1000+O7*Assumptions!C$18+Q7*Assumptions!C$19</f>
        <v>6.2196000000000001E-2</v>
      </c>
      <c r="W7" s="69">
        <v>7.2044195493714129</v>
      </c>
      <c r="X7" s="60" t="str">
        <f t="shared" si="3"/>
        <v/>
      </c>
    </row>
    <row r="8" spans="1:24" x14ac:dyDescent="0.25">
      <c r="A8" s="60" t="s">
        <v>61</v>
      </c>
      <c r="B8" s="8" t="s">
        <v>62</v>
      </c>
      <c r="C8" s="7" t="s">
        <v>74</v>
      </c>
      <c r="D8" s="8" t="s">
        <v>75</v>
      </c>
      <c r="E8" s="8" t="s">
        <v>65</v>
      </c>
      <c r="F8" s="8" t="s">
        <v>66</v>
      </c>
      <c r="G8" s="100" t="s">
        <v>81</v>
      </c>
      <c r="H8" s="7" t="s">
        <v>82</v>
      </c>
      <c r="I8" s="7" t="s">
        <v>69</v>
      </c>
      <c r="J8" s="6">
        <v>17</v>
      </c>
      <c r="K8" s="6">
        <v>12724</v>
      </c>
      <c r="L8" s="6">
        <v>4000</v>
      </c>
      <c r="M8" s="54">
        <f>-4562.6645482487</f>
        <v>-4562.6645482487002</v>
      </c>
      <c r="N8" s="9" t="s">
        <v>78</v>
      </c>
      <c r="O8" s="20">
        <v>49.6</v>
      </c>
      <c r="P8" s="9"/>
      <c r="Q8" s="20"/>
      <c r="R8" s="69">
        <v>2.3683477390857233</v>
      </c>
      <c r="S8" s="1">
        <f t="shared" si="0"/>
        <v>-8724</v>
      </c>
      <c r="T8" s="1">
        <f t="shared" si="1"/>
        <v>-13.484645418453511</v>
      </c>
      <c r="U8" s="61">
        <f t="shared" si="2"/>
        <v>-8953.2389721137097</v>
      </c>
      <c r="V8" s="62">
        <f>M8*Assumptions!C$17/1000+O8*Assumptions!C$18+Q8*Assumptions!C$19</f>
        <v>3.4220602256115136</v>
      </c>
      <c r="W8" s="69">
        <v>1.5912120207015958</v>
      </c>
      <c r="X8" s="60" t="str">
        <f t="shared" si="3"/>
        <v/>
      </c>
    </row>
    <row r="9" spans="1:24" x14ac:dyDescent="0.25">
      <c r="A9" s="60" t="s">
        <v>61</v>
      </c>
      <c r="B9" s="8" t="s">
        <v>62</v>
      </c>
      <c r="C9" s="7" t="s">
        <v>74</v>
      </c>
      <c r="D9" s="8" t="s">
        <v>75</v>
      </c>
      <c r="E9" s="8" t="s">
        <v>65</v>
      </c>
      <c r="F9" s="8" t="s">
        <v>66</v>
      </c>
      <c r="G9" s="100" t="s">
        <v>83</v>
      </c>
      <c r="H9" s="7" t="s">
        <v>84</v>
      </c>
      <c r="I9" s="7" t="s">
        <v>69</v>
      </c>
      <c r="J9" s="6">
        <v>17</v>
      </c>
      <c r="K9" s="6">
        <v>12724</v>
      </c>
      <c r="L9" s="6">
        <v>4000</v>
      </c>
      <c r="M9" s="54">
        <f>-5210.42883396299</f>
        <v>-5210.4288339629902</v>
      </c>
      <c r="N9" s="9"/>
      <c r="O9" s="20"/>
      <c r="P9" s="9" t="s">
        <v>70</v>
      </c>
      <c r="Q9" s="20">
        <v>56</v>
      </c>
      <c r="R9" s="69">
        <v>3.4193704728530663</v>
      </c>
      <c r="S9" s="1">
        <f t="shared" si="0"/>
        <v>-8724</v>
      </c>
      <c r="T9" s="1">
        <f t="shared" si="1"/>
        <v>779.29684468237065</v>
      </c>
      <c r="U9" s="61">
        <f t="shared" si="2"/>
        <v>4524.046359600301</v>
      </c>
      <c r="V9" s="62">
        <f>M9*Assumptions!C$17/1000+O9*Assumptions!C$18+Q9*Assumptions!C$19</f>
        <v>2.9770093291829416</v>
      </c>
      <c r="W9" s="69">
        <v>2.7722195906040938</v>
      </c>
      <c r="X9" s="60" t="str">
        <f t="shared" si="3"/>
        <v/>
      </c>
    </row>
    <row r="10" spans="1:24" x14ac:dyDescent="0.25">
      <c r="A10" s="60" t="s">
        <v>61</v>
      </c>
      <c r="B10" s="8" t="s">
        <v>62</v>
      </c>
      <c r="C10" s="7" t="s">
        <v>74</v>
      </c>
      <c r="D10" s="8" t="s">
        <v>75</v>
      </c>
      <c r="E10" s="8" t="s">
        <v>65</v>
      </c>
      <c r="F10" s="8" t="s">
        <v>66</v>
      </c>
      <c r="G10" s="100" t="s">
        <v>85</v>
      </c>
      <c r="H10" s="7" t="s">
        <v>86</v>
      </c>
      <c r="I10" s="7" t="s">
        <v>69</v>
      </c>
      <c r="J10" s="6">
        <v>17</v>
      </c>
      <c r="K10" s="6">
        <v>16163</v>
      </c>
      <c r="L10" s="6">
        <v>10000</v>
      </c>
      <c r="M10" s="54">
        <f>-10020.2266557772</f>
        <v>-10020.2266557772</v>
      </c>
      <c r="N10" s="9" t="s">
        <v>78</v>
      </c>
      <c r="O10" s="20">
        <v>83.912862968026758</v>
      </c>
      <c r="P10" s="9"/>
      <c r="Q10" s="20"/>
      <c r="R10" s="69">
        <v>2.5700582161873067</v>
      </c>
      <c r="S10" s="1">
        <f t="shared" si="0"/>
        <v>-6163</v>
      </c>
      <c r="T10" s="1">
        <f t="shared" si="1"/>
        <v>-644.12347632353476</v>
      </c>
      <c r="U10" s="61">
        <f t="shared" si="2"/>
        <v>-17113.09909750009</v>
      </c>
      <c r="V10" s="62">
        <f>M10*Assumptions!C$17/1000+O10*Assumptions!C$18+Q10*Assumptions!C$19</f>
        <v>5.5443403344105562</v>
      </c>
      <c r="W10" s="69">
        <v>1.7924638542681222</v>
      </c>
      <c r="X10" s="60" t="str">
        <f t="shared" si="3"/>
        <v/>
      </c>
    </row>
    <row r="11" spans="1:24" x14ac:dyDescent="0.25">
      <c r="A11" s="60" t="s">
        <v>61</v>
      </c>
      <c r="B11" s="8" t="s">
        <v>62</v>
      </c>
      <c r="C11" s="7" t="s">
        <v>74</v>
      </c>
      <c r="D11" s="8" t="s">
        <v>75</v>
      </c>
      <c r="E11" s="8" t="s">
        <v>65</v>
      </c>
      <c r="F11" s="8" t="s">
        <v>66</v>
      </c>
      <c r="G11" s="100" t="s">
        <v>87</v>
      </c>
      <c r="H11" s="7" t="s">
        <v>88</v>
      </c>
      <c r="I11" s="7" t="s">
        <v>69</v>
      </c>
      <c r="J11" s="6">
        <v>17</v>
      </c>
      <c r="K11" s="6">
        <v>16163</v>
      </c>
      <c r="L11" s="6">
        <v>10000</v>
      </c>
      <c r="M11" s="54">
        <f>-10020.2266557772</f>
        <v>-10020.2266557772</v>
      </c>
      <c r="N11" s="9"/>
      <c r="O11" s="20"/>
      <c r="P11" s="9" t="s">
        <v>70</v>
      </c>
      <c r="Q11" s="20">
        <v>83.912862968026758</v>
      </c>
      <c r="R11" s="69">
        <v>3.4825556954814987</v>
      </c>
      <c r="S11" s="1">
        <f t="shared" si="0"/>
        <v>-6163</v>
      </c>
      <c r="T11" s="1">
        <f t="shared" si="1"/>
        <v>570.3061161807841</v>
      </c>
      <c r="U11" s="61">
        <f t="shared" si="2"/>
        <v>3532.2039750733293</v>
      </c>
      <c r="V11" s="62">
        <f>M11*Assumptions!C$17/1000+O11*Assumptions!C$18+Q11*Assumptions!C$19</f>
        <v>4.2252301285531759</v>
      </c>
      <c r="W11" s="69">
        <v>2.9640319362022098</v>
      </c>
      <c r="X11" s="60" t="str">
        <f t="shared" si="3"/>
        <v/>
      </c>
    </row>
    <row r="12" spans="1:24" x14ac:dyDescent="0.25">
      <c r="A12" s="60" t="s">
        <v>61</v>
      </c>
      <c r="B12" s="8" t="s">
        <v>62</v>
      </c>
      <c r="C12" s="7" t="s">
        <v>74</v>
      </c>
      <c r="D12" s="8" t="s">
        <v>75</v>
      </c>
      <c r="E12" s="8" t="s">
        <v>65</v>
      </c>
      <c r="F12" s="8" t="s">
        <v>66</v>
      </c>
      <c r="G12" s="100" t="s">
        <v>89</v>
      </c>
      <c r="H12" s="7" t="s">
        <v>90</v>
      </c>
      <c r="I12" s="7" t="s">
        <v>69</v>
      </c>
      <c r="J12" s="6">
        <v>18</v>
      </c>
      <c r="K12" s="6">
        <v>11475</v>
      </c>
      <c r="L12" s="6">
        <v>4000</v>
      </c>
      <c r="M12" s="54">
        <f>-4212.74399238765</f>
        <v>-4212.74399238765</v>
      </c>
      <c r="N12" s="9" t="s">
        <v>78</v>
      </c>
      <c r="O12" s="20">
        <v>44.9</v>
      </c>
      <c r="P12" s="9"/>
      <c r="Q12" s="20"/>
      <c r="R12" s="69">
        <v>2.4292382822112506</v>
      </c>
      <c r="S12" s="1">
        <f t="shared" si="0"/>
        <v>-7475</v>
      </c>
      <c r="T12" s="1">
        <f t="shared" si="1"/>
        <v>-34.462617075100297</v>
      </c>
      <c r="U12" s="61">
        <f t="shared" si="2"/>
        <v>-8095.3271073518054</v>
      </c>
      <c r="V12" s="62">
        <f>M12*Assumptions!C$17/1000+O12*Assumptions!C$18+Q12*Assumptions!C$19</f>
        <v>3.0890137648107152</v>
      </c>
      <c r="W12" s="69">
        <v>1.6201748580217519</v>
      </c>
      <c r="X12" s="60" t="str">
        <f t="shared" si="3"/>
        <v/>
      </c>
    </row>
    <row r="13" spans="1:24" x14ac:dyDescent="0.25">
      <c r="A13" s="60" t="s">
        <v>61</v>
      </c>
      <c r="B13" s="8" t="s">
        <v>62</v>
      </c>
      <c r="C13" s="7" t="s">
        <v>74</v>
      </c>
      <c r="D13" s="8" t="s">
        <v>75</v>
      </c>
      <c r="E13" s="8" t="s">
        <v>65</v>
      </c>
      <c r="F13" s="8" t="s">
        <v>66</v>
      </c>
      <c r="G13" s="100" t="s">
        <v>91</v>
      </c>
      <c r="H13" s="7" t="s">
        <v>92</v>
      </c>
      <c r="I13" s="7" t="s">
        <v>69</v>
      </c>
      <c r="J13" s="6">
        <v>18</v>
      </c>
      <c r="K13" s="6">
        <v>11475</v>
      </c>
      <c r="L13" s="6">
        <v>4000</v>
      </c>
      <c r="M13" s="54">
        <f>-4642.24649238766</f>
        <v>-4642.2464923876596</v>
      </c>
      <c r="N13" s="9"/>
      <c r="O13" s="20"/>
      <c r="P13" s="9" t="s">
        <v>70</v>
      </c>
      <c r="Q13" s="20">
        <v>48.7</v>
      </c>
      <c r="R13" s="69">
        <v>3.3947385676510167</v>
      </c>
      <c r="S13" s="1">
        <f t="shared" si="0"/>
        <v>-7475</v>
      </c>
      <c r="T13" s="1">
        <f t="shared" si="1"/>
        <v>647.73068051623954</v>
      </c>
      <c r="U13" s="61">
        <f t="shared" si="2"/>
        <v>4184.1522492923123</v>
      </c>
      <c r="V13" s="62">
        <f>M13*Assumptions!C$17/1000+O13*Assumptions!C$18+Q13*Assumptions!C$19</f>
        <v>2.5771097485607144</v>
      </c>
      <c r="W13" s="69">
        <v>2.7558248615251855</v>
      </c>
      <c r="X13" s="60" t="str">
        <f t="shared" si="3"/>
        <v/>
      </c>
    </row>
    <row r="14" spans="1:24" x14ac:dyDescent="0.25">
      <c r="A14" s="60" t="s">
        <v>61</v>
      </c>
      <c r="B14" s="8" t="s">
        <v>62</v>
      </c>
      <c r="C14" s="7" t="s">
        <v>74</v>
      </c>
      <c r="D14" s="8" t="s">
        <v>75</v>
      </c>
      <c r="E14" s="8" t="s">
        <v>65</v>
      </c>
      <c r="F14" s="8" t="s">
        <v>66</v>
      </c>
      <c r="G14" s="7" t="s">
        <v>93</v>
      </c>
      <c r="H14" s="7" t="s">
        <v>94</v>
      </c>
      <c r="I14" s="7" t="s">
        <v>69</v>
      </c>
      <c r="J14" s="6">
        <v>18</v>
      </c>
      <c r="K14" s="6">
        <v>15984</v>
      </c>
      <c r="L14" s="6">
        <v>10000</v>
      </c>
      <c r="M14" s="54">
        <f>-7730.42795436492</f>
        <v>-7730.42795436492</v>
      </c>
      <c r="N14" s="9" t="s">
        <v>78</v>
      </c>
      <c r="O14" s="20">
        <v>69.325100254055101</v>
      </c>
      <c r="P14" s="9"/>
      <c r="Q14" s="20"/>
      <c r="R14" s="69">
        <v>2.3745292275362107</v>
      </c>
      <c r="S14" s="1">
        <f t="shared" si="0"/>
        <v>-5984</v>
      </c>
      <c r="T14" s="1">
        <f t="shared" si="1"/>
        <v>-384.22938926369648</v>
      </c>
      <c r="U14" s="61">
        <f t="shared" si="2"/>
        <v>-12900.129006746536</v>
      </c>
      <c r="V14" s="62">
        <f>M14*Assumptions!C$17/1000+O14*Assumptions!C$18+Q14*Assumptions!C$19</f>
        <v>4.6388340718771373</v>
      </c>
      <c r="W14" s="69">
        <v>1.6240533278736562</v>
      </c>
      <c r="X14" s="60" t="str">
        <f t="shared" si="3"/>
        <v/>
      </c>
    </row>
    <row r="15" spans="1:24" x14ac:dyDescent="0.25">
      <c r="A15" s="60" t="s">
        <v>61</v>
      </c>
      <c r="B15" s="8" t="s">
        <v>62</v>
      </c>
      <c r="C15" s="7" t="s">
        <v>74</v>
      </c>
      <c r="D15" s="8" t="s">
        <v>75</v>
      </c>
      <c r="E15" s="8" t="s">
        <v>65</v>
      </c>
      <c r="F15" s="8" t="s">
        <v>66</v>
      </c>
      <c r="G15" s="7" t="s">
        <v>95</v>
      </c>
      <c r="H15" s="7" t="s">
        <v>96</v>
      </c>
      <c r="I15" s="7" t="s">
        <v>69</v>
      </c>
      <c r="J15" s="6">
        <v>18</v>
      </c>
      <c r="K15" s="6">
        <v>15984</v>
      </c>
      <c r="L15" s="6">
        <v>10000</v>
      </c>
      <c r="M15" s="54">
        <f>-7730.42795436492</f>
        <v>-7730.42795436492</v>
      </c>
      <c r="N15" s="9"/>
      <c r="O15" s="20"/>
      <c r="P15" s="9" t="s">
        <v>70</v>
      </c>
      <c r="Q15" s="20">
        <v>69.325100254055101</v>
      </c>
      <c r="R15" s="69">
        <v>3.1798477240340173</v>
      </c>
      <c r="S15" s="1">
        <f t="shared" si="0"/>
        <v>-5984</v>
      </c>
      <c r="T15" s="1">
        <f t="shared" si="1"/>
        <v>619.07868859240307</v>
      </c>
      <c r="U15" s="61">
        <f t="shared" si="2"/>
        <v>5159.4163946632543</v>
      </c>
      <c r="V15" s="62">
        <f>M15*Assumptions!C$17/1000+O15*Assumptions!C$18+Q15*Assumptions!C$19</f>
        <v>3.5490434958833914</v>
      </c>
      <c r="W15" s="69">
        <v>2.6585414517652497</v>
      </c>
      <c r="X15" s="60" t="str">
        <f t="shared" si="3"/>
        <v/>
      </c>
    </row>
    <row r="16" spans="1:24" x14ac:dyDescent="0.25">
      <c r="A16" s="60" t="s">
        <v>61</v>
      </c>
      <c r="B16" s="8" t="s">
        <v>62</v>
      </c>
      <c r="C16" s="7" t="s">
        <v>74</v>
      </c>
      <c r="D16" s="8" t="s">
        <v>75</v>
      </c>
      <c r="E16" s="8" t="s">
        <v>65</v>
      </c>
      <c r="F16" s="8" t="s">
        <v>66</v>
      </c>
      <c r="G16" s="7" t="s">
        <v>97</v>
      </c>
      <c r="H16" s="7" t="s">
        <v>98</v>
      </c>
      <c r="I16" s="7" t="s">
        <v>69</v>
      </c>
      <c r="J16" s="6">
        <v>17</v>
      </c>
      <c r="K16" s="6">
        <v>18500</v>
      </c>
      <c r="L16" s="6">
        <v>7500</v>
      </c>
      <c r="M16" s="6">
        <v>-7644.9</v>
      </c>
      <c r="N16" s="9" t="s">
        <v>78</v>
      </c>
      <c r="O16" s="21">
        <v>91.3</v>
      </c>
      <c r="P16" s="9"/>
      <c r="Q16" s="21"/>
      <c r="R16" s="69">
        <v>3.1681624059045439</v>
      </c>
      <c r="S16" s="1">
        <f t="shared" si="0"/>
        <v>-11000</v>
      </c>
      <c r="T16" s="1">
        <f t="shared" si="1"/>
        <v>178.68134782608695</v>
      </c>
      <c r="U16" s="61">
        <f t="shared" si="2"/>
        <v>-7962.4170869565223</v>
      </c>
      <c r="V16" s="62">
        <f>M16*Assumptions!C$17/1000+O16*Assumptions!C$18+Q16*Assumptions!C$19</f>
        <v>6.3793451499999998</v>
      </c>
      <c r="W16" s="69">
        <v>2.1113634215881931</v>
      </c>
      <c r="X16" s="60" t="str">
        <f t="shared" si="3"/>
        <v/>
      </c>
    </row>
    <row r="17" spans="1:24" x14ac:dyDescent="0.25">
      <c r="A17" s="60" t="s">
        <v>61</v>
      </c>
      <c r="B17" s="8" t="s">
        <v>62</v>
      </c>
      <c r="C17" s="7" t="s">
        <v>74</v>
      </c>
      <c r="D17" s="8" t="s">
        <v>75</v>
      </c>
      <c r="E17" s="8" t="s">
        <v>65</v>
      </c>
      <c r="F17" s="8" t="s">
        <v>66</v>
      </c>
      <c r="G17" s="7" t="s">
        <v>99</v>
      </c>
      <c r="H17" s="7" t="s">
        <v>100</v>
      </c>
      <c r="I17" s="7" t="s">
        <v>69</v>
      </c>
      <c r="J17" s="6">
        <v>17</v>
      </c>
      <c r="K17" s="6">
        <v>18500</v>
      </c>
      <c r="L17" s="6">
        <v>7500</v>
      </c>
      <c r="M17" s="6">
        <v>-7644.9</v>
      </c>
      <c r="N17" s="9"/>
      <c r="O17" s="21"/>
      <c r="P17" s="9" t="s">
        <v>70</v>
      </c>
      <c r="Q17" s="21">
        <v>91.3</v>
      </c>
      <c r="R17" s="69">
        <v>4.0355718708248896</v>
      </c>
      <c r="S17" s="1">
        <f t="shared" si="0"/>
        <v>-11000</v>
      </c>
      <c r="T17" s="1">
        <f t="shared" si="1"/>
        <v>1500.0213411700379</v>
      </c>
      <c r="U17" s="61">
        <f t="shared" si="2"/>
        <v>14500.362799890645</v>
      </c>
      <c r="V17" s="62">
        <f>M17*Assumptions!C$17/1000+O17*Assumptions!C$18+Q17*Assumptions!C$19</f>
        <v>4.9441091500000001</v>
      </c>
      <c r="W17" s="69">
        <v>3.2250423808487123</v>
      </c>
      <c r="X17" s="60" t="str">
        <f t="shared" si="3"/>
        <v/>
      </c>
    </row>
    <row r="18" spans="1:24" x14ac:dyDescent="0.25">
      <c r="A18" s="60" t="s">
        <v>61</v>
      </c>
      <c r="B18" s="8" t="s">
        <v>62</v>
      </c>
      <c r="C18" s="7" t="s">
        <v>74</v>
      </c>
      <c r="D18" s="8" t="s">
        <v>75</v>
      </c>
      <c r="E18" s="8" t="s">
        <v>65</v>
      </c>
      <c r="F18" s="8" t="s">
        <v>66</v>
      </c>
      <c r="G18" s="7" t="s">
        <v>101</v>
      </c>
      <c r="H18" s="7" t="s">
        <v>102</v>
      </c>
      <c r="I18" s="7" t="s">
        <v>69</v>
      </c>
      <c r="J18" s="6">
        <v>30</v>
      </c>
      <c r="K18" s="6">
        <v>32499</v>
      </c>
      <c r="L18" s="6">
        <v>15000</v>
      </c>
      <c r="M18" s="6">
        <v>-5720.5</v>
      </c>
      <c r="N18" s="9" t="s">
        <v>78</v>
      </c>
      <c r="O18" s="21">
        <v>82.4</v>
      </c>
      <c r="P18" s="9"/>
      <c r="Q18" s="21"/>
      <c r="R18" s="69">
        <v>3.237993760293373</v>
      </c>
      <c r="S18" s="1">
        <f t="shared" si="0"/>
        <v>-17499</v>
      </c>
      <c r="T18" s="1">
        <f t="shared" si="1"/>
        <v>479.63891304347817</v>
      </c>
      <c r="U18" s="61">
        <f t="shared" si="2"/>
        <v>-3109.8326086956549</v>
      </c>
      <c r="V18" s="62">
        <f>M18*Assumptions!C$17/1000+O18*Assumptions!C$18+Q18*Assumptions!C$19</f>
        <v>5.8830627500000006</v>
      </c>
      <c r="W18" s="69">
        <v>2.1748348974928469</v>
      </c>
      <c r="X18" s="60" t="str">
        <f t="shared" si="3"/>
        <v/>
      </c>
    </row>
    <row r="19" spans="1:24" x14ac:dyDescent="0.25">
      <c r="A19" s="60" t="s">
        <v>61</v>
      </c>
      <c r="B19" s="8" t="s">
        <v>62</v>
      </c>
      <c r="C19" s="7" t="s">
        <v>74</v>
      </c>
      <c r="D19" s="8" t="s">
        <v>75</v>
      </c>
      <c r="E19" s="8" t="s">
        <v>65</v>
      </c>
      <c r="F19" s="8" t="s">
        <v>66</v>
      </c>
      <c r="G19" s="7" t="s">
        <v>103</v>
      </c>
      <c r="H19" s="7" t="s">
        <v>104</v>
      </c>
      <c r="I19" s="7" t="s">
        <v>69</v>
      </c>
      <c r="J19" s="6">
        <v>30</v>
      </c>
      <c r="K19" s="6">
        <v>32639</v>
      </c>
      <c r="L19" s="6">
        <v>15000</v>
      </c>
      <c r="M19" s="6">
        <v>-5720.5</v>
      </c>
      <c r="N19" s="9"/>
      <c r="O19" s="21"/>
      <c r="P19" s="9" t="s">
        <v>70</v>
      </c>
      <c r="Q19" s="21">
        <v>80.5</v>
      </c>
      <c r="R19" s="69">
        <v>3.8632282348942724</v>
      </c>
      <c r="S19" s="1">
        <f t="shared" si="0"/>
        <v>-17639</v>
      </c>
      <c r="T19" s="1">
        <f t="shared" si="1"/>
        <v>1598.0019054127936</v>
      </c>
      <c r="U19" s="61">
        <f t="shared" si="2"/>
        <v>30301.057162383804</v>
      </c>
      <c r="V19" s="62">
        <f>M19*Assumptions!C$17/1000+O19*Assumptions!C$18+Q19*Assumptions!C$19</f>
        <v>4.4679017500000002</v>
      </c>
      <c r="W19" s="69">
        <v>3.0591426937760589</v>
      </c>
      <c r="X19" s="60" t="str">
        <f t="shared" si="3"/>
        <v/>
      </c>
    </row>
    <row r="20" spans="1:24" x14ac:dyDescent="0.25">
      <c r="A20" s="60" t="s">
        <v>61</v>
      </c>
      <c r="B20" s="8" t="s">
        <v>62</v>
      </c>
      <c r="C20" s="7" t="s">
        <v>74</v>
      </c>
      <c r="D20" s="8" t="s">
        <v>75</v>
      </c>
      <c r="E20" s="8" t="s">
        <v>65</v>
      </c>
      <c r="F20" s="8" t="s">
        <v>66</v>
      </c>
      <c r="G20" s="7" t="s">
        <v>105</v>
      </c>
      <c r="H20" s="7" t="s">
        <v>106</v>
      </c>
      <c r="I20" s="7" t="s">
        <v>69</v>
      </c>
      <c r="J20" s="6">
        <v>30</v>
      </c>
      <c r="K20" s="6">
        <v>20057</v>
      </c>
      <c r="L20" s="6">
        <v>15000</v>
      </c>
      <c r="M20" s="6">
        <v>-4843.5</v>
      </c>
      <c r="N20" s="9" t="s">
        <v>78</v>
      </c>
      <c r="O20" s="21">
        <v>82.4</v>
      </c>
      <c r="P20" s="9"/>
      <c r="Q20" s="21"/>
      <c r="R20" s="69">
        <v>5.5896567415489278</v>
      </c>
      <c r="S20" s="1">
        <f t="shared" si="0"/>
        <v>-5057</v>
      </c>
      <c r="T20" s="1">
        <f t="shared" si="1"/>
        <v>716.42891304347813</v>
      </c>
      <c r="U20" s="61">
        <f t="shared" si="2"/>
        <v>16435.867391304346</v>
      </c>
      <c r="V20" s="62">
        <f>M20*Assumptions!C$17/1000+O20*Assumptions!C$18+Q20*Assumptions!C$19</f>
        <v>5.9764632500000001</v>
      </c>
      <c r="W20" s="69">
        <v>3.7216522345266729</v>
      </c>
      <c r="X20" s="60" t="str">
        <f t="shared" si="3"/>
        <v/>
      </c>
    </row>
    <row r="21" spans="1:24" x14ac:dyDescent="0.25">
      <c r="A21" s="60" t="s">
        <v>61</v>
      </c>
      <c r="B21" s="8" t="s">
        <v>62</v>
      </c>
      <c r="C21" s="7" t="s">
        <v>74</v>
      </c>
      <c r="D21" s="8" t="s">
        <v>75</v>
      </c>
      <c r="E21" s="8" t="s">
        <v>65</v>
      </c>
      <c r="F21" s="8" t="s">
        <v>66</v>
      </c>
      <c r="G21" s="7" t="s">
        <v>107</v>
      </c>
      <c r="H21" s="7" t="s">
        <v>108</v>
      </c>
      <c r="I21" s="7" t="s">
        <v>69</v>
      </c>
      <c r="J21" s="6">
        <v>30</v>
      </c>
      <c r="K21" s="6">
        <v>20197</v>
      </c>
      <c r="L21" s="6">
        <v>15000</v>
      </c>
      <c r="M21" s="6">
        <v>-4843.5</v>
      </c>
      <c r="N21" s="9"/>
      <c r="O21" s="21"/>
      <c r="P21" s="9" t="s">
        <v>70</v>
      </c>
      <c r="Q21" s="21">
        <v>80.5</v>
      </c>
      <c r="R21" s="69">
        <v>6.5837546372325928</v>
      </c>
      <c r="S21" s="1">
        <f t="shared" si="0"/>
        <v>-5197</v>
      </c>
      <c r="T21" s="1">
        <f t="shared" si="1"/>
        <v>1834.7919054127935</v>
      </c>
      <c r="U21" s="61">
        <f t="shared" si="2"/>
        <v>49846.757162383808</v>
      </c>
      <c r="V21" s="62">
        <f>M21*Assumptions!C$17/1000+O21*Assumptions!C$18+Q21*Assumptions!C$19</f>
        <v>4.5613022499999998</v>
      </c>
      <c r="W21" s="69">
        <v>5.1399998968380576</v>
      </c>
      <c r="X21" s="60" t="str">
        <f t="shared" si="3"/>
        <v/>
      </c>
    </row>
    <row r="22" spans="1:24" x14ac:dyDescent="0.25">
      <c r="A22" s="60" t="s">
        <v>61</v>
      </c>
      <c r="B22" s="8" t="s">
        <v>62</v>
      </c>
      <c r="C22" s="7" t="s">
        <v>74</v>
      </c>
      <c r="D22" s="8" t="s">
        <v>75</v>
      </c>
      <c r="E22" s="8" t="s">
        <v>65</v>
      </c>
      <c r="F22" s="8" t="s">
        <v>66</v>
      </c>
      <c r="G22" s="7" t="s">
        <v>109</v>
      </c>
      <c r="H22" s="7" t="s">
        <v>110</v>
      </c>
      <c r="I22" s="7" t="s">
        <v>69</v>
      </c>
      <c r="J22" s="6">
        <v>10</v>
      </c>
      <c r="K22" s="6">
        <v>2000</v>
      </c>
      <c r="L22" s="6">
        <v>2000</v>
      </c>
      <c r="M22" s="6">
        <v>-1678.0182222222211</v>
      </c>
      <c r="N22" s="9" t="s">
        <v>78</v>
      </c>
      <c r="O22" s="20">
        <v>24.598427327176037</v>
      </c>
      <c r="P22" s="9"/>
      <c r="Q22" s="20"/>
      <c r="R22" s="69" t="s">
        <v>256</v>
      </c>
      <c r="S22" s="1">
        <f t="shared" si="0"/>
        <v>0</v>
      </c>
      <c r="T22" s="1">
        <f t="shared" si="1"/>
        <v>151.20079477628104</v>
      </c>
      <c r="U22" s="61">
        <f t="shared" si="2"/>
        <v>1512.0079477628105</v>
      </c>
      <c r="V22" s="62">
        <f>M22*Assumptions!C$17/1000+O22*Assumptions!C$18+Q22*Assumptions!C$19</f>
        <v>1.7594011484415333</v>
      </c>
      <c r="W22" s="69" t="s">
        <v>256</v>
      </c>
      <c r="X22" s="60" t="str">
        <f t="shared" si="3"/>
        <v/>
      </c>
    </row>
    <row r="23" spans="1:24" x14ac:dyDescent="0.25">
      <c r="A23" s="60" t="s">
        <v>61</v>
      </c>
      <c r="B23" s="8" t="s">
        <v>62</v>
      </c>
      <c r="C23" s="7" t="s">
        <v>74</v>
      </c>
      <c r="D23" s="8" t="s">
        <v>75</v>
      </c>
      <c r="E23" s="8" t="s">
        <v>65</v>
      </c>
      <c r="F23" s="8" t="s">
        <v>66</v>
      </c>
      <c r="G23" s="7" t="s">
        <v>111</v>
      </c>
      <c r="H23" s="7" t="s">
        <v>112</v>
      </c>
      <c r="I23" s="7" t="s">
        <v>69</v>
      </c>
      <c r="J23" s="6">
        <v>10</v>
      </c>
      <c r="K23" s="6">
        <v>2000</v>
      </c>
      <c r="L23" s="6">
        <v>2000</v>
      </c>
      <c r="M23" s="6">
        <v>-1678.0182222222211</v>
      </c>
      <c r="N23" s="9"/>
      <c r="O23" s="20"/>
      <c r="P23" s="9" t="s">
        <v>70</v>
      </c>
      <c r="Q23" s="20">
        <v>25.234045604364056</v>
      </c>
      <c r="R23" s="69" t="s">
        <v>256</v>
      </c>
      <c r="S23" s="1">
        <f t="shared" si="0"/>
        <v>0</v>
      </c>
      <c r="T23" s="1">
        <f t="shared" si="1"/>
        <v>532.01482639234223</v>
      </c>
      <c r="U23" s="61">
        <f t="shared" si="2"/>
        <v>5320.1482639234218</v>
      </c>
      <c r="V23" s="62">
        <f>M23*Assumptions!C$17/1000+O23*Assumptions!C$18+Q23*Assumptions!C$19</f>
        <v>1.4128023156005747</v>
      </c>
      <c r="W23" s="69" t="s">
        <v>256</v>
      </c>
      <c r="X23" s="60" t="str">
        <f t="shared" si="3"/>
        <v/>
      </c>
    </row>
    <row r="24" spans="1:24" x14ac:dyDescent="0.25">
      <c r="A24" s="60" t="s">
        <v>61</v>
      </c>
      <c r="B24" s="8" t="s">
        <v>62</v>
      </c>
      <c r="C24" s="7" t="s">
        <v>74</v>
      </c>
      <c r="D24" s="8" t="s">
        <v>75</v>
      </c>
      <c r="E24" s="8" t="s">
        <v>65</v>
      </c>
      <c r="F24" s="8" t="s">
        <v>66</v>
      </c>
      <c r="G24" s="7" t="s">
        <v>113</v>
      </c>
      <c r="H24" s="7" t="s">
        <v>114</v>
      </c>
      <c r="I24" s="7" t="s">
        <v>69</v>
      </c>
      <c r="J24" s="6">
        <v>17</v>
      </c>
      <c r="K24" s="6">
        <v>12388</v>
      </c>
      <c r="L24" s="6">
        <v>16000</v>
      </c>
      <c r="M24" s="54">
        <f>-4562.6645482487</f>
        <v>-4562.6645482487002</v>
      </c>
      <c r="N24" s="9" t="s">
        <v>78</v>
      </c>
      <c r="O24" s="20">
        <v>46.979910078942126</v>
      </c>
      <c r="P24" s="9"/>
      <c r="Q24" s="20"/>
      <c r="R24" s="69">
        <v>2.4325844875788456</v>
      </c>
      <c r="S24" s="1">
        <f t="shared" si="0"/>
        <v>3612</v>
      </c>
      <c r="T24" s="1">
        <f t="shared" si="1"/>
        <v>-77.847723914005655</v>
      </c>
      <c r="U24" s="61">
        <f t="shared" si="2"/>
        <v>2288.5886934619039</v>
      </c>
      <c r="V24" s="62">
        <f>M24*Assumptions!C$17/1000+O24*Assumptions!C$18+Q24*Assumptions!C$19</f>
        <v>3.2156233407313639</v>
      </c>
      <c r="W24" s="69">
        <v>1.6343704997906925</v>
      </c>
      <c r="X24" s="60" t="str">
        <f t="shared" si="3"/>
        <v/>
      </c>
    </row>
    <row r="25" spans="1:24" x14ac:dyDescent="0.25">
      <c r="A25" s="60" t="s">
        <v>61</v>
      </c>
      <c r="B25" s="8" t="s">
        <v>62</v>
      </c>
      <c r="C25" s="7" t="s">
        <v>74</v>
      </c>
      <c r="D25" s="8" t="s">
        <v>75</v>
      </c>
      <c r="E25" s="8" t="s">
        <v>65</v>
      </c>
      <c r="F25" s="8" t="s">
        <v>66</v>
      </c>
      <c r="G25" s="7" t="s">
        <v>115</v>
      </c>
      <c r="H25" s="7" t="s">
        <v>116</v>
      </c>
      <c r="I25" s="7" t="s">
        <v>69</v>
      </c>
      <c r="J25" s="6">
        <v>17</v>
      </c>
      <c r="K25" s="6">
        <v>12388</v>
      </c>
      <c r="L25" s="6">
        <v>16000</v>
      </c>
      <c r="M25" s="54">
        <f>-5210.42883396299</f>
        <v>-5210.4288339629902</v>
      </c>
      <c r="N25" s="9"/>
      <c r="O25" s="20"/>
      <c r="P25" s="9" t="s">
        <v>70</v>
      </c>
      <c r="Q25" s="20">
        <v>53.78347838330091</v>
      </c>
      <c r="R25" s="69">
        <v>3.5121141343705524</v>
      </c>
      <c r="S25" s="1">
        <f t="shared" si="0"/>
        <v>3612</v>
      </c>
      <c r="T25" s="1">
        <f t="shared" si="1"/>
        <v>692.76888217153692</v>
      </c>
      <c r="U25" s="61">
        <f t="shared" si="2"/>
        <v>15389.070996916127</v>
      </c>
      <c r="V25" s="62">
        <f>M25*Assumptions!C$17/1000+O25*Assumptions!C$18+Q25*Assumptions!C$19</f>
        <v>2.83721331081773</v>
      </c>
      <c r="W25" s="69">
        <v>2.8474105643240621</v>
      </c>
      <c r="X25" s="60" t="str">
        <f t="shared" si="3"/>
        <v/>
      </c>
    </row>
    <row r="26" spans="1:24" x14ac:dyDescent="0.25">
      <c r="A26" s="60" t="s">
        <v>61</v>
      </c>
      <c r="B26" s="8" t="s">
        <v>62</v>
      </c>
      <c r="C26" s="7" t="s">
        <v>74</v>
      </c>
      <c r="D26" s="8" t="s">
        <v>75</v>
      </c>
      <c r="E26" s="8" t="s">
        <v>65</v>
      </c>
      <c r="F26" s="8" t="s">
        <v>66</v>
      </c>
      <c r="G26" s="7" t="s">
        <v>117</v>
      </c>
      <c r="H26" s="7" t="s">
        <v>118</v>
      </c>
      <c r="I26" s="7" t="s">
        <v>69</v>
      </c>
      <c r="J26" s="6">
        <v>17</v>
      </c>
      <c r="K26" s="6">
        <v>19180</v>
      </c>
      <c r="L26" s="6">
        <v>16000</v>
      </c>
      <c r="M26" s="54">
        <f>-10020.2266557772</f>
        <v>-10020.2266557772</v>
      </c>
      <c r="N26" s="9" t="s">
        <v>78</v>
      </c>
      <c r="O26" s="20">
        <v>83.912862968026758</v>
      </c>
      <c r="P26" s="9"/>
      <c r="Q26" s="20"/>
      <c r="R26" s="69">
        <v>2.1657899347359444</v>
      </c>
      <c r="S26" s="1">
        <f t="shared" si="0"/>
        <v>-3180</v>
      </c>
      <c r="T26" s="1">
        <f t="shared" si="1"/>
        <v>-644.12347632353476</v>
      </c>
      <c r="U26" s="61">
        <f t="shared" si="2"/>
        <v>-14130.099097500091</v>
      </c>
      <c r="V26" s="62">
        <f>M26*Assumptions!C$17/1000+O26*Assumptions!C$18+Q26*Assumptions!C$19</f>
        <v>5.5443403344105562</v>
      </c>
      <c r="W26" s="69">
        <v>1.5105105983595226</v>
      </c>
      <c r="X26" s="60" t="str">
        <f t="shared" si="3"/>
        <v/>
      </c>
    </row>
    <row r="27" spans="1:24" x14ac:dyDescent="0.25">
      <c r="A27" s="60" t="s">
        <v>61</v>
      </c>
      <c r="B27" s="8" t="s">
        <v>62</v>
      </c>
      <c r="C27" s="7" t="s">
        <v>74</v>
      </c>
      <c r="D27" s="8" t="s">
        <v>75</v>
      </c>
      <c r="E27" s="8" t="s">
        <v>65</v>
      </c>
      <c r="F27" s="8" t="s">
        <v>66</v>
      </c>
      <c r="G27" s="7" t="s">
        <v>119</v>
      </c>
      <c r="H27" s="7" t="s">
        <v>120</v>
      </c>
      <c r="I27" s="7" t="s">
        <v>69</v>
      </c>
      <c r="J27" s="6">
        <v>17</v>
      </c>
      <c r="K27" s="6">
        <v>19180</v>
      </c>
      <c r="L27" s="6">
        <v>16000</v>
      </c>
      <c r="M27" s="54">
        <f>-10020.2266557772</f>
        <v>-10020.2266557772</v>
      </c>
      <c r="N27" s="9"/>
      <c r="O27" s="20"/>
      <c r="P27" s="9" t="s">
        <v>70</v>
      </c>
      <c r="Q27" s="20">
        <v>83.912862968026758</v>
      </c>
      <c r="R27" s="69">
        <v>2.934752226593714</v>
      </c>
      <c r="S27" s="1">
        <f t="shared" si="0"/>
        <v>-3180</v>
      </c>
      <c r="T27" s="1">
        <f t="shared" si="1"/>
        <v>570.3061161807841</v>
      </c>
      <c r="U27" s="61">
        <f t="shared" si="2"/>
        <v>6515.2039750733293</v>
      </c>
      <c r="V27" s="62">
        <f>M27*Assumptions!C$17/1000+O27*Assumptions!C$18+Q27*Assumptions!C$19</f>
        <v>4.2252301285531759</v>
      </c>
      <c r="W27" s="69">
        <v>2.4977918761645621</v>
      </c>
      <c r="X27" s="60" t="str">
        <f t="shared" si="3"/>
        <v/>
      </c>
    </row>
    <row r="28" spans="1:24" x14ac:dyDescent="0.25">
      <c r="A28" s="60" t="s">
        <v>61</v>
      </c>
      <c r="B28" s="8" t="s">
        <v>62</v>
      </c>
      <c r="C28" s="7" t="s">
        <v>74</v>
      </c>
      <c r="D28" s="8" t="s">
        <v>75</v>
      </c>
      <c r="E28" s="8" t="s">
        <v>65</v>
      </c>
      <c r="F28" s="8" t="s">
        <v>66</v>
      </c>
      <c r="G28" s="7" t="s">
        <v>121</v>
      </c>
      <c r="H28" s="7" t="s">
        <v>122</v>
      </c>
      <c r="I28" s="7" t="s">
        <v>69</v>
      </c>
      <c r="J28" s="6">
        <v>18</v>
      </c>
      <c r="K28" s="6">
        <v>11746</v>
      </c>
      <c r="L28" s="6">
        <v>16000</v>
      </c>
      <c r="M28" s="54">
        <f>-4212.74399238765</f>
        <v>-4212.74399238765</v>
      </c>
      <c r="N28" s="9" t="s">
        <v>78</v>
      </c>
      <c r="O28" s="20">
        <v>44.26030367274479</v>
      </c>
      <c r="P28" s="9"/>
      <c r="Q28" s="20"/>
      <c r="R28" s="69">
        <v>2.3731916642579693</v>
      </c>
      <c r="S28" s="1">
        <f t="shared" si="0"/>
        <v>4254</v>
      </c>
      <c r="T28" s="1">
        <f t="shared" si="1"/>
        <v>-50.176896418543492</v>
      </c>
      <c r="U28" s="61">
        <f t="shared" si="2"/>
        <v>3350.8158644662171</v>
      </c>
      <c r="V28" s="62">
        <f>M28*Assumptions!C$17/1000+O28*Assumptions!C$18+Q28*Assumptions!C$19</f>
        <v>3.0386120911862773</v>
      </c>
      <c r="W28" s="69">
        <v>1.5827946957091434</v>
      </c>
      <c r="X28" s="60" t="str">
        <f t="shared" si="3"/>
        <v/>
      </c>
    </row>
    <row r="29" spans="1:24" x14ac:dyDescent="0.25">
      <c r="A29" s="60" t="s">
        <v>61</v>
      </c>
      <c r="B29" s="8" t="s">
        <v>62</v>
      </c>
      <c r="C29" s="7" t="s">
        <v>74</v>
      </c>
      <c r="D29" s="8" t="s">
        <v>75</v>
      </c>
      <c r="E29" s="8" t="s">
        <v>65</v>
      </c>
      <c r="F29" s="8" t="s">
        <v>66</v>
      </c>
      <c r="G29" s="7" t="s">
        <v>123</v>
      </c>
      <c r="H29" s="7" t="s">
        <v>124</v>
      </c>
      <c r="I29" s="7" t="s">
        <v>69</v>
      </c>
      <c r="J29" s="6">
        <v>18</v>
      </c>
      <c r="K29" s="6">
        <v>11746</v>
      </c>
      <c r="L29" s="6">
        <v>16000</v>
      </c>
      <c r="M29" s="54">
        <f>-4642.24649238766</f>
        <v>-4642.2464923876596</v>
      </c>
      <c r="N29" s="9"/>
      <c r="O29" s="20"/>
      <c r="P29" s="9" t="s">
        <v>70</v>
      </c>
      <c r="Q29" s="20">
        <v>48.109367149262788</v>
      </c>
      <c r="R29" s="69">
        <v>3.316416232231858</v>
      </c>
      <c r="S29" s="1">
        <f t="shared" si="0"/>
        <v>4254</v>
      </c>
      <c r="T29" s="1">
        <f t="shared" si="1"/>
        <v>624.67371739834039</v>
      </c>
      <c r="U29" s="61">
        <f t="shared" si="2"/>
        <v>15498.126913170126</v>
      </c>
      <c r="V29" s="62">
        <f>M29*Assumptions!C$17/1000+O29*Assumptions!C$18+Q29*Assumptions!C$19</f>
        <v>2.539858534664718</v>
      </c>
      <c r="W29" s="69">
        <v>2.6922433412226718</v>
      </c>
      <c r="X29" s="60" t="str">
        <f t="shared" si="3"/>
        <v/>
      </c>
    </row>
    <row r="30" spans="1:24" x14ac:dyDescent="0.25">
      <c r="A30" s="60" t="s">
        <v>61</v>
      </c>
      <c r="B30" s="8" t="s">
        <v>62</v>
      </c>
      <c r="C30" s="7" t="s">
        <v>74</v>
      </c>
      <c r="D30" s="8" t="s">
        <v>75</v>
      </c>
      <c r="E30" s="8" t="s">
        <v>65</v>
      </c>
      <c r="F30" s="8" t="s">
        <v>66</v>
      </c>
      <c r="G30" s="7" t="s">
        <v>125</v>
      </c>
      <c r="H30" s="7" t="s">
        <v>126</v>
      </c>
      <c r="I30" s="7" t="s">
        <v>69</v>
      </c>
      <c r="J30" s="6">
        <v>18</v>
      </c>
      <c r="K30" s="6">
        <v>13015</v>
      </c>
      <c r="L30" s="6">
        <v>16000</v>
      </c>
      <c r="M30" s="54">
        <f>-7730.42795436492</f>
        <v>-7730.42795436492</v>
      </c>
      <c r="N30" s="9" t="s">
        <v>78</v>
      </c>
      <c r="O30" s="20">
        <v>69.325100254055101</v>
      </c>
      <c r="P30" s="9"/>
      <c r="Q30" s="20"/>
      <c r="R30" s="69">
        <v>2.9162101554313322</v>
      </c>
      <c r="S30" s="1">
        <f t="shared" si="0"/>
        <v>2985</v>
      </c>
      <c r="T30" s="1">
        <f t="shared" si="1"/>
        <v>-384.22938926369648</v>
      </c>
      <c r="U30" s="61">
        <f t="shared" si="2"/>
        <v>-3931.1290067465361</v>
      </c>
      <c r="V30" s="62">
        <f>M30*Assumptions!C$17/1000+O30*Assumptions!C$18+Q30*Assumptions!C$19</f>
        <v>4.6388340718771373</v>
      </c>
      <c r="W30" s="69">
        <v>1.9945346440824068</v>
      </c>
      <c r="X30" s="60" t="str">
        <f t="shared" si="3"/>
        <v/>
      </c>
    </row>
    <row r="31" spans="1:24" x14ac:dyDescent="0.25">
      <c r="A31" s="60" t="s">
        <v>61</v>
      </c>
      <c r="B31" s="8" t="s">
        <v>62</v>
      </c>
      <c r="C31" s="7" t="s">
        <v>74</v>
      </c>
      <c r="D31" s="8" t="s">
        <v>75</v>
      </c>
      <c r="E31" s="8" t="s">
        <v>65</v>
      </c>
      <c r="F31" s="8" t="s">
        <v>66</v>
      </c>
      <c r="G31" s="7" t="s">
        <v>127</v>
      </c>
      <c r="H31" s="7" t="s">
        <v>128</v>
      </c>
      <c r="I31" s="7" t="s">
        <v>69</v>
      </c>
      <c r="J31" s="6">
        <v>18</v>
      </c>
      <c r="K31" s="6">
        <v>13015</v>
      </c>
      <c r="L31" s="6">
        <v>16000</v>
      </c>
      <c r="M31" s="54">
        <f>-7730.42795436492</f>
        <v>-7730.42795436492</v>
      </c>
      <c r="N31" s="9"/>
      <c r="O31" s="20"/>
      <c r="P31" s="9" t="s">
        <v>70</v>
      </c>
      <c r="Q31" s="20">
        <v>69.325100254055101</v>
      </c>
      <c r="R31" s="69">
        <v>3.9052390334967138</v>
      </c>
      <c r="S31" s="1">
        <f t="shared" si="0"/>
        <v>2985</v>
      </c>
      <c r="T31" s="1">
        <f t="shared" si="1"/>
        <v>619.07868859240307</v>
      </c>
      <c r="U31" s="61">
        <f t="shared" si="2"/>
        <v>14128.416394663254</v>
      </c>
      <c r="V31" s="62">
        <f>M31*Assumptions!C$17/1000+O31*Assumptions!C$18+Q31*Assumptions!C$19</f>
        <v>3.5490434958833914</v>
      </c>
      <c r="W31" s="69">
        <v>3.2650116454103535</v>
      </c>
      <c r="X31" s="60" t="str">
        <f t="shared" si="3"/>
        <v/>
      </c>
    </row>
    <row r="32" spans="1:24" x14ac:dyDescent="0.25">
      <c r="A32" s="60" t="s">
        <v>61</v>
      </c>
      <c r="B32" s="8" t="s">
        <v>62</v>
      </c>
      <c r="C32" s="7" t="s">
        <v>74</v>
      </c>
      <c r="D32" s="8" t="s">
        <v>75</v>
      </c>
      <c r="E32" s="8" t="s">
        <v>65</v>
      </c>
      <c r="F32" s="8" t="s">
        <v>66</v>
      </c>
      <c r="G32" s="7" t="s">
        <v>129</v>
      </c>
      <c r="H32" s="7" t="s">
        <v>130</v>
      </c>
      <c r="I32" s="7" t="s">
        <v>69</v>
      </c>
      <c r="J32" s="6">
        <v>17</v>
      </c>
      <c r="K32" s="6">
        <v>18500</v>
      </c>
      <c r="L32" s="6">
        <v>16000</v>
      </c>
      <c r="M32" s="6">
        <v>-7644.9</v>
      </c>
      <c r="N32" s="9" t="s">
        <v>78</v>
      </c>
      <c r="O32" s="20">
        <v>91.3</v>
      </c>
      <c r="P32" s="9"/>
      <c r="Q32" s="20"/>
      <c r="R32" s="69" t="s">
        <v>256</v>
      </c>
      <c r="S32" s="1">
        <f t="shared" si="0"/>
        <v>-2500</v>
      </c>
      <c r="T32" s="1">
        <f t="shared" si="1"/>
        <v>178.68134782608695</v>
      </c>
      <c r="U32" s="61">
        <f t="shared" si="2"/>
        <v>537.58291304347813</v>
      </c>
      <c r="V32" s="62">
        <f>M32*Assumptions!C$17/1000+O32*Assumptions!C$18+Q32*Assumptions!C$19</f>
        <v>6.3793451499999998</v>
      </c>
      <c r="W32" s="69" t="s">
        <v>256</v>
      </c>
      <c r="X32" s="60" t="str">
        <f t="shared" si="3"/>
        <v/>
      </c>
    </row>
    <row r="33" spans="1:24" x14ac:dyDescent="0.25">
      <c r="A33" s="60" t="s">
        <v>61</v>
      </c>
      <c r="B33" s="8" t="s">
        <v>62</v>
      </c>
      <c r="C33" s="7" t="s">
        <v>74</v>
      </c>
      <c r="D33" s="8" t="s">
        <v>75</v>
      </c>
      <c r="E33" s="8" t="s">
        <v>65</v>
      </c>
      <c r="F33" s="8" t="s">
        <v>66</v>
      </c>
      <c r="G33" s="7" t="s">
        <v>131</v>
      </c>
      <c r="H33" s="7" t="s">
        <v>132</v>
      </c>
      <c r="I33" s="7" t="s">
        <v>69</v>
      </c>
      <c r="J33" s="6">
        <v>17</v>
      </c>
      <c r="K33" s="6">
        <v>18500</v>
      </c>
      <c r="L33" s="6">
        <v>16000</v>
      </c>
      <c r="M33" s="6">
        <v>-7644.9</v>
      </c>
      <c r="N33" s="9"/>
      <c r="O33" s="20"/>
      <c r="P33" s="9" t="s">
        <v>70</v>
      </c>
      <c r="Q33" s="20">
        <v>91.3</v>
      </c>
      <c r="R33" s="69" t="s">
        <v>256</v>
      </c>
      <c r="S33" s="1">
        <f t="shared" si="0"/>
        <v>-2500</v>
      </c>
      <c r="T33" s="1">
        <f t="shared" si="1"/>
        <v>1500.0213411700379</v>
      </c>
      <c r="U33" s="61">
        <f t="shared" si="2"/>
        <v>23000.362799890645</v>
      </c>
      <c r="V33" s="62">
        <f>M33*Assumptions!C$17/1000+O33*Assumptions!C$18+Q33*Assumptions!C$19</f>
        <v>4.9441091500000001</v>
      </c>
      <c r="W33" s="69" t="s">
        <v>256</v>
      </c>
      <c r="X33" s="60" t="str">
        <f t="shared" si="3"/>
        <v/>
      </c>
    </row>
    <row r="34" spans="1:24" x14ac:dyDescent="0.25">
      <c r="A34" s="60" t="s">
        <v>61</v>
      </c>
      <c r="B34" s="8" t="s">
        <v>62</v>
      </c>
      <c r="C34" s="7" t="s">
        <v>74</v>
      </c>
      <c r="D34" s="8" t="s">
        <v>75</v>
      </c>
      <c r="E34" s="8" t="s">
        <v>65</v>
      </c>
      <c r="F34" s="8" t="s">
        <v>66</v>
      </c>
      <c r="G34" s="7" t="s">
        <v>133</v>
      </c>
      <c r="H34" s="7" t="s">
        <v>134</v>
      </c>
      <c r="I34" s="7" t="s">
        <v>69</v>
      </c>
      <c r="J34" s="6">
        <v>30</v>
      </c>
      <c r="K34" s="6">
        <v>38762</v>
      </c>
      <c r="L34" s="6">
        <v>16000</v>
      </c>
      <c r="M34" s="6">
        <v>-5720.5</v>
      </c>
      <c r="N34" s="9" t="s">
        <v>78</v>
      </c>
      <c r="O34" s="20">
        <v>86.69</v>
      </c>
      <c r="P34" s="9"/>
      <c r="Q34" s="20"/>
      <c r="R34" s="69" t="s">
        <v>256</v>
      </c>
      <c r="S34" s="1">
        <f t="shared" si="0"/>
        <v>-22762</v>
      </c>
      <c r="T34" s="1">
        <f t="shared" si="1"/>
        <v>585.02369565217373</v>
      </c>
      <c r="U34" s="61">
        <f t="shared" si="2"/>
        <v>-5211.2891304347868</v>
      </c>
      <c r="V34" s="62">
        <f>M34*Assumptions!C$17/1000+O34*Assumptions!C$18+Q34*Assumptions!C$19</f>
        <v>6.2210718499999995</v>
      </c>
      <c r="W34" s="69" t="s">
        <v>256</v>
      </c>
      <c r="X34" s="60" t="str">
        <f t="shared" si="3"/>
        <v/>
      </c>
    </row>
    <row r="35" spans="1:24" x14ac:dyDescent="0.25">
      <c r="A35" s="60" t="s">
        <v>61</v>
      </c>
      <c r="B35" s="8" t="s">
        <v>62</v>
      </c>
      <c r="C35" s="7" t="s">
        <v>74</v>
      </c>
      <c r="D35" s="8" t="s">
        <v>75</v>
      </c>
      <c r="E35" s="8" t="s">
        <v>65</v>
      </c>
      <c r="F35" s="8" t="s">
        <v>66</v>
      </c>
      <c r="G35" s="7" t="s">
        <v>135</v>
      </c>
      <c r="H35" s="7" t="s">
        <v>136</v>
      </c>
      <c r="I35" s="7" t="s">
        <v>69</v>
      </c>
      <c r="J35" s="6">
        <v>30</v>
      </c>
      <c r="K35" s="6">
        <v>38762</v>
      </c>
      <c r="L35" s="6">
        <v>16000</v>
      </c>
      <c r="M35" s="6">
        <v>-5720.5</v>
      </c>
      <c r="N35" s="9"/>
      <c r="O35" s="20"/>
      <c r="P35" s="9" t="s">
        <v>70</v>
      </c>
      <c r="Q35" s="20">
        <v>75.92</v>
      </c>
      <c r="R35" s="69" t="s">
        <v>256</v>
      </c>
      <c r="S35" s="1">
        <f t="shared" si="0"/>
        <v>-22762</v>
      </c>
      <c r="T35" s="1">
        <f t="shared" si="1"/>
        <v>1419.2091224712956</v>
      </c>
      <c r="U35" s="61">
        <f t="shared" si="2"/>
        <v>19814.273674138865</v>
      </c>
      <c r="V35" s="62">
        <f>M35*Assumptions!C$17/1000+O35*Assumptions!C$18+Q35*Assumptions!C$19</f>
        <v>4.1790411500000006</v>
      </c>
      <c r="W35" s="69" t="s">
        <v>256</v>
      </c>
      <c r="X35" s="60" t="str">
        <f t="shared" si="3"/>
        <v/>
      </c>
    </row>
    <row r="36" spans="1:24" x14ac:dyDescent="0.25">
      <c r="A36" s="60" t="s">
        <v>61</v>
      </c>
      <c r="B36" s="8" t="s">
        <v>62</v>
      </c>
      <c r="C36" s="7" t="s">
        <v>74</v>
      </c>
      <c r="D36" s="8" t="s">
        <v>75</v>
      </c>
      <c r="E36" s="8" t="s">
        <v>65</v>
      </c>
      <c r="F36" s="8" t="s">
        <v>66</v>
      </c>
      <c r="G36" s="7" t="s">
        <v>137</v>
      </c>
      <c r="H36" s="7" t="s">
        <v>138</v>
      </c>
      <c r="I36" s="7" t="s">
        <v>69</v>
      </c>
      <c r="J36" s="6">
        <v>30</v>
      </c>
      <c r="K36" s="6">
        <v>26320</v>
      </c>
      <c r="L36" s="6">
        <v>16000</v>
      </c>
      <c r="M36" s="6">
        <v>-4843.5</v>
      </c>
      <c r="N36" s="9" t="s">
        <v>78</v>
      </c>
      <c r="O36" s="20">
        <v>86.69</v>
      </c>
      <c r="P36" s="9"/>
      <c r="Q36" s="20"/>
      <c r="R36" s="69" t="s">
        <v>256</v>
      </c>
      <c r="S36" s="1">
        <f t="shared" ref="S36:S55" si="10">L36-K36</f>
        <v>-10320</v>
      </c>
      <c r="T36" s="1">
        <f t="shared" ref="T36:T53" si="11">(OilPrice*O36/OilMMBTu+PropanePrice*Q36/PropaneMMBTU)+IF(B36="A - Residential",ResElecRate*M36,IF(B36="B - Income Eligible",ResIERate*M36,CIElecRate*M36))</f>
        <v>821.81369565217369</v>
      </c>
      <c r="U36" s="61">
        <f t="shared" ref="U36:U55" si="12">S36+T36*J36</f>
        <v>14334.41086956521</v>
      </c>
      <c r="V36" s="62">
        <f>M36*Assumptions!C$17/1000+O36*Assumptions!C$18+Q36*Assumptions!C$19</f>
        <v>6.3144723499999991</v>
      </c>
      <c r="W36" s="69" t="s">
        <v>256</v>
      </c>
      <c r="X36" s="60" t="str">
        <f t="shared" si="3"/>
        <v/>
      </c>
    </row>
    <row r="37" spans="1:24" x14ac:dyDescent="0.25">
      <c r="A37" s="60" t="s">
        <v>61</v>
      </c>
      <c r="B37" s="8" t="s">
        <v>62</v>
      </c>
      <c r="C37" s="7" t="s">
        <v>74</v>
      </c>
      <c r="D37" s="8" t="s">
        <v>75</v>
      </c>
      <c r="E37" s="8" t="s">
        <v>65</v>
      </c>
      <c r="F37" s="8" t="s">
        <v>66</v>
      </c>
      <c r="G37" s="7" t="s">
        <v>139</v>
      </c>
      <c r="H37" s="7" t="s">
        <v>140</v>
      </c>
      <c r="I37" s="7" t="s">
        <v>69</v>
      </c>
      <c r="J37" s="6">
        <v>30</v>
      </c>
      <c r="K37" s="6">
        <v>26320</v>
      </c>
      <c r="L37" s="6">
        <v>16000</v>
      </c>
      <c r="M37" s="6">
        <v>-4843.5</v>
      </c>
      <c r="N37" s="9"/>
      <c r="O37" s="20"/>
      <c r="P37" s="9" t="s">
        <v>70</v>
      </c>
      <c r="Q37" s="20">
        <v>75.92</v>
      </c>
      <c r="R37" s="69" t="s">
        <v>256</v>
      </c>
      <c r="S37" s="1">
        <f t="shared" si="10"/>
        <v>-10320</v>
      </c>
      <c r="T37" s="1">
        <f t="shared" si="11"/>
        <v>1655.9991224712955</v>
      </c>
      <c r="U37" s="61">
        <f t="shared" si="12"/>
        <v>39359.97367413887</v>
      </c>
      <c r="V37" s="62">
        <f>M37*Assumptions!C$17/1000+O37*Assumptions!C$18+Q37*Assumptions!C$19</f>
        <v>4.2724416500000002</v>
      </c>
      <c r="W37" s="69" t="s">
        <v>256</v>
      </c>
      <c r="X37" s="60" t="str">
        <f t="shared" si="3"/>
        <v/>
      </c>
    </row>
    <row r="38" spans="1:24" x14ac:dyDescent="0.25">
      <c r="A38" s="60" t="s">
        <v>61</v>
      </c>
      <c r="B38" s="8" t="s">
        <v>62</v>
      </c>
      <c r="C38" s="7" t="s">
        <v>74</v>
      </c>
      <c r="D38" s="8" t="s">
        <v>75</v>
      </c>
      <c r="E38" s="8" t="s">
        <v>65</v>
      </c>
      <c r="F38" s="8" t="s">
        <v>71</v>
      </c>
      <c r="G38" s="7" t="s">
        <v>141</v>
      </c>
      <c r="H38" s="7" t="s">
        <v>142</v>
      </c>
      <c r="I38" s="7" t="s">
        <v>143</v>
      </c>
      <c r="J38" s="6">
        <v>13</v>
      </c>
      <c r="K38" s="6">
        <v>64</v>
      </c>
      <c r="L38" s="6">
        <v>1000</v>
      </c>
      <c r="M38" s="6">
        <v>-1130</v>
      </c>
      <c r="N38" s="9" t="s">
        <v>78</v>
      </c>
      <c r="O38" s="20">
        <v>17.399999999999999</v>
      </c>
      <c r="P38" s="9"/>
      <c r="Q38" s="20"/>
      <c r="R38" s="69">
        <v>162.02385219631483</v>
      </c>
      <c r="S38" s="1">
        <f t="shared" si="10"/>
        <v>936</v>
      </c>
      <c r="T38" s="1">
        <f t="shared" si="11"/>
        <v>122.33478260869555</v>
      </c>
      <c r="U38" s="61">
        <f t="shared" si="12"/>
        <v>2526.352173913042</v>
      </c>
      <c r="V38" s="62">
        <f>M38*Assumptions!C$17/1000+O38*Assumptions!C$18+Q38*Assumptions!C$19</f>
        <v>1.2506009999999999</v>
      </c>
      <c r="W38" s="69">
        <v>102.69490334992571</v>
      </c>
      <c r="X38" s="60" t="str">
        <f t="shared" si="3"/>
        <v/>
      </c>
    </row>
    <row r="39" spans="1:24" x14ac:dyDescent="0.25">
      <c r="A39" s="60" t="s">
        <v>61</v>
      </c>
      <c r="B39" s="8" t="s">
        <v>62</v>
      </c>
      <c r="C39" s="7" t="s">
        <v>74</v>
      </c>
      <c r="D39" s="8" t="s">
        <v>75</v>
      </c>
      <c r="E39" s="8" t="s">
        <v>65</v>
      </c>
      <c r="F39" s="8" t="s">
        <v>71</v>
      </c>
      <c r="G39" s="7" t="s">
        <v>144</v>
      </c>
      <c r="H39" s="7" t="s">
        <v>145</v>
      </c>
      <c r="I39" s="7" t="s">
        <v>143</v>
      </c>
      <c r="J39" s="6">
        <v>13</v>
      </c>
      <c r="K39" s="6">
        <v>855</v>
      </c>
      <c r="L39" s="6">
        <v>200</v>
      </c>
      <c r="M39" s="6">
        <v>-831</v>
      </c>
      <c r="N39" s="9"/>
      <c r="O39" s="20"/>
      <c r="P39" s="9" t="s">
        <v>70</v>
      </c>
      <c r="Q39" s="20">
        <v>16.399999999999999</v>
      </c>
      <c r="R39" s="69">
        <v>13.414330835543208</v>
      </c>
      <c r="S39" s="1">
        <f t="shared" si="10"/>
        <v>-655</v>
      </c>
      <c r="T39" s="1">
        <f t="shared" si="11"/>
        <v>415.84869874248216</v>
      </c>
      <c r="U39" s="61">
        <f t="shared" si="12"/>
        <v>4751.033083652268</v>
      </c>
      <c r="V39" s="62">
        <f>M39*Assumptions!C$17/1000+O39*Assumptions!C$18+Q39*Assumptions!C$19</f>
        <v>0.94584649999999981</v>
      </c>
      <c r="W39" s="69">
        <v>10.159833343629117</v>
      </c>
      <c r="X39" s="60" t="str">
        <f t="shared" si="3"/>
        <v/>
      </c>
    </row>
    <row r="40" spans="1:24" x14ac:dyDescent="0.25">
      <c r="A40" s="60" t="s">
        <v>61</v>
      </c>
      <c r="B40" s="60" t="s">
        <v>62</v>
      </c>
      <c r="C40" s="60" t="s">
        <v>74</v>
      </c>
      <c r="D40" s="60" t="s">
        <v>75</v>
      </c>
      <c r="E40" s="60" t="s">
        <v>65</v>
      </c>
      <c r="F40" s="60" t="s">
        <v>146</v>
      </c>
      <c r="G40" s="7" t="s">
        <v>147</v>
      </c>
      <c r="H40" s="60" t="s">
        <v>262</v>
      </c>
      <c r="I40" s="7" t="s">
        <v>143</v>
      </c>
      <c r="J40" s="6">
        <v>10</v>
      </c>
      <c r="K40" s="6">
        <v>681</v>
      </c>
      <c r="L40" s="6">
        <v>500</v>
      </c>
      <c r="M40" s="6">
        <v>-251</v>
      </c>
      <c r="P40" s="9" t="s">
        <v>70</v>
      </c>
      <c r="Q40" s="56">
        <v>2.1</v>
      </c>
      <c r="R40" s="69" t="s">
        <v>270</v>
      </c>
      <c r="S40" s="1">
        <f t="shared" ref="S40" si="13">L40-K40</f>
        <v>-181</v>
      </c>
      <c r="T40" s="1">
        <f t="shared" si="11"/>
        <v>14.209223619464169</v>
      </c>
      <c r="U40" s="61">
        <f t="shared" ref="U40" si="14">S40+T40*J40</f>
        <v>-38.907763805358314</v>
      </c>
      <c r="V40" s="62">
        <f>M40*Assumptions!C$17/1000+O40*Assumptions!C$18+Q40*Assumptions!C$19</f>
        <v>0.1057155</v>
      </c>
      <c r="W40" s="69">
        <v>0</v>
      </c>
      <c r="X40" s="60" t="str">
        <f t="shared" si="3"/>
        <v/>
      </c>
    </row>
    <row r="41" spans="1:24" x14ac:dyDescent="0.25">
      <c r="A41" s="60" t="s">
        <v>61</v>
      </c>
      <c r="B41" s="8" t="s">
        <v>148</v>
      </c>
      <c r="C41" s="7" t="s">
        <v>149</v>
      </c>
      <c r="D41" s="7" t="s">
        <v>150</v>
      </c>
      <c r="E41" s="8" t="s">
        <v>65</v>
      </c>
      <c r="F41" s="8" t="s">
        <v>66</v>
      </c>
      <c r="G41" s="7" t="s">
        <v>151</v>
      </c>
      <c r="H41" s="7" t="s">
        <v>152</v>
      </c>
      <c r="I41" s="7" t="s">
        <v>69</v>
      </c>
      <c r="J41" s="6">
        <v>17</v>
      </c>
      <c r="K41" s="6">
        <v>13000</v>
      </c>
      <c r="L41" s="6">
        <v>13000</v>
      </c>
      <c r="M41" s="6">
        <v>-3328</v>
      </c>
      <c r="N41" s="9" t="s">
        <v>78</v>
      </c>
      <c r="O41" s="20">
        <v>46.979910078942126</v>
      </c>
      <c r="P41" s="9"/>
      <c r="Q41" s="20"/>
      <c r="R41" s="69">
        <v>2.3123482970275466</v>
      </c>
      <c r="S41" s="1">
        <f t="shared" si="10"/>
        <v>0</v>
      </c>
      <c r="T41" s="1">
        <f t="shared" si="11"/>
        <v>555.03170411314341</v>
      </c>
      <c r="U41" s="61">
        <f t="shared" si="12"/>
        <v>9435.5389699234383</v>
      </c>
      <c r="V41" s="62">
        <f>M41*Assumptions!C$17/1000+O41*Assumptions!C$18+Q41*Assumptions!C$19</f>
        <v>3.3471151151198502</v>
      </c>
      <c r="W41" s="69">
        <v>1.4549304441259514</v>
      </c>
      <c r="X41" s="60" t="str">
        <f t="shared" si="3"/>
        <v/>
      </c>
    </row>
    <row r="42" spans="1:24" x14ac:dyDescent="0.25">
      <c r="A42" s="60" t="s">
        <v>61</v>
      </c>
      <c r="B42" s="8" t="s">
        <v>148</v>
      </c>
      <c r="C42" s="7" t="s">
        <v>149</v>
      </c>
      <c r="D42" s="7" t="s">
        <v>150</v>
      </c>
      <c r="E42" s="8" t="s">
        <v>65</v>
      </c>
      <c r="F42" s="8" t="s">
        <v>66</v>
      </c>
      <c r="G42" s="7" t="s">
        <v>153</v>
      </c>
      <c r="H42" s="7" t="s">
        <v>154</v>
      </c>
      <c r="I42" s="7" t="s">
        <v>69</v>
      </c>
      <c r="J42" s="6">
        <v>17</v>
      </c>
      <c r="K42" s="6">
        <v>13000</v>
      </c>
      <c r="L42" s="6">
        <v>13000</v>
      </c>
      <c r="M42" s="6">
        <v>-3873</v>
      </c>
      <c r="N42" s="9"/>
      <c r="O42" s="20"/>
      <c r="P42" s="9" t="s">
        <v>70</v>
      </c>
      <c r="Q42" s="20">
        <v>53.78347838330091</v>
      </c>
      <c r="R42" s="69">
        <v>3.3485473345519403</v>
      </c>
      <c r="S42" s="1">
        <f t="shared" si="10"/>
        <v>0</v>
      </c>
      <c r="T42" s="1">
        <f t="shared" si="11"/>
        <v>1402.4446673415446</v>
      </c>
      <c r="U42" s="61">
        <f t="shared" si="12"/>
        <v>23841.559344806257</v>
      </c>
      <c r="V42" s="62">
        <f>M42*Assumptions!C$17/1000+O42*Assumptions!C$18+Q42*Assumptions!C$19</f>
        <v>2.9796494816347883</v>
      </c>
      <c r="W42" s="69">
        <v>2.5821679806407518</v>
      </c>
      <c r="X42" s="60" t="str">
        <f t="shared" si="3"/>
        <v/>
      </c>
    </row>
    <row r="43" spans="1:24" x14ac:dyDescent="0.25">
      <c r="A43" s="60" t="s">
        <v>61</v>
      </c>
      <c r="B43" s="8" t="s">
        <v>148</v>
      </c>
      <c r="C43" s="7" t="s">
        <v>149</v>
      </c>
      <c r="D43" s="7" t="s">
        <v>150</v>
      </c>
      <c r="E43" s="8" t="s">
        <v>65</v>
      </c>
      <c r="F43" s="8" t="s">
        <v>66</v>
      </c>
      <c r="G43" s="7" t="s">
        <v>155</v>
      </c>
      <c r="H43" s="7" t="s">
        <v>156</v>
      </c>
      <c r="I43" s="7" t="s">
        <v>69</v>
      </c>
      <c r="J43" s="6">
        <v>17</v>
      </c>
      <c r="K43" s="6">
        <v>30000</v>
      </c>
      <c r="L43" s="6">
        <v>30000</v>
      </c>
      <c r="M43" s="6">
        <v>-8437</v>
      </c>
      <c r="N43" s="9" t="s">
        <v>78</v>
      </c>
      <c r="O43" s="20">
        <v>83.912862968026758</v>
      </c>
      <c r="P43" s="9"/>
      <c r="Q43" s="20"/>
      <c r="R43" s="69">
        <v>1.3900222793047887</v>
      </c>
      <c r="S43" s="1">
        <f t="shared" si="10"/>
        <v>0</v>
      </c>
      <c r="T43" s="1">
        <f t="shared" si="11"/>
        <v>542.67772073630977</v>
      </c>
      <c r="U43" s="61">
        <f t="shared" si="12"/>
        <v>9225.5212525172665</v>
      </c>
      <c r="V43" s="62">
        <f>M43*Assumptions!C$17/1000+O43*Assumptions!C$18+Q43*Assumptions!C$19</f>
        <v>5.7129539732508281</v>
      </c>
      <c r="W43" s="69">
        <v>0.87588097234097773</v>
      </c>
      <c r="X43" s="60" t="str">
        <f t="shared" si="3"/>
        <v>Not cost-effective</v>
      </c>
    </row>
    <row r="44" spans="1:24" x14ac:dyDescent="0.25">
      <c r="A44" s="60" t="s">
        <v>61</v>
      </c>
      <c r="B44" s="8" t="s">
        <v>148</v>
      </c>
      <c r="C44" s="7" t="s">
        <v>149</v>
      </c>
      <c r="D44" s="7" t="s">
        <v>150</v>
      </c>
      <c r="E44" s="8" t="s">
        <v>65</v>
      </c>
      <c r="F44" s="8" t="s">
        <v>66</v>
      </c>
      <c r="G44" s="7" t="s">
        <v>157</v>
      </c>
      <c r="H44" s="7" t="s">
        <v>158</v>
      </c>
      <c r="I44" s="7" t="s">
        <v>69</v>
      </c>
      <c r="J44" s="6">
        <v>17</v>
      </c>
      <c r="K44" s="6">
        <v>30000</v>
      </c>
      <c r="L44" s="6">
        <v>30000</v>
      </c>
      <c r="M44" s="6">
        <v>-8437</v>
      </c>
      <c r="N44" s="9"/>
      <c r="O44" s="20"/>
      <c r="P44" s="9" t="s">
        <v>70</v>
      </c>
      <c r="Q44" s="20">
        <v>83.912862968026758</v>
      </c>
      <c r="R44" s="69">
        <v>1.8816455045658556</v>
      </c>
      <c r="S44" s="1">
        <f t="shared" si="10"/>
        <v>0</v>
      </c>
      <c r="T44" s="1">
        <f t="shared" si="11"/>
        <v>1757.1073132406286</v>
      </c>
      <c r="U44" s="61">
        <f t="shared" si="12"/>
        <v>29870.824325090685</v>
      </c>
      <c r="V44" s="62">
        <f>M44*Assumptions!C$17/1000+O44*Assumptions!C$18+Q44*Assumptions!C$19</f>
        <v>4.3938437673934478</v>
      </c>
      <c r="W44" s="69">
        <v>1.5070828026176659</v>
      </c>
      <c r="X44" s="60" t="str">
        <f t="shared" si="3"/>
        <v/>
      </c>
    </row>
    <row r="45" spans="1:24" x14ac:dyDescent="0.25">
      <c r="A45" s="60" t="s">
        <v>61</v>
      </c>
      <c r="B45" s="8" t="s">
        <v>148</v>
      </c>
      <c r="C45" s="7" t="s">
        <v>149</v>
      </c>
      <c r="D45" s="7" t="s">
        <v>150</v>
      </c>
      <c r="E45" s="8" t="s">
        <v>65</v>
      </c>
      <c r="F45" s="8" t="s">
        <v>66</v>
      </c>
      <c r="G45" s="7" t="s">
        <v>159</v>
      </c>
      <c r="H45" s="7" t="s">
        <v>160</v>
      </c>
      <c r="I45" s="7" t="s">
        <v>69</v>
      </c>
      <c r="J45" s="6">
        <v>18</v>
      </c>
      <c r="K45" s="6">
        <v>18000</v>
      </c>
      <c r="L45" s="6">
        <v>18000</v>
      </c>
      <c r="M45" s="6">
        <v>-2784</v>
      </c>
      <c r="N45" s="9" t="s">
        <v>78</v>
      </c>
      <c r="O45" s="20">
        <v>44.26030367274479</v>
      </c>
      <c r="P45" s="9"/>
      <c r="Q45" s="20"/>
      <c r="R45" s="69">
        <v>1.7241816678062356</v>
      </c>
      <c r="S45" s="1">
        <f t="shared" si="10"/>
        <v>0</v>
      </c>
      <c r="T45" s="1">
        <f t="shared" si="11"/>
        <v>586.14398152612205</v>
      </c>
      <c r="U45" s="61">
        <f t="shared" si="12"/>
        <v>10550.591667470197</v>
      </c>
      <c r="V45" s="62">
        <f>M45*Assumptions!C$17/1000+O45*Assumptions!C$18+Q45*Assumptions!C$19</f>
        <v>3.1907733263755622</v>
      </c>
      <c r="W45" s="69">
        <v>1.0706543306805436</v>
      </c>
      <c r="X45" s="60" t="str">
        <f t="shared" si="3"/>
        <v/>
      </c>
    </row>
    <row r="46" spans="1:24" x14ac:dyDescent="0.25">
      <c r="A46" s="60" t="s">
        <v>61</v>
      </c>
      <c r="B46" s="8" t="s">
        <v>148</v>
      </c>
      <c r="C46" s="7" t="s">
        <v>149</v>
      </c>
      <c r="D46" s="7" t="s">
        <v>150</v>
      </c>
      <c r="E46" s="8" t="s">
        <v>65</v>
      </c>
      <c r="F46" s="8" t="s">
        <v>66</v>
      </c>
      <c r="G46" s="7" t="s">
        <v>161</v>
      </c>
      <c r="H46" s="7" t="s">
        <v>162</v>
      </c>
      <c r="I46" s="7" t="s">
        <v>69</v>
      </c>
      <c r="J46" s="6">
        <v>18</v>
      </c>
      <c r="K46" s="6">
        <v>18000</v>
      </c>
      <c r="L46" s="6">
        <v>18000</v>
      </c>
      <c r="M46" s="6">
        <v>-3141</v>
      </c>
      <c r="N46" s="9"/>
      <c r="O46" s="20"/>
      <c r="P46" s="9" t="s">
        <v>70</v>
      </c>
      <c r="Q46" s="20">
        <v>48.109367149262788</v>
      </c>
      <c r="R46" s="69">
        <v>2.3416616136490136</v>
      </c>
      <c r="S46" s="1">
        <f t="shared" si="10"/>
        <v>0</v>
      </c>
      <c r="T46" s="1">
        <f t="shared" si="11"/>
        <v>1312.7002703430085</v>
      </c>
      <c r="U46" s="61">
        <f t="shared" si="12"/>
        <v>23628.604866174152</v>
      </c>
      <c r="V46" s="62">
        <f>M46*Assumptions!C$17/1000+O46*Assumptions!C$18+Q46*Assumptions!C$19</f>
        <v>2.699741286104004</v>
      </c>
      <c r="W46" s="69">
        <v>1.7847922104136005</v>
      </c>
      <c r="X46" s="60" t="str">
        <f t="shared" si="3"/>
        <v/>
      </c>
    </row>
    <row r="47" spans="1:24" x14ac:dyDescent="0.25">
      <c r="A47" s="60" t="s">
        <v>61</v>
      </c>
      <c r="B47" s="8" t="s">
        <v>148</v>
      </c>
      <c r="C47" s="7" t="s">
        <v>149</v>
      </c>
      <c r="D47" s="7" t="s">
        <v>150</v>
      </c>
      <c r="E47" s="8" t="s">
        <v>65</v>
      </c>
      <c r="F47" s="8" t="s">
        <v>66</v>
      </c>
      <c r="G47" s="7" t="s">
        <v>163</v>
      </c>
      <c r="H47" s="7" t="s">
        <v>164</v>
      </c>
      <c r="I47" s="7" t="s">
        <v>69</v>
      </c>
      <c r="J47" s="6">
        <v>18</v>
      </c>
      <c r="K47" s="6">
        <v>35000</v>
      </c>
      <c r="L47" s="6">
        <v>35000</v>
      </c>
      <c r="M47" s="6">
        <v>-5882</v>
      </c>
      <c r="N47" s="9"/>
      <c r="O47" s="20"/>
      <c r="P47" s="9" t="s">
        <v>70</v>
      </c>
      <c r="Q47" s="20">
        <v>69.325100254055101</v>
      </c>
      <c r="R47" s="69" t="s">
        <v>256</v>
      </c>
      <c r="S47" s="1">
        <f t="shared" si="10"/>
        <v>0</v>
      </c>
      <c r="T47" s="1">
        <f t="shared" si="11"/>
        <v>1647.5342362709314</v>
      </c>
      <c r="U47" s="61">
        <f t="shared" si="12"/>
        <v>29655.616252876764</v>
      </c>
      <c r="V47" s="62">
        <f>M47*Assumptions!C$17/1000+O47*Assumptions!C$18+Q47*Assumptions!C$19</f>
        <v>3.7459010730232554</v>
      </c>
      <c r="W47" s="69" t="s">
        <v>256</v>
      </c>
      <c r="X47" s="60" t="str">
        <f t="shared" si="3"/>
        <v/>
      </c>
    </row>
    <row r="48" spans="1:24" x14ac:dyDescent="0.25">
      <c r="A48" s="60" t="s">
        <v>61</v>
      </c>
      <c r="B48" s="8" t="s">
        <v>148</v>
      </c>
      <c r="C48" s="7" t="s">
        <v>149</v>
      </c>
      <c r="D48" s="7" t="s">
        <v>150</v>
      </c>
      <c r="E48" s="8" t="s">
        <v>65</v>
      </c>
      <c r="F48" s="8" t="s">
        <v>66</v>
      </c>
      <c r="G48" s="7" t="s">
        <v>165</v>
      </c>
      <c r="H48" s="7" t="s">
        <v>166</v>
      </c>
      <c r="I48" s="7" t="s">
        <v>69</v>
      </c>
      <c r="J48" s="6">
        <v>18</v>
      </c>
      <c r="K48" s="6">
        <v>35000</v>
      </c>
      <c r="L48" s="6">
        <v>35000</v>
      </c>
      <c r="M48" s="6">
        <v>-5882</v>
      </c>
      <c r="N48" s="9"/>
      <c r="O48" s="20"/>
      <c r="P48" s="9" t="s">
        <v>70</v>
      </c>
      <c r="Q48" s="20">
        <v>69.325100254055101</v>
      </c>
      <c r="R48" s="69" t="s">
        <v>256</v>
      </c>
      <c r="S48" s="1">
        <f t="shared" si="10"/>
        <v>0</v>
      </c>
      <c r="T48" s="1">
        <f t="shared" si="11"/>
        <v>1647.5342362709314</v>
      </c>
      <c r="U48" s="61">
        <f t="shared" si="12"/>
        <v>29655.616252876764</v>
      </c>
      <c r="V48" s="62">
        <f>M48*Assumptions!C$17/1000+O48*Assumptions!C$18+Q48*Assumptions!C$19</f>
        <v>3.7459010730232554</v>
      </c>
      <c r="W48" s="69" t="s">
        <v>256</v>
      </c>
      <c r="X48" s="60" t="str">
        <f t="shared" si="3"/>
        <v/>
      </c>
    </row>
    <row r="49" spans="1:24" x14ac:dyDescent="0.25">
      <c r="A49" s="60" t="s">
        <v>61</v>
      </c>
      <c r="B49" s="8" t="s">
        <v>148</v>
      </c>
      <c r="C49" s="7" t="s">
        <v>149</v>
      </c>
      <c r="D49" s="7" t="s">
        <v>150</v>
      </c>
      <c r="E49" s="7" t="s">
        <v>65</v>
      </c>
      <c r="F49" s="8" t="s">
        <v>71</v>
      </c>
      <c r="G49" s="7" t="s">
        <v>167</v>
      </c>
      <c r="H49" s="7" t="s">
        <v>168</v>
      </c>
      <c r="I49" s="7" t="s">
        <v>143</v>
      </c>
      <c r="J49" s="6">
        <v>13</v>
      </c>
      <c r="K49" s="6">
        <v>0</v>
      </c>
      <c r="L49" s="6">
        <v>0</v>
      </c>
      <c r="M49" s="6">
        <v>-1138</v>
      </c>
      <c r="N49" s="9" t="s">
        <v>78</v>
      </c>
      <c r="O49" s="20">
        <v>17.399999999999999</v>
      </c>
      <c r="P49" s="9"/>
      <c r="Q49" s="20"/>
      <c r="R49" s="69">
        <v>1.6718010917211776</v>
      </c>
      <c r="S49" s="1">
        <f t="shared" si="10"/>
        <v>0</v>
      </c>
      <c r="T49" s="1">
        <f t="shared" si="11"/>
        <v>222.59478260869557</v>
      </c>
      <c r="U49" s="61">
        <f t="shared" si="12"/>
        <v>2893.7321739130425</v>
      </c>
      <c r="V49" s="62">
        <f>M49*Assumptions!C$17/1000+O49*Assumptions!C$18+Q49*Assumptions!C$19</f>
        <v>1.2497489999999998</v>
      </c>
      <c r="W49" s="69">
        <v>1.0207589738929619</v>
      </c>
      <c r="X49" s="60" t="str">
        <f t="shared" si="3"/>
        <v/>
      </c>
    </row>
    <row r="50" spans="1:24" x14ac:dyDescent="0.25">
      <c r="A50" s="60" t="s">
        <v>61</v>
      </c>
      <c r="B50" s="8" t="s">
        <v>148</v>
      </c>
      <c r="C50" s="7" t="s">
        <v>149</v>
      </c>
      <c r="D50" s="7" t="s">
        <v>150</v>
      </c>
      <c r="E50" s="7" t="s">
        <v>65</v>
      </c>
      <c r="F50" s="8" t="s">
        <v>71</v>
      </c>
      <c r="G50" s="7" t="s">
        <v>169</v>
      </c>
      <c r="H50" s="7" t="s">
        <v>170</v>
      </c>
      <c r="I50" s="7" t="s">
        <v>143</v>
      </c>
      <c r="J50" s="6">
        <v>13</v>
      </c>
      <c r="K50" s="6">
        <v>0</v>
      </c>
      <c r="L50" s="6">
        <v>0</v>
      </c>
      <c r="M50" s="6">
        <v>-831</v>
      </c>
      <c r="N50" s="9"/>
      <c r="O50" s="20"/>
      <c r="P50" s="9" t="s">
        <v>70</v>
      </c>
      <c r="Q50" s="20">
        <v>16.399999999999999</v>
      </c>
      <c r="R50" s="69">
        <v>2.2102304631994159</v>
      </c>
      <c r="S50" s="1">
        <f t="shared" si="10"/>
        <v>0</v>
      </c>
      <c r="T50" s="1">
        <f t="shared" si="11"/>
        <v>490.63869874248218</v>
      </c>
      <c r="U50" s="61">
        <f t="shared" si="12"/>
        <v>6378.3030836522685</v>
      </c>
      <c r="V50" s="62">
        <f>M50*Assumptions!C$17/1000+O50*Assumptions!C$18+Q50*Assumptions!C$19</f>
        <v>0.94584649999999981</v>
      </c>
      <c r="W50" s="69">
        <v>1.6537113920821056</v>
      </c>
      <c r="X50" s="60" t="str">
        <f t="shared" si="3"/>
        <v/>
      </c>
    </row>
    <row r="51" spans="1:24" x14ac:dyDescent="0.25">
      <c r="A51" s="60" t="s">
        <v>61</v>
      </c>
      <c r="B51" s="8" t="s">
        <v>148</v>
      </c>
      <c r="C51" s="7" t="s">
        <v>149</v>
      </c>
      <c r="D51" s="7" t="s">
        <v>150</v>
      </c>
      <c r="E51" s="7" t="s">
        <v>65</v>
      </c>
      <c r="F51" s="8" t="s">
        <v>71</v>
      </c>
      <c r="G51" s="7" t="s">
        <v>171</v>
      </c>
      <c r="H51" s="7" t="s">
        <v>263</v>
      </c>
      <c r="I51" s="7" t="s">
        <v>143</v>
      </c>
      <c r="J51" s="6">
        <v>13</v>
      </c>
      <c r="K51" s="6">
        <v>0</v>
      </c>
      <c r="L51" s="6">
        <v>0</v>
      </c>
      <c r="M51" s="6">
        <v>0</v>
      </c>
      <c r="N51" s="9" t="s">
        <v>78</v>
      </c>
      <c r="O51" s="2">
        <v>0</v>
      </c>
      <c r="P51" s="9"/>
      <c r="Q51" s="2"/>
      <c r="R51" s="69" t="s">
        <v>270</v>
      </c>
      <c r="S51" s="1">
        <f t="shared" si="10"/>
        <v>0</v>
      </c>
      <c r="T51" s="1">
        <f t="shared" si="11"/>
        <v>0</v>
      </c>
      <c r="U51" s="61">
        <f t="shared" si="12"/>
        <v>0</v>
      </c>
      <c r="V51" s="62">
        <f>M51*Assumptions!C$17/1000+O51*Assumptions!C$18+Q51*Assumptions!C$19</f>
        <v>0</v>
      </c>
      <c r="W51" s="69">
        <v>0</v>
      </c>
      <c r="X51" s="60" t="str">
        <f t="shared" si="3"/>
        <v/>
      </c>
    </row>
    <row r="52" spans="1:24" x14ac:dyDescent="0.25">
      <c r="A52" s="60" t="s">
        <v>61</v>
      </c>
      <c r="B52" s="8" t="s">
        <v>148</v>
      </c>
      <c r="C52" s="7" t="s">
        <v>149</v>
      </c>
      <c r="D52" s="7" t="s">
        <v>150</v>
      </c>
      <c r="E52" s="7" t="s">
        <v>65</v>
      </c>
      <c r="F52" s="8" t="s">
        <v>71</v>
      </c>
      <c r="G52" s="7" t="s">
        <v>172</v>
      </c>
      <c r="H52" s="7" t="s">
        <v>264</v>
      </c>
      <c r="I52" s="7" t="s">
        <v>143</v>
      </c>
      <c r="J52" s="6">
        <v>13</v>
      </c>
      <c r="K52" s="6">
        <v>0</v>
      </c>
      <c r="L52" s="6">
        <v>0</v>
      </c>
      <c r="M52" s="6">
        <v>0</v>
      </c>
      <c r="N52" s="14"/>
      <c r="O52" s="2"/>
      <c r="P52" s="14" t="s">
        <v>70</v>
      </c>
      <c r="Q52" s="2"/>
      <c r="R52" s="69" t="s">
        <v>270</v>
      </c>
      <c r="S52" s="1">
        <f t="shared" si="10"/>
        <v>0</v>
      </c>
      <c r="T52" s="1">
        <f t="shared" si="11"/>
        <v>0</v>
      </c>
      <c r="U52" s="61">
        <f t="shared" si="12"/>
        <v>0</v>
      </c>
      <c r="V52" s="62">
        <f>M52*Assumptions!C$17/1000+O52*Assumptions!C$18+Q52*Assumptions!C$19</f>
        <v>0</v>
      </c>
      <c r="W52" s="69">
        <v>0</v>
      </c>
      <c r="X52" s="60" t="str">
        <f t="shared" si="3"/>
        <v/>
      </c>
    </row>
    <row r="53" spans="1:24" s="63" customFormat="1" x14ac:dyDescent="0.25">
      <c r="A53" s="63" t="s">
        <v>61</v>
      </c>
      <c r="B53" s="63" t="s">
        <v>173</v>
      </c>
      <c r="C53" s="63" t="s">
        <v>174</v>
      </c>
      <c r="D53" s="63" t="s">
        <v>175</v>
      </c>
      <c r="E53" s="63" t="s">
        <v>65</v>
      </c>
      <c r="F53" s="63" t="s">
        <v>146</v>
      </c>
      <c r="G53" s="17" t="s">
        <v>176</v>
      </c>
      <c r="H53" s="63" t="s">
        <v>177</v>
      </c>
      <c r="I53" s="17" t="s">
        <v>143</v>
      </c>
      <c r="J53" s="34">
        <v>8</v>
      </c>
      <c r="K53" s="92">
        <v>6000</v>
      </c>
      <c r="L53" s="92">
        <v>6000</v>
      </c>
      <c r="M53" s="93">
        <v>-13886</v>
      </c>
      <c r="N53" s="15"/>
      <c r="O53" s="94"/>
      <c r="P53" s="14" t="s">
        <v>70</v>
      </c>
      <c r="Q53" s="2">
        <v>137</v>
      </c>
      <c r="R53" s="69">
        <v>6.7978019154839417</v>
      </c>
      <c r="S53" s="12">
        <f>L53-K53</f>
        <v>0</v>
      </c>
      <c r="T53" s="1">
        <f t="shared" si="11"/>
        <v>1973.8703980317114</v>
      </c>
      <c r="U53" s="64">
        <f>S53+T53*J53</f>
        <v>15790.963184253691</v>
      </c>
      <c r="V53" s="62">
        <f>M53*Assumptions!C$17/1000+O53*Assumptions!C$18+Q53*Assumptions!C$19</f>
        <v>7.1617309999999996</v>
      </c>
      <c r="W53" s="69">
        <v>5.5522181266464399</v>
      </c>
      <c r="X53" s="60" t="str">
        <f t="shared" si="3"/>
        <v/>
      </c>
    </row>
    <row r="54" spans="1:24" x14ac:dyDescent="0.25">
      <c r="A54" s="60" t="s">
        <v>210</v>
      </c>
      <c r="B54" s="8" t="s">
        <v>62</v>
      </c>
      <c r="C54" s="7" t="s">
        <v>74</v>
      </c>
      <c r="D54" s="8" t="s">
        <v>178</v>
      </c>
      <c r="E54" s="8" t="s">
        <v>65</v>
      </c>
      <c r="F54" s="8" t="s">
        <v>66</v>
      </c>
      <c r="G54" s="7" t="s">
        <v>179</v>
      </c>
      <c r="H54" s="7" t="s">
        <v>180</v>
      </c>
      <c r="I54" s="7" t="s">
        <v>190</v>
      </c>
      <c r="J54" s="70">
        <v>15</v>
      </c>
      <c r="K54" s="11"/>
      <c r="L54" s="11"/>
      <c r="M54" s="10"/>
      <c r="N54" s="9" t="s">
        <v>78</v>
      </c>
      <c r="O54" s="13"/>
      <c r="P54" s="9"/>
      <c r="Q54" s="13"/>
      <c r="R54" s="69" t="s">
        <v>256</v>
      </c>
      <c r="S54" s="1">
        <f t="shared" si="10"/>
        <v>0</v>
      </c>
      <c r="T54" s="1">
        <f t="shared" ref="T54:T67" si="15">(OilPrice*O54/OilMMBTu+PropanePrice*Q54/PropaneMMBTU)+IF(B54="A - Residential",ResElecRate*M54,IF(B54="B - Income Eligible",ResIERate*M54,CIElecRate*M54))</f>
        <v>0</v>
      </c>
      <c r="U54" s="61">
        <f t="shared" si="12"/>
        <v>0</v>
      </c>
      <c r="V54" s="62">
        <f>M54*Assumptions!C$17/1000+O54*Assumptions!C$18+Q54*Assumptions!C$19</f>
        <v>0</v>
      </c>
      <c r="W54" s="69" t="s">
        <v>256</v>
      </c>
      <c r="X54" s="60" t="str">
        <f t="shared" si="3"/>
        <v/>
      </c>
    </row>
    <row r="55" spans="1:24" x14ac:dyDescent="0.25">
      <c r="A55" s="60" t="s">
        <v>210</v>
      </c>
      <c r="B55" s="8" t="s">
        <v>62</v>
      </c>
      <c r="C55" s="7" t="s">
        <v>74</v>
      </c>
      <c r="D55" s="8" t="s">
        <v>178</v>
      </c>
      <c r="E55" s="8" t="s">
        <v>65</v>
      </c>
      <c r="F55" s="8" t="s">
        <v>66</v>
      </c>
      <c r="G55" s="7" t="s">
        <v>181</v>
      </c>
      <c r="H55" s="7" t="s">
        <v>182</v>
      </c>
      <c r="I55" s="7" t="s">
        <v>190</v>
      </c>
      <c r="J55" s="70">
        <v>15</v>
      </c>
      <c r="K55" s="11"/>
      <c r="L55" s="11"/>
      <c r="M55" s="10"/>
      <c r="N55" s="9"/>
      <c r="O55" s="13"/>
      <c r="P55" s="9" t="s">
        <v>70</v>
      </c>
      <c r="Q55" s="13"/>
      <c r="R55" s="69" t="s">
        <v>256</v>
      </c>
      <c r="S55" s="1">
        <f t="shared" si="10"/>
        <v>0</v>
      </c>
      <c r="T55" s="1">
        <f t="shared" si="15"/>
        <v>0</v>
      </c>
      <c r="U55" s="61">
        <f t="shared" si="12"/>
        <v>0</v>
      </c>
      <c r="V55" s="62">
        <f>M55*Assumptions!C$17/1000+O55*Assumptions!C$18+Q55*Assumptions!C$19</f>
        <v>0</v>
      </c>
      <c r="W55" s="69" t="s">
        <v>256</v>
      </c>
      <c r="X55" s="60" t="str">
        <f t="shared" si="3"/>
        <v/>
      </c>
    </row>
    <row r="56" spans="1:24" x14ac:dyDescent="0.25">
      <c r="A56" s="60" t="s">
        <v>210</v>
      </c>
      <c r="B56" s="8" t="s">
        <v>148</v>
      </c>
      <c r="C56" s="7" t="s">
        <v>149</v>
      </c>
      <c r="D56" s="7" t="s">
        <v>150</v>
      </c>
      <c r="E56" s="8" t="s">
        <v>65</v>
      </c>
      <c r="F56" s="8" t="s">
        <v>66</v>
      </c>
      <c r="G56" s="7" t="s">
        <v>183</v>
      </c>
      <c r="H56" s="7" t="s">
        <v>184</v>
      </c>
      <c r="I56" s="7" t="s">
        <v>190</v>
      </c>
      <c r="J56" s="70">
        <v>15</v>
      </c>
      <c r="K56" s="11"/>
      <c r="L56" s="11"/>
      <c r="M56" s="10"/>
      <c r="N56" s="9" t="s">
        <v>78</v>
      </c>
      <c r="O56" s="13"/>
      <c r="P56" s="9"/>
      <c r="Q56" s="13"/>
      <c r="R56" s="69" t="s">
        <v>256</v>
      </c>
      <c r="S56" s="1">
        <f t="shared" ref="S56:S67" si="16">L56-K56</f>
        <v>0</v>
      </c>
      <c r="T56" s="1">
        <f t="shared" si="15"/>
        <v>0</v>
      </c>
      <c r="U56" s="61">
        <f t="shared" ref="U56:U67" si="17">S56+T56*J56</f>
        <v>0</v>
      </c>
      <c r="V56" s="62">
        <f>M56*Assumptions!C$17/1000+O56*Assumptions!C$18+Q56*Assumptions!C$19</f>
        <v>0</v>
      </c>
      <c r="W56" s="69" t="s">
        <v>256</v>
      </c>
      <c r="X56" s="60" t="str">
        <f t="shared" si="3"/>
        <v/>
      </c>
    </row>
    <row r="57" spans="1:24" x14ac:dyDescent="0.25">
      <c r="A57" s="60" t="s">
        <v>210</v>
      </c>
      <c r="B57" s="8" t="s">
        <v>148</v>
      </c>
      <c r="C57" s="7" t="s">
        <v>149</v>
      </c>
      <c r="D57" s="7" t="s">
        <v>150</v>
      </c>
      <c r="E57" s="8" t="s">
        <v>65</v>
      </c>
      <c r="F57" s="8" t="s">
        <v>66</v>
      </c>
      <c r="G57" s="7" t="s">
        <v>185</v>
      </c>
      <c r="H57" s="7" t="s">
        <v>186</v>
      </c>
      <c r="I57" s="7" t="s">
        <v>190</v>
      </c>
      <c r="J57" s="70">
        <v>15</v>
      </c>
      <c r="K57" s="11"/>
      <c r="L57" s="11"/>
      <c r="M57" s="10"/>
      <c r="N57" s="14"/>
      <c r="O57" s="13"/>
      <c r="P57" s="14" t="s">
        <v>70</v>
      </c>
      <c r="Q57" s="13"/>
      <c r="R57" s="69" t="s">
        <v>256</v>
      </c>
      <c r="S57" s="1">
        <f t="shared" si="16"/>
        <v>0</v>
      </c>
      <c r="T57" s="1">
        <f t="shared" si="15"/>
        <v>0</v>
      </c>
      <c r="U57" s="61">
        <f t="shared" si="17"/>
        <v>0</v>
      </c>
      <c r="V57" s="62">
        <f>M57*Assumptions!C$17/1000+O57*Assumptions!C$18+Q57*Assumptions!C$19</f>
        <v>0</v>
      </c>
      <c r="W57" s="69" t="s">
        <v>256</v>
      </c>
      <c r="X57" s="60" t="str">
        <f t="shared" si="3"/>
        <v/>
      </c>
    </row>
    <row r="58" spans="1:24" x14ac:dyDescent="0.25">
      <c r="A58" s="60" t="s">
        <v>210</v>
      </c>
      <c r="B58" s="8" t="s">
        <v>173</v>
      </c>
      <c r="C58" s="7" t="s">
        <v>174</v>
      </c>
      <c r="D58" s="7" t="s">
        <v>187</v>
      </c>
      <c r="E58" s="7" t="s">
        <v>65</v>
      </c>
      <c r="F58" s="8" t="s">
        <v>66</v>
      </c>
      <c r="G58" s="7" t="s">
        <v>188</v>
      </c>
      <c r="H58" s="7" t="s">
        <v>189</v>
      </c>
      <c r="I58" s="7" t="s">
        <v>190</v>
      </c>
      <c r="J58" s="70">
        <v>15</v>
      </c>
      <c r="K58" s="11">
        <v>67143</v>
      </c>
      <c r="L58" s="11">
        <v>47000</v>
      </c>
      <c r="M58" s="10">
        <v>-9953</v>
      </c>
      <c r="N58" s="3" t="s">
        <v>191</v>
      </c>
      <c r="O58" s="13">
        <v>44.2</v>
      </c>
      <c r="P58" s="3" t="s">
        <v>70</v>
      </c>
      <c r="Q58" s="13">
        <v>78.02</v>
      </c>
      <c r="R58" s="69">
        <v>1.5456404204375274</v>
      </c>
      <c r="S58" s="1">
        <f t="shared" si="16"/>
        <v>-20143</v>
      </c>
      <c r="T58" s="1">
        <f t="shared" si="15"/>
        <v>1712.9269547864124</v>
      </c>
      <c r="U58" s="61">
        <f t="shared" si="17"/>
        <v>5550.9043217961844</v>
      </c>
      <c r="V58" s="62">
        <f>M58*Assumptions!C$17/1000+O58*Assumptions!C$18+Q58*Assumptions!C$19</f>
        <v>7.3432449000000002</v>
      </c>
      <c r="W58" s="69">
        <v>1.254498594206839</v>
      </c>
      <c r="X58" s="60" t="str">
        <f t="shared" si="3"/>
        <v/>
      </c>
    </row>
    <row r="59" spans="1:24" x14ac:dyDescent="0.25">
      <c r="A59" s="60" t="s">
        <v>210</v>
      </c>
      <c r="B59" s="8" t="s">
        <v>173</v>
      </c>
      <c r="C59" s="7" t="s">
        <v>174</v>
      </c>
      <c r="D59" s="7" t="s">
        <v>187</v>
      </c>
      <c r="E59" s="7" t="s">
        <v>65</v>
      </c>
      <c r="F59" s="8" t="s">
        <v>66</v>
      </c>
      <c r="G59" s="7" t="s">
        <v>192</v>
      </c>
      <c r="H59" s="7" t="s">
        <v>193</v>
      </c>
      <c r="I59" s="7" t="s">
        <v>190</v>
      </c>
      <c r="J59" s="70">
        <v>15</v>
      </c>
      <c r="K59" s="11">
        <v>335715</v>
      </c>
      <c r="L59" s="11">
        <v>235000</v>
      </c>
      <c r="M59" s="10">
        <v>-39812</v>
      </c>
      <c r="N59" s="3" t="s">
        <v>191</v>
      </c>
      <c r="O59" s="13">
        <v>177</v>
      </c>
      <c r="P59" s="3" t="s">
        <v>70</v>
      </c>
      <c r="Q59" s="13">
        <v>312.07</v>
      </c>
      <c r="R59" s="69">
        <v>1.2365123363500217</v>
      </c>
      <c r="S59" s="1">
        <f t="shared" si="16"/>
        <v>-100715</v>
      </c>
      <c r="T59" s="1">
        <f t="shared" si="15"/>
        <v>6856.2304853685782</v>
      </c>
      <c r="U59" s="61">
        <f t="shared" si="17"/>
        <v>2128.4572805286734</v>
      </c>
      <c r="V59" s="62">
        <f>M59*Assumptions!C$17/1000+O59*Assumptions!C$18+Q59*Assumptions!C$19</f>
        <v>29.3881069</v>
      </c>
      <c r="W59" s="69">
        <v>1.0035988753654712</v>
      </c>
      <c r="X59" s="60" t="str">
        <f t="shared" si="3"/>
        <v/>
      </c>
    </row>
    <row r="60" spans="1:24" x14ac:dyDescent="0.25">
      <c r="A60" s="60" t="s">
        <v>210</v>
      </c>
      <c r="B60" s="60" t="s">
        <v>173</v>
      </c>
      <c r="C60" s="60" t="s">
        <v>174</v>
      </c>
      <c r="D60" s="60" t="s">
        <v>175</v>
      </c>
      <c r="E60" s="60" t="s">
        <v>65</v>
      </c>
      <c r="F60" s="60" t="s">
        <v>66</v>
      </c>
      <c r="G60" s="7" t="s">
        <v>194</v>
      </c>
      <c r="H60" s="60" t="s">
        <v>195</v>
      </c>
      <c r="I60" s="7" t="s">
        <v>190</v>
      </c>
      <c r="J60" s="70">
        <v>17</v>
      </c>
      <c r="K60" s="65">
        <v>23500</v>
      </c>
      <c r="L60" s="65">
        <v>16450</v>
      </c>
      <c r="M60" s="66">
        <v>-7625.28</v>
      </c>
      <c r="N60" s="60" t="s">
        <v>191</v>
      </c>
      <c r="O60" s="67">
        <v>88.360000000000014</v>
      </c>
      <c r="P60" s="60"/>
      <c r="Q60" s="67"/>
      <c r="R60" s="69">
        <v>2.9644393577468184</v>
      </c>
      <c r="S60" s="1">
        <f t="shared" si="16"/>
        <v>-7050</v>
      </c>
      <c r="T60" s="1">
        <f t="shared" si="15"/>
        <v>317.63956869565232</v>
      </c>
      <c r="U60" s="61">
        <f t="shared" si="17"/>
        <v>-1650.1273321739109</v>
      </c>
      <c r="V60" s="62">
        <f>M60*Assumptions!C$17/1000+O60*Assumptions!C$18+Q60*Assumptions!C$19</f>
        <v>6.149792080000001</v>
      </c>
      <c r="W60" s="69">
        <v>2.1944343115486995</v>
      </c>
      <c r="X60" s="60" t="str">
        <f t="shared" si="3"/>
        <v/>
      </c>
    </row>
    <row r="61" spans="1:24" x14ac:dyDescent="0.25">
      <c r="A61" s="60" t="s">
        <v>210</v>
      </c>
      <c r="B61" s="60" t="s">
        <v>173</v>
      </c>
      <c r="C61" s="60" t="s">
        <v>174</v>
      </c>
      <c r="D61" s="60" t="s">
        <v>175</v>
      </c>
      <c r="E61" s="60" t="s">
        <v>65</v>
      </c>
      <c r="F61" s="60" t="s">
        <v>66</v>
      </c>
      <c r="G61" s="7" t="s">
        <v>196</v>
      </c>
      <c r="H61" s="60" t="s">
        <v>197</v>
      </c>
      <c r="I61" s="7" t="s">
        <v>190</v>
      </c>
      <c r="J61" s="70">
        <v>17</v>
      </c>
      <c r="K61" s="65">
        <v>23500</v>
      </c>
      <c r="L61" s="65">
        <v>16450</v>
      </c>
      <c r="M61" s="66">
        <v>-7625.28</v>
      </c>
      <c r="N61" s="60" t="s">
        <v>191</v>
      </c>
      <c r="O61" s="67">
        <v>88.360000000000014</v>
      </c>
      <c r="P61" s="60"/>
      <c r="Q61" s="67"/>
      <c r="R61" s="69">
        <v>3.016162114618218</v>
      </c>
      <c r="S61" s="1">
        <f t="shared" si="16"/>
        <v>-7050</v>
      </c>
      <c r="T61" s="1">
        <f t="shared" si="15"/>
        <v>317.63956869565232</v>
      </c>
      <c r="U61" s="61">
        <f t="shared" si="17"/>
        <v>-1650.1273321739109</v>
      </c>
      <c r="V61" s="62">
        <f>M61*Assumptions!C$17/1000+O61*Assumptions!C$18+Q61*Assumptions!C$19</f>
        <v>6.149792080000001</v>
      </c>
      <c r="W61" s="69">
        <v>2.2461570684200991</v>
      </c>
      <c r="X61" s="60" t="str">
        <f t="shared" si="3"/>
        <v/>
      </c>
    </row>
    <row r="62" spans="1:24" x14ac:dyDescent="0.25">
      <c r="A62" s="60" t="s">
        <v>210</v>
      </c>
      <c r="B62" s="60" t="s">
        <v>173</v>
      </c>
      <c r="C62" s="60" t="s">
        <v>174</v>
      </c>
      <c r="D62" s="60" t="s">
        <v>175</v>
      </c>
      <c r="E62" s="60" t="s">
        <v>65</v>
      </c>
      <c r="F62" s="60" t="s">
        <v>66</v>
      </c>
      <c r="G62" s="7" t="s">
        <v>198</v>
      </c>
      <c r="H62" s="60" t="s">
        <v>199</v>
      </c>
      <c r="I62" s="7" t="s">
        <v>190</v>
      </c>
      <c r="J62" s="70">
        <v>17</v>
      </c>
      <c r="K62" s="65">
        <v>23500</v>
      </c>
      <c r="L62" s="65">
        <v>16450</v>
      </c>
      <c r="M62" s="66">
        <v>-12280.16</v>
      </c>
      <c r="O62" s="67"/>
      <c r="P62" s="60" t="s">
        <v>70</v>
      </c>
      <c r="Q62" s="67">
        <v>156.04000000000002</v>
      </c>
      <c r="R62" s="69">
        <v>6.8523773662305354</v>
      </c>
      <c r="S62" s="1">
        <f t="shared" si="16"/>
        <v>-7050</v>
      </c>
      <c r="T62" s="1">
        <f t="shared" si="15"/>
        <v>3107.3678121815201</v>
      </c>
      <c r="U62" s="61">
        <f t="shared" si="17"/>
        <v>45775.252807085839</v>
      </c>
      <c r="V62" s="62">
        <f>M62*Assumptions!C$17/1000+O62*Assumptions!C$18+Q62*Assumptions!C$19</f>
        <v>8.5336057600000004</v>
      </c>
      <c r="W62" s="69">
        <v>5.7367834109132536</v>
      </c>
      <c r="X62" s="60" t="str">
        <f t="shared" si="3"/>
        <v/>
      </c>
    </row>
    <row r="63" spans="1:24" x14ac:dyDescent="0.25">
      <c r="A63" s="60" t="s">
        <v>210</v>
      </c>
      <c r="B63" s="60" t="s">
        <v>173</v>
      </c>
      <c r="C63" s="60" t="s">
        <v>174</v>
      </c>
      <c r="D63" s="60" t="s">
        <v>175</v>
      </c>
      <c r="E63" s="60" t="s">
        <v>65</v>
      </c>
      <c r="F63" s="60" t="s">
        <v>66</v>
      </c>
      <c r="G63" s="7" t="s">
        <v>200</v>
      </c>
      <c r="H63" s="60" t="s">
        <v>201</v>
      </c>
      <c r="I63" s="7" t="s">
        <v>190</v>
      </c>
      <c r="J63" s="70">
        <v>17</v>
      </c>
      <c r="K63" s="65">
        <v>23500</v>
      </c>
      <c r="L63" s="65">
        <v>16450</v>
      </c>
      <c r="M63" s="66">
        <v>-12280.16</v>
      </c>
      <c r="O63" s="67"/>
      <c r="P63" s="60" t="s">
        <v>70</v>
      </c>
      <c r="Q63" s="67">
        <v>156.04000000000002</v>
      </c>
      <c r="R63" s="69">
        <v>6.9061903721198412</v>
      </c>
      <c r="S63" s="1">
        <f t="shared" si="16"/>
        <v>-7050</v>
      </c>
      <c r="T63" s="1">
        <f t="shared" si="15"/>
        <v>3107.3678121815201</v>
      </c>
      <c r="U63" s="61">
        <f t="shared" si="17"/>
        <v>45775.252807085839</v>
      </c>
      <c r="V63" s="62">
        <f>M63*Assumptions!C$17/1000+O63*Assumptions!C$18+Q63*Assumptions!C$19</f>
        <v>8.5336057600000004</v>
      </c>
      <c r="W63" s="69">
        <v>5.7905964168025568</v>
      </c>
      <c r="X63" s="60" t="str">
        <f t="shared" si="3"/>
        <v/>
      </c>
    </row>
    <row r="64" spans="1:24" x14ac:dyDescent="0.25">
      <c r="A64" s="60" t="s">
        <v>210</v>
      </c>
      <c r="B64" s="60" t="s">
        <v>173</v>
      </c>
      <c r="C64" s="60" t="s">
        <v>174</v>
      </c>
      <c r="D64" s="60" t="s">
        <v>175</v>
      </c>
      <c r="E64" s="60" t="s">
        <v>65</v>
      </c>
      <c r="F64" s="60" t="s">
        <v>66</v>
      </c>
      <c r="G64" s="7" t="s">
        <v>202</v>
      </c>
      <c r="H64" s="60" t="s">
        <v>203</v>
      </c>
      <c r="I64" s="7" t="s">
        <v>190</v>
      </c>
      <c r="J64" s="70">
        <v>17</v>
      </c>
      <c r="K64" s="65">
        <v>0</v>
      </c>
      <c r="L64" s="65">
        <v>0</v>
      </c>
      <c r="M64" s="66">
        <v>0</v>
      </c>
      <c r="N64" s="60" t="s">
        <v>191</v>
      </c>
      <c r="O64" s="67">
        <v>0</v>
      </c>
      <c r="P64" s="60"/>
      <c r="Q64" s="67"/>
      <c r="R64" s="69" t="s">
        <v>256</v>
      </c>
      <c r="S64" s="1">
        <f t="shared" si="16"/>
        <v>0</v>
      </c>
      <c r="T64" s="1">
        <f t="shared" si="15"/>
        <v>0</v>
      </c>
      <c r="U64" s="61">
        <f t="shared" si="17"/>
        <v>0</v>
      </c>
      <c r="V64" s="62">
        <f>M64*Assumptions!C$17/1000+O64*Assumptions!C$18+Q64*Assumptions!C$19</f>
        <v>0</v>
      </c>
      <c r="W64" s="69" t="s">
        <v>256</v>
      </c>
      <c r="X64" s="60" t="str">
        <f t="shared" si="3"/>
        <v/>
      </c>
    </row>
    <row r="65" spans="1:24" x14ac:dyDescent="0.25">
      <c r="A65" s="60" t="s">
        <v>210</v>
      </c>
      <c r="B65" s="60" t="s">
        <v>173</v>
      </c>
      <c r="C65" s="60" t="s">
        <v>174</v>
      </c>
      <c r="D65" s="60" t="s">
        <v>175</v>
      </c>
      <c r="E65" s="60" t="s">
        <v>65</v>
      </c>
      <c r="F65" s="60" t="s">
        <v>66</v>
      </c>
      <c r="G65" s="7" t="s">
        <v>204</v>
      </c>
      <c r="H65" s="60" t="s">
        <v>205</v>
      </c>
      <c r="I65" s="7" t="s">
        <v>190</v>
      </c>
      <c r="J65" s="70">
        <v>17</v>
      </c>
      <c r="K65" s="65">
        <v>0</v>
      </c>
      <c r="L65" s="65">
        <v>0</v>
      </c>
      <c r="M65" s="66">
        <v>0</v>
      </c>
      <c r="N65" s="60" t="s">
        <v>191</v>
      </c>
      <c r="O65" s="67">
        <v>0</v>
      </c>
      <c r="P65" s="60"/>
      <c r="Q65" s="67"/>
      <c r="R65" s="69" t="s">
        <v>256</v>
      </c>
      <c r="S65" s="1">
        <f t="shared" si="16"/>
        <v>0</v>
      </c>
      <c r="T65" s="1">
        <f t="shared" si="15"/>
        <v>0</v>
      </c>
      <c r="U65" s="61">
        <f t="shared" si="17"/>
        <v>0</v>
      </c>
      <c r="V65" s="62">
        <f>M65*Assumptions!C$17/1000+O65*Assumptions!C$18+Q65*Assumptions!C$19</f>
        <v>0</v>
      </c>
      <c r="W65" s="69" t="s">
        <v>256</v>
      </c>
      <c r="X65" s="60" t="str">
        <f t="shared" si="3"/>
        <v/>
      </c>
    </row>
    <row r="66" spans="1:24" x14ac:dyDescent="0.25">
      <c r="A66" s="60" t="s">
        <v>210</v>
      </c>
      <c r="B66" s="60" t="s">
        <v>173</v>
      </c>
      <c r="C66" s="60" t="s">
        <v>174</v>
      </c>
      <c r="D66" s="60" t="s">
        <v>175</v>
      </c>
      <c r="E66" s="60" t="s">
        <v>65</v>
      </c>
      <c r="F66" s="60" t="s">
        <v>66</v>
      </c>
      <c r="G66" s="7" t="s">
        <v>206</v>
      </c>
      <c r="H66" s="60" t="s">
        <v>207</v>
      </c>
      <c r="I66" s="7" t="s">
        <v>190</v>
      </c>
      <c r="J66" s="70">
        <v>17</v>
      </c>
      <c r="K66" s="65">
        <v>0</v>
      </c>
      <c r="L66" s="65">
        <v>0</v>
      </c>
      <c r="M66" s="66">
        <v>0</v>
      </c>
      <c r="O66" s="67"/>
      <c r="P66" s="60" t="s">
        <v>70</v>
      </c>
      <c r="Q66" s="67">
        <v>0</v>
      </c>
      <c r="R66" s="69" t="s">
        <v>256</v>
      </c>
      <c r="S66" s="1">
        <f t="shared" si="16"/>
        <v>0</v>
      </c>
      <c r="T66" s="1">
        <f t="shared" si="15"/>
        <v>0</v>
      </c>
      <c r="U66" s="61">
        <f t="shared" si="17"/>
        <v>0</v>
      </c>
      <c r="V66" s="62">
        <f>M66*Assumptions!C$17/1000+O66*Assumptions!C$18+Q66*Assumptions!C$19</f>
        <v>0</v>
      </c>
      <c r="W66" s="69" t="s">
        <v>256</v>
      </c>
      <c r="X66" s="60" t="str">
        <f t="shared" si="3"/>
        <v/>
      </c>
    </row>
    <row r="67" spans="1:24" s="63" customFormat="1" x14ac:dyDescent="0.25">
      <c r="A67" s="63" t="s">
        <v>210</v>
      </c>
      <c r="B67" s="63" t="s">
        <v>173</v>
      </c>
      <c r="C67" s="63" t="s">
        <v>174</v>
      </c>
      <c r="D67" s="63" t="s">
        <v>175</v>
      </c>
      <c r="E67" s="63" t="s">
        <v>65</v>
      </c>
      <c r="F67" s="63" t="s">
        <v>66</v>
      </c>
      <c r="G67" s="7" t="s">
        <v>208</v>
      </c>
      <c r="H67" s="60" t="s">
        <v>209</v>
      </c>
      <c r="I67" s="7" t="s">
        <v>190</v>
      </c>
      <c r="J67" s="70">
        <v>17</v>
      </c>
      <c r="K67" s="65">
        <v>0</v>
      </c>
      <c r="L67" s="65">
        <v>0</v>
      </c>
      <c r="M67" s="66">
        <v>0</v>
      </c>
      <c r="O67" s="68"/>
      <c r="P67" s="63" t="s">
        <v>70</v>
      </c>
      <c r="Q67" s="68">
        <v>0</v>
      </c>
      <c r="R67" s="69" t="s">
        <v>256</v>
      </c>
      <c r="S67" s="12">
        <f t="shared" si="16"/>
        <v>0</v>
      </c>
      <c r="T67" s="1">
        <f t="shared" si="15"/>
        <v>0</v>
      </c>
      <c r="U67" s="64">
        <f t="shared" si="17"/>
        <v>0</v>
      </c>
      <c r="V67" s="62">
        <f>M67*Assumptions!C$17/1000+O67*Assumptions!C$18+Q67*Assumptions!C$19</f>
        <v>0</v>
      </c>
      <c r="W67" s="69" t="s">
        <v>256</v>
      </c>
      <c r="X67" s="60" t="str">
        <f t="shared" ref="X67:X75" si="18">IF(W67=0,"",IF(AND(W67&lt;1,R67&lt;1),"",IF(W67&lt;1,"Not cost-effective","")))</f>
        <v/>
      </c>
    </row>
    <row r="68" spans="1:24" x14ac:dyDescent="0.25">
      <c r="A68" s="60" t="s">
        <v>61</v>
      </c>
      <c r="B68" s="8" t="s">
        <v>62</v>
      </c>
      <c r="C68" s="7" t="s">
        <v>74</v>
      </c>
      <c r="D68" s="8" t="s">
        <v>75</v>
      </c>
      <c r="E68" s="8" t="s">
        <v>65</v>
      </c>
      <c r="F68" s="8" t="s">
        <v>146</v>
      </c>
      <c r="G68" s="7" t="s">
        <v>211</v>
      </c>
      <c r="H68" s="7" t="s">
        <v>265</v>
      </c>
      <c r="I68" s="7" t="s">
        <v>143</v>
      </c>
      <c r="J68" s="39">
        <v>7</v>
      </c>
      <c r="K68" s="55">
        <v>101</v>
      </c>
      <c r="L68" s="55">
        <v>75</v>
      </c>
      <c r="M68" s="4">
        <v>-218</v>
      </c>
      <c r="N68" s="9" t="s">
        <v>212</v>
      </c>
      <c r="O68" s="56">
        <v>2.5</v>
      </c>
      <c r="P68" s="3"/>
      <c r="Q68" s="2"/>
      <c r="R68" s="69">
        <v>2.9442893224717506</v>
      </c>
      <c r="S68" s="1">
        <f>L68-K68</f>
        <v>-26</v>
      </c>
      <c r="T68" s="1">
        <f>(Assumptions!C$11*O68/Assumptions!C$15)+IF(B68="A - Residential",Assumptions!C$2*M68,IF(B68="B - Income Eligible",Assumptions!C$3*M68,Assumptions!C$4*M68))</f>
        <v>2.0294430590191084</v>
      </c>
      <c r="U68" s="61">
        <f t="shared" ref="U68" si="19">S68+T68*J68</f>
        <v>-11.793898586866241</v>
      </c>
      <c r="V68" s="62">
        <f>M68*Assumptions!C$17/1000+O68*Assumptions!C$21</f>
        <v>0.15339297732426305</v>
      </c>
      <c r="W68" s="69">
        <v>0</v>
      </c>
      <c r="X68" s="60" t="str">
        <f t="shared" si="18"/>
        <v/>
      </c>
    </row>
    <row r="69" spans="1:24" x14ac:dyDescent="0.25">
      <c r="A69" s="60" t="s">
        <v>61</v>
      </c>
      <c r="B69" s="8" t="s">
        <v>62</v>
      </c>
      <c r="C69" s="7" t="s">
        <v>74</v>
      </c>
      <c r="D69" s="7" t="s">
        <v>75</v>
      </c>
      <c r="E69" s="8" t="s">
        <v>65</v>
      </c>
      <c r="F69" s="8" t="s">
        <v>146</v>
      </c>
      <c r="G69" s="7" t="s">
        <v>213</v>
      </c>
      <c r="H69" s="7" t="s">
        <v>266</v>
      </c>
      <c r="I69" s="7" t="s">
        <v>143</v>
      </c>
      <c r="J69" s="39">
        <v>8</v>
      </c>
      <c r="K69" s="55">
        <v>0</v>
      </c>
      <c r="L69" s="55">
        <v>30</v>
      </c>
      <c r="M69" s="4">
        <v>-28</v>
      </c>
      <c r="N69" s="9" t="s">
        <v>212</v>
      </c>
      <c r="O69" s="56">
        <v>1.4</v>
      </c>
      <c r="P69" s="3"/>
      <c r="Q69" s="2"/>
      <c r="R69" s="69">
        <v>0</v>
      </c>
      <c r="S69" s="1">
        <f t="shared" ref="S69:S71" si="20">L69-K69</f>
        <v>30</v>
      </c>
      <c r="T69" s="1">
        <f>(Assumptions!C$11*O69/Assumptions!C$15)+IF(B69="A - Residential",Assumptions!C$2*M69,IF(B69="B - Income Eligible",Assumptions!C$3*M69,Assumptions!C$4*M69))</f>
        <v>26.538088113050705</v>
      </c>
      <c r="U69" s="61">
        <f t="shared" ref="U69:U71" si="21">S69+T69*J69</f>
        <v>242.30470490440564</v>
      </c>
      <c r="V69" s="62">
        <f>M69*Assumptions!C$17/1000+O69*Assumptions!C$21</f>
        <v>9.5919587301587297E-2</v>
      </c>
      <c r="W69" s="69">
        <v>0</v>
      </c>
      <c r="X69" s="60" t="str">
        <f t="shared" si="18"/>
        <v/>
      </c>
    </row>
    <row r="70" spans="1:24" x14ac:dyDescent="0.25">
      <c r="A70" s="60" t="s">
        <v>61</v>
      </c>
      <c r="B70" s="60" t="s">
        <v>62</v>
      </c>
      <c r="C70" s="60" t="s">
        <v>74</v>
      </c>
      <c r="D70" s="60" t="s">
        <v>75</v>
      </c>
      <c r="E70" s="60" t="s">
        <v>65</v>
      </c>
      <c r="F70" s="60" t="s">
        <v>146</v>
      </c>
      <c r="G70" s="7" t="s">
        <v>214</v>
      </c>
      <c r="H70" s="60" t="s">
        <v>267</v>
      </c>
      <c r="I70" s="7" t="s">
        <v>143</v>
      </c>
      <c r="J70" s="39">
        <v>8</v>
      </c>
      <c r="K70" s="55">
        <v>3</v>
      </c>
      <c r="L70" s="55">
        <v>30</v>
      </c>
      <c r="M70" s="4">
        <v>-25</v>
      </c>
      <c r="N70" s="9" t="s">
        <v>212</v>
      </c>
      <c r="O70" s="56">
        <v>1.4</v>
      </c>
      <c r="R70" s="69">
        <v>168.41599821052625</v>
      </c>
      <c r="S70" s="1">
        <f t="shared" si="20"/>
        <v>27</v>
      </c>
      <c r="T70" s="1">
        <f>(Assumptions!C$11*O70/Assumptions!C$15)+IF(B70="A - Residential",Assumptions!C$2*M70,IF(B70="B - Income Eligible",Assumptions!C$3*M70,Assumptions!C$4*M70))</f>
        <v>27.348088113050707</v>
      </c>
      <c r="U70" s="61">
        <f t="shared" si="21"/>
        <v>245.78470490440566</v>
      </c>
      <c r="V70" s="62">
        <f>M70*Assumptions!C$17/1000+O70*Assumptions!C$21</f>
        <v>9.6239087301587298E-2</v>
      </c>
      <c r="W70" s="69">
        <v>0</v>
      </c>
      <c r="X70" s="60" t="str">
        <f t="shared" si="18"/>
        <v/>
      </c>
    </row>
    <row r="71" spans="1:24" x14ac:dyDescent="0.25">
      <c r="A71" s="60" t="s">
        <v>61</v>
      </c>
      <c r="B71" s="60" t="s">
        <v>62</v>
      </c>
      <c r="C71" s="60" t="s">
        <v>74</v>
      </c>
      <c r="D71" s="60" t="s">
        <v>75</v>
      </c>
      <c r="E71" s="60" t="s">
        <v>65</v>
      </c>
      <c r="F71" s="60" t="s">
        <v>146</v>
      </c>
      <c r="G71" s="7" t="s">
        <v>215</v>
      </c>
      <c r="H71" s="60" t="s">
        <v>268</v>
      </c>
      <c r="I71" s="7" t="s">
        <v>143</v>
      </c>
      <c r="J71" s="39">
        <v>8</v>
      </c>
      <c r="K71" s="55">
        <v>35</v>
      </c>
      <c r="L71" s="55">
        <v>30</v>
      </c>
      <c r="M71" s="4">
        <v>-37</v>
      </c>
      <c r="N71" s="9" t="s">
        <v>212</v>
      </c>
      <c r="O71" s="56">
        <v>1.4</v>
      </c>
      <c r="R71" s="69">
        <v>13.312603026530766</v>
      </c>
      <c r="S71" s="1">
        <f t="shared" si="20"/>
        <v>-5</v>
      </c>
      <c r="T71" s="1">
        <f>(Assumptions!C$11*O71/Assumptions!C$15)+IF(B71="A - Residential",Assumptions!C$2*M71,IF(B71="B - Income Eligible",Assumptions!C$3*M71,Assumptions!C$4*M71))</f>
        <v>24.108088113050705</v>
      </c>
      <c r="U71" s="61">
        <f t="shared" si="21"/>
        <v>187.86470490440564</v>
      </c>
      <c r="V71" s="62">
        <f>M71*Assumptions!C$17/1000+O71*Assumptions!C$21</f>
        <v>9.4961087301587296E-2</v>
      </c>
      <c r="W71" s="69">
        <v>0</v>
      </c>
      <c r="X71" s="60" t="str">
        <f t="shared" si="18"/>
        <v/>
      </c>
    </row>
    <row r="72" spans="1:24" x14ac:dyDescent="0.25">
      <c r="A72" s="60" t="s">
        <v>61</v>
      </c>
      <c r="B72" s="60" t="s">
        <v>173</v>
      </c>
      <c r="C72" s="60" t="s">
        <v>174</v>
      </c>
      <c r="D72" s="60" t="s">
        <v>175</v>
      </c>
      <c r="E72" s="60" t="s">
        <v>65</v>
      </c>
      <c r="F72" s="60" t="s">
        <v>146</v>
      </c>
      <c r="G72" s="7" t="s">
        <v>211</v>
      </c>
      <c r="H72" s="60" t="s">
        <v>216</v>
      </c>
      <c r="I72" s="7" t="s">
        <v>143</v>
      </c>
      <c r="J72" s="39">
        <v>7</v>
      </c>
      <c r="K72" s="5">
        <v>4800</v>
      </c>
      <c r="L72" s="5">
        <v>3500</v>
      </c>
      <c r="M72" s="57">
        <v>-9534</v>
      </c>
      <c r="N72" s="9" t="s">
        <v>212</v>
      </c>
      <c r="O72" s="58">
        <v>108.4</v>
      </c>
      <c r="R72" s="69">
        <v>2.6382102952800204</v>
      </c>
      <c r="S72" s="1">
        <f t="shared" ref="S72:S75" si="22">L72-K72</f>
        <v>-1300</v>
      </c>
      <c r="T72" s="1">
        <f>(Assumptions!C$11*O72/Assumptions!C$15)+IF(B72="A - Residential",Assumptions!C$2*M72,IF(B72="B - Income Eligible",Assumptions!C$3*M72,Assumptions!C$4*M72))</f>
        <v>323.40425103906955</v>
      </c>
      <c r="U72" s="61">
        <f t="shared" ref="U72:U75" si="23">S72+T72*J72</f>
        <v>963.82975727348685</v>
      </c>
      <c r="V72" s="62">
        <f>M72*Assumptions!C$17/1000+O72*Assumptions!C$21</f>
        <v>6.6424376167800459</v>
      </c>
      <c r="W72" s="69">
        <v>0.97327399995104058</v>
      </c>
      <c r="X72" s="60" t="str">
        <f t="shared" si="18"/>
        <v>Not cost-effective</v>
      </c>
    </row>
    <row r="73" spans="1:24" x14ac:dyDescent="0.25">
      <c r="A73" s="60" t="s">
        <v>61</v>
      </c>
      <c r="B73" s="60" t="s">
        <v>173</v>
      </c>
      <c r="C73" s="60" t="s">
        <v>174</v>
      </c>
      <c r="D73" s="60" t="s">
        <v>175</v>
      </c>
      <c r="E73" s="60" t="s">
        <v>65</v>
      </c>
      <c r="F73" s="60" t="s">
        <v>146</v>
      </c>
      <c r="G73" s="7" t="s">
        <v>213</v>
      </c>
      <c r="H73" s="60" t="s">
        <v>217</v>
      </c>
      <c r="I73" s="7" t="s">
        <v>143</v>
      </c>
      <c r="J73" s="39">
        <v>2</v>
      </c>
      <c r="K73" s="5">
        <v>114</v>
      </c>
      <c r="L73" s="5">
        <v>100</v>
      </c>
      <c r="M73" s="57">
        <v>-276</v>
      </c>
      <c r="N73" s="9" t="s">
        <v>212</v>
      </c>
      <c r="O73" s="58">
        <v>13.8</v>
      </c>
      <c r="R73" s="69">
        <v>10.552778736448861</v>
      </c>
      <c r="S73" s="1">
        <f t="shared" si="22"/>
        <v>-14</v>
      </c>
      <c r="T73" s="1">
        <f>(Assumptions!C$11*O73/Assumptions!C$15)+IF(B73="A - Residential",Assumptions!C$2*M73,IF(B73="B - Income Eligible",Assumptions!C$3*M73,Assumptions!C$4*M73))</f>
        <v>269.04172568578559</v>
      </c>
      <c r="U73" s="61">
        <f t="shared" si="23"/>
        <v>524.08345137157119</v>
      </c>
      <c r="V73" s="62">
        <f>M73*Assumptions!C$17/1000+O73*Assumptions!C$21</f>
        <v>0.94549307482993206</v>
      </c>
      <c r="W73" s="69">
        <v>6.0310239764866802</v>
      </c>
      <c r="X73" s="60" t="str">
        <f t="shared" si="18"/>
        <v/>
      </c>
    </row>
    <row r="74" spans="1:24" x14ac:dyDescent="0.25">
      <c r="A74" s="60" t="s">
        <v>61</v>
      </c>
      <c r="B74" s="60" t="s">
        <v>173</v>
      </c>
      <c r="C74" s="60" t="s">
        <v>174</v>
      </c>
      <c r="D74" s="60" t="s">
        <v>175</v>
      </c>
      <c r="E74" s="60" t="s">
        <v>65</v>
      </c>
      <c r="F74" s="60" t="s">
        <v>146</v>
      </c>
      <c r="G74" s="7" t="s">
        <v>214</v>
      </c>
      <c r="H74" s="60" t="s">
        <v>218</v>
      </c>
      <c r="I74" s="7" t="s">
        <v>143</v>
      </c>
      <c r="J74" s="39">
        <v>2</v>
      </c>
      <c r="K74" s="5">
        <v>118</v>
      </c>
      <c r="L74" s="5">
        <v>100</v>
      </c>
      <c r="M74" s="57">
        <v>-246</v>
      </c>
      <c r="N74" s="9" t="s">
        <v>212</v>
      </c>
      <c r="O74" s="58">
        <v>13.8</v>
      </c>
      <c r="R74" s="69">
        <v>10.402031200219504</v>
      </c>
      <c r="S74" s="1">
        <f t="shared" si="22"/>
        <v>-18</v>
      </c>
      <c r="T74" s="1">
        <f>(Assumptions!C$11*O74/Assumptions!C$15)+IF(B74="A - Residential",Assumptions!C$2*M74,IF(B74="B - Income Eligible",Assumptions!C$3*M74,Assumptions!C$4*M74))</f>
        <v>276.33172568578556</v>
      </c>
      <c r="U74" s="61">
        <f t="shared" si="23"/>
        <v>534.66345137157111</v>
      </c>
      <c r="V74" s="62">
        <f>M74*Assumptions!C$17/1000+O74*Assumptions!C$21</f>
        <v>0.94868807482993212</v>
      </c>
      <c r="W74" s="69">
        <v>5.976898298068626</v>
      </c>
      <c r="X74" s="60" t="str">
        <f t="shared" si="18"/>
        <v/>
      </c>
    </row>
    <row r="75" spans="1:24" x14ac:dyDescent="0.25">
      <c r="A75" s="60" t="s">
        <v>61</v>
      </c>
      <c r="B75" s="60" t="s">
        <v>173</v>
      </c>
      <c r="C75" s="60" t="s">
        <v>174</v>
      </c>
      <c r="D75" s="60" t="s">
        <v>175</v>
      </c>
      <c r="E75" s="60" t="s">
        <v>65</v>
      </c>
      <c r="F75" s="60" t="s">
        <v>146</v>
      </c>
      <c r="G75" s="7" t="s">
        <v>215</v>
      </c>
      <c r="H75" s="60" t="s">
        <v>219</v>
      </c>
      <c r="I75" s="7" t="s">
        <v>143</v>
      </c>
      <c r="J75" s="39">
        <v>2</v>
      </c>
      <c r="K75" s="5">
        <v>155</v>
      </c>
      <c r="L75" s="5">
        <v>100</v>
      </c>
      <c r="M75" s="57">
        <v>-365</v>
      </c>
      <c r="N75" s="9" t="s">
        <v>212</v>
      </c>
      <c r="O75" s="58">
        <v>13.8</v>
      </c>
      <c r="R75" s="69">
        <v>7.2939493922494645</v>
      </c>
      <c r="S75" s="1">
        <f t="shared" si="22"/>
        <v>-55</v>
      </c>
      <c r="T75" s="1">
        <f>(Assumptions!C$11*O75/Assumptions!C$15)+IF(B75="A - Residential",Assumptions!C$2*M75,IF(B75="B - Income Eligible",Assumptions!C$3*M75,Assumptions!C$4*M75))</f>
        <v>247.41472568578558</v>
      </c>
      <c r="U75" s="61">
        <f t="shared" si="23"/>
        <v>439.82945137157117</v>
      </c>
      <c r="V75" s="62">
        <f>M75*Assumptions!C$17/1000+O75*Assumptions!C$21</f>
        <v>0.93601457482993211</v>
      </c>
      <c r="W75" s="69">
        <v>4.0962334061723862</v>
      </c>
      <c r="X75" s="60" t="str">
        <f t="shared" si="18"/>
        <v/>
      </c>
    </row>
  </sheetData>
  <autoFilter ref="A1:V67" xr:uid="{ED3B7AC5-426D-417C-A0AB-5B95FF3BE3DC}"/>
  <conditionalFormatting sqref="H47">
    <cfRule type="duplicateValues" dxfId="42" priority="47"/>
  </conditionalFormatting>
  <conditionalFormatting sqref="H48">
    <cfRule type="duplicateValues" dxfId="41" priority="46"/>
  </conditionalFormatting>
  <conditionalFormatting sqref="H51:H52">
    <cfRule type="duplicateValues" dxfId="40" priority="45"/>
  </conditionalFormatting>
  <conditionalFormatting sqref="H69">
    <cfRule type="duplicateValues" dxfId="39" priority="43"/>
  </conditionalFormatting>
  <conditionalFormatting sqref="S58:S67 U58:U67 V69:V75 R2:U3 S53:V53 U4:U53 S4:S53 R68:U75 T4:T67 R3:R67 V2:V67">
    <cfRule type="cellIs" dxfId="38" priority="42" operator="lessThan">
      <formula>0</formula>
    </cfRule>
  </conditionalFormatting>
  <conditionalFormatting sqref="H58:H59">
    <cfRule type="duplicateValues" dxfId="37" priority="41"/>
  </conditionalFormatting>
  <conditionalFormatting sqref="S58:S67">
    <cfRule type="cellIs" dxfId="36" priority="39" operator="lessThan">
      <formula>0</formula>
    </cfRule>
  </conditionalFormatting>
  <conditionalFormatting sqref="U58:U67">
    <cfRule type="cellIs" dxfId="35" priority="38" operator="lessThan">
      <formula>0</formula>
    </cfRule>
  </conditionalFormatting>
  <conditionalFormatting sqref="H68:H69 H49:H50 H41:H46 H2:H5 H8:H39">
    <cfRule type="duplicateValues" dxfId="34" priority="48"/>
  </conditionalFormatting>
  <conditionalFormatting sqref="S54:S57 U54:U57">
    <cfRule type="cellIs" dxfId="33" priority="36" operator="lessThan">
      <formula>0</formula>
    </cfRule>
  </conditionalFormatting>
  <conditionalFormatting sqref="H54:H57">
    <cfRule type="duplicateValues" dxfId="32" priority="37"/>
  </conditionalFormatting>
  <conditionalFormatting sqref="V68">
    <cfRule type="cellIs" dxfId="31" priority="17" operator="lessThan">
      <formula>0</formula>
    </cfRule>
  </conditionalFormatting>
  <conditionalFormatting sqref="R2:R75">
    <cfRule type="cellIs" dxfId="30" priority="15" operator="lessThan">
      <formula>1</formula>
    </cfRule>
  </conditionalFormatting>
  <conditionalFormatting sqref="R6:U6">
    <cfRule type="cellIs" dxfId="29" priority="11" operator="lessThan">
      <formula>0</formula>
    </cfRule>
  </conditionalFormatting>
  <conditionalFormatting sqref="V6">
    <cfRule type="cellIs" dxfId="28" priority="10" operator="lessThan">
      <formula>0</formula>
    </cfRule>
  </conditionalFormatting>
  <conditionalFormatting sqref="R6">
    <cfRule type="cellIs" dxfId="27" priority="9" operator="lessThan">
      <formula>1</formula>
    </cfRule>
  </conditionalFormatting>
  <conditionalFormatting sqref="H6">
    <cfRule type="duplicateValues" dxfId="26" priority="8"/>
  </conditionalFormatting>
  <conditionalFormatting sqref="R7:U7">
    <cfRule type="cellIs" dxfId="25" priority="7" operator="lessThan">
      <formula>0</formula>
    </cfRule>
  </conditionalFormatting>
  <conditionalFormatting sqref="V7">
    <cfRule type="cellIs" dxfId="24" priority="6" operator="lessThan">
      <formula>0</formula>
    </cfRule>
  </conditionalFormatting>
  <conditionalFormatting sqref="R7">
    <cfRule type="cellIs" dxfId="23" priority="5" operator="lessThan">
      <formula>1</formula>
    </cfRule>
  </conditionalFormatting>
  <conditionalFormatting sqref="H7">
    <cfRule type="duplicateValues" dxfId="22" priority="3"/>
  </conditionalFormatting>
  <conditionalFormatting sqref="W2:W75">
    <cfRule type="cellIs" dxfId="21" priority="2" operator="lessThan">
      <formula>0</formula>
    </cfRule>
  </conditionalFormatting>
  <conditionalFormatting sqref="W2:W75">
    <cfRule type="cellIs" dxfId="20" priority="1" operator="lessThan">
      <formula>1</formula>
    </cfRule>
  </conditionalFormatting>
  <dataValidations disablePrompts="1" count="1">
    <dataValidation type="list" allowBlank="1" showInputMessage="1" showErrorMessage="1" sqref="P40 N53 N68:N75" xr:uid="{0AF90867-FD08-4491-AF09-2D1000DA69C2}">
      <formula1>FuelList</formula1>
    </dataValidation>
  </dataValidations>
  <pageMargins left="0.7" right="0.7" top="0.75" bottom="0.75" header="0.3" footer="0.3"/>
  <pageSetup scale="31" orientation="portrait" horizontalDpi="4294967293" r:id="rId1"/>
  <headerFooter>
    <oddHeader>&amp;R&amp;10Boston Gas Company d/b/a National Grid
Attachment DPU-Common 8-2
D.P.U. 21-124 
Page &amp;P of &amp;N
H.O.: Leupold, Ellis, Mealey, Smegal</oddHead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DE072-F7F7-4252-A83F-4DED13A27D1E}">
  <dimension ref="A1:Z17"/>
  <sheetViews>
    <sheetView tabSelected="1" view="pageLayout" zoomScale="70" zoomScaleNormal="85" zoomScaleSheetLayoutView="50" zoomScalePageLayoutView="70" workbookViewId="0">
      <selection activeCell="D18" sqref="D18"/>
    </sheetView>
  </sheetViews>
  <sheetFormatPr defaultRowHeight="14.4" x14ac:dyDescent="0.3"/>
  <cols>
    <col min="1" max="1" width="18.44140625" bestFit="1" customWidth="1"/>
    <col min="7" max="7" width="61.5546875" customWidth="1"/>
    <col min="9" max="9" width="8.77734375" style="107"/>
    <col min="11" max="12" width="11.21875" customWidth="1"/>
    <col min="13" max="13" width="10.21875" bestFit="1" customWidth="1"/>
    <col min="14" max="14" width="23.44140625" bestFit="1" customWidth="1"/>
    <col min="17" max="19" width="12.44140625" customWidth="1"/>
    <col min="20" max="20" width="9.5546875" customWidth="1"/>
    <col min="22" max="24" width="12.44140625" customWidth="1"/>
  </cols>
  <sheetData>
    <row r="1" spans="1:26" ht="92.4" x14ac:dyDescent="0.3">
      <c r="A1" s="30" t="s">
        <v>39</v>
      </c>
      <c r="B1" s="30" t="s">
        <v>40</v>
      </c>
      <c r="C1" s="30" t="s">
        <v>41</v>
      </c>
      <c r="D1" s="30" t="s">
        <v>42</v>
      </c>
      <c r="E1" s="30" t="s">
        <v>43</v>
      </c>
      <c r="F1" s="30" t="s">
        <v>44</v>
      </c>
      <c r="G1" s="29" t="s">
        <v>45</v>
      </c>
      <c r="H1" s="53" t="s">
        <v>46</v>
      </c>
      <c r="I1" s="103" t="s">
        <v>47</v>
      </c>
      <c r="J1" s="28" t="s">
        <v>48</v>
      </c>
      <c r="K1" s="27" t="s">
        <v>49</v>
      </c>
      <c r="L1" s="27" t="s">
        <v>50</v>
      </c>
      <c r="M1" s="26" t="s">
        <v>220</v>
      </c>
      <c r="N1" s="25" t="s">
        <v>221</v>
      </c>
      <c r="O1" s="24" t="s">
        <v>222</v>
      </c>
      <c r="P1" s="22" t="s">
        <v>56</v>
      </c>
      <c r="Q1" s="23" t="s">
        <v>57</v>
      </c>
      <c r="R1" s="23" t="s">
        <v>223</v>
      </c>
      <c r="S1" s="23" t="s">
        <v>59</v>
      </c>
      <c r="T1" s="22" t="s">
        <v>60</v>
      </c>
      <c r="V1" s="23" t="s">
        <v>269</v>
      </c>
      <c r="W1" s="23" t="s">
        <v>223</v>
      </c>
      <c r="X1" s="23" t="s">
        <v>59</v>
      </c>
      <c r="Y1" s="102" t="s">
        <v>271</v>
      </c>
      <c r="Z1" s="102" t="s">
        <v>272</v>
      </c>
    </row>
    <row r="2" spans="1:26" s="60" customFormat="1" x14ac:dyDescent="0.3">
      <c r="A2" t="s">
        <v>224</v>
      </c>
      <c r="B2" s="8" t="s">
        <v>62</v>
      </c>
      <c r="C2" s="7" t="s">
        <v>74</v>
      </c>
      <c r="D2" s="8" t="s">
        <v>75</v>
      </c>
      <c r="E2" s="8" t="s">
        <v>65</v>
      </c>
      <c r="F2" s="8" t="s">
        <v>66</v>
      </c>
      <c r="G2" s="98" t="s">
        <v>258</v>
      </c>
      <c r="H2" s="35" t="s">
        <v>259</v>
      </c>
      <c r="I2" s="104" t="s">
        <v>69</v>
      </c>
      <c r="J2" s="6">
        <v>15</v>
      </c>
      <c r="K2" s="1">
        <v>2098</v>
      </c>
      <c r="L2" s="6">
        <v>100</v>
      </c>
      <c r="M2" s="6">
        <v>1533</v>
      </c>
      <c r="N2" s="9"/>
      <c r="O2" s="20"/>
      <c r="P2" s="9">
        <v>4.8499999999999996</v>
      </c>
      <c r="Q2" s="1">
        <f t="shared" ref="Q2:Q3" si="0">L2-K2</f>
        <v>-1998</v>
      </c>
      <c r="R2" s="1">
        <f>Assumptions!C$5*O2+(IF(B2="A - Residential",ResElecRate*M2,IF(B2="B - Income Eligible",ResIERate*M2,CIElecRate*M2)))</f>
        <v>413.91</v>
      </c>
      <c r="S2" s="31">
        <f t="shared" ref="S2:S17" si="1">Q2+R2*J2</f>
        <v>4210.6500000000005</v>
      </c>
      <c r="T2" s="99">
        <v>0.16326450000000001</v>
      </c>
      <c r="U2" s="61"/>
      <c r="V2" s="1">
        <f>K2</f>
        <v>2098</v>
      </c>
      <c r="W2" s="1">
        <f>Assumptions!C$5*O2+(IF(B2="A - Residential",ResElecRate*M2,IF(B2="B - Income Eligible",ResIERate*M2,CIElecRate*M2)))</f>
        <v>413.91</v>
      </c>
      <c r="X2" s="31">
        <f>V2+W2*J2</f>
        <v>8306.6500000000015</v>
      </c>
      <c r="Y2" s="69">
        <v>3.6179999999999999</v>
      </c>
      <c r="Z2" s="60" t="str">
        <f>IF(Y2=0,"",IF(AND(Y2&lt;1,T2&lt;1),"",IF(Y2&lt;1,"Not cost-effective","")))</f>
        <v/>
      </c>
    </row>
    <row r="3" spans="1:26" s="60" customFormat="1" x14ac:dyDescent="0.3">
      <c r="A3" t="s">
        <v>224</v>
      </c>
      <c r="B3" s="8" t="s">
        <v>62</v>
      </c>
      <c r="C3" s="7" t="s">
        <v>74</v>
      </c>
      <c r="D3" s="8" t="s">
        <v>75</v>
      </c>
      <c r="E3" s="8" t="s">
        <v>65</v>
      </c>
      <c r="F3" s="8" t="s">
        <v>66</v>
      </c>
      <c r="G3" s="98" t="s">
        <v>260</v>
      </c>
      <c r="H3" s="35" t="s">
        <v>261</v>
      </c>
      <c r="I3" s="104" t="s">
        <v>69</v>
      </c>
      <c r="J3" s="6">
        <v>18</v>
      </c>
      <c r="K3" s="1">
        <v>353</v>
      </c>
      <c r="L3" s="6">
        <v>100</v>
      </c>
      <c r="M3" s="6">
        <v>584</v>
      </c>
      <c r="N3" s="9"/>
      <c r="O3" s="20"/>
      <c r="P3" s="9">
        <v>13.07</v>
      </c>
      <c r="Q3" s="1">
        <f t="shared" si="0"/>
        <v>-253</v>
      </c>
      <c r="R3" s="1">
        <f>Assumptions!C$5*O3+(IF(B3="A - Residential",ResElecRate*M3,IF(B3="B - Income Eligible",ResIERate*M3,CIElecRate*M3)))</f>
        <v>157.68</v>
      </c>
      <c r="S3" s="31">
        <f t="shared" si="1"/>
        <v>2585.2400000000002</v>
      </c>
      <c r="T3" s="99">
        <v>6.2196000000000001E-2</v>
      </c>
      <c r="U3" s="61"/>
      <c r="V3" s="1">
        <f t="shared" ref="V3:V17" si="2">K3</f>
        <v>353</v>
      </c>
      <c r="W3" s="1">
        <f>Assumptions!C$5*O3+(IF(B3="A - Residential",ResElecRate*M3,IF(B3="B - Income Eligible",ResIERate*M3,CIElecRate*M3)))</f>
        <v>157.68</v>
      </c>
      <c r="X3" s="31">
        <f t="shared" ref="X3:X17" si="3">V3+W3*J3</f>
        <v>3191.2400000000002</v>
      </c>
      <c r="Y3" s="69">
        <v>9.7289999999999992</v>
      </c>
      <c r="Z3" s="60" t="str">
        <f t="shared" ref="Z3:Z17" si="4">IF(Y3=0,"",IF(AND(Y3&lt;1,T3&lt;1),"",IF(Y3&lt;1,"Not cost-effective","")))</f>
        <v/>
      </c>
    </row>
    <row r="4" spans="1:26" x14ac:dyDescent="0.3">
      <c r="A4" t="s">
        <v>224</v>
      </c>
      <c r="B4" s="52" t="s">
        <v>62</v>
      </c>
      <c r="C4" s="51" t="s">
        <v>74</v>
      </c>
      <c r="D4" s="51" t="s">
        <v>75</v>
      </c>
      <c r="E4" s="51" t="s">
        <v>65</v>
      </c>
      <c r="F4" s="52" t="s">
        <v>225</v>
      </c>
      <c r="G4" s="51" t="s">
        <v>226</v>
      </c>
      <c r="H4" s="45" t="s">
        <v>227</v>
      </c>
      <c r="I4" s="105" t="s">
        <v>69</v>
      </c>
      <c r="J4" s="50">
        <v>10</v>
      </c>
      <c r="K4" s="49">
        <v>2000</v>
      </c>
      <c r="L4" s="49">
        <v>2000</v>
      </c>
      <c r="M4" s="48">
        <v>-1678.0182222222211</v>
      </c>
      <c r="N4" s="47" t="s">
        <v>228</v>
      </c>
      <c r="O4" s="46">
        <v>24.6</v>
      </c>
      <c r="P4" s="108">
        <v>1.9417334039965006</v>
      </c>
      <c r="Q4" s="1">
        <f t="shared" ref="Q4:Q17" si="5">L4-K4</f>
        <v>0</v>
      </c>
      <c r="R4" s="1">
        <f>Assumptions!C$5*O4+(IF(B4="A - Residential",ResElecRate*M4,IF(B4="B - Income Eligible",ResIERate*M4,CIElecRate*M4)))</f>
        <v>-450.18671999999975</v>
      </c>
      <c r="S4" s="31">
        <f t="shared" si="1"/>
        <v>-4501.8671999999979</v>
      </c>
      <c r="T4" s="62">
        <f t="shared" ref="T4:T17" si="6">M4*ElectricEmissions/1000+O4*NatGasEmissions</f>
        <v>1.1268130593333336</v>
      </c>
      <c r="V4" s="1">
        <f t="shared" si="2"/>
        <v>2000</v>
      </c>
      <c r="W4" s="1">
        <f>Assumptions!C$5*O4+(IF(B4="A - Residential",ResElecRate*M4,IF(B4="B - Income Eligible",ResIERate*M4,CIElecRate*M4)))</f>
        <v>-450.18671999999975</v>
      </c>
      <c r="X4" s="31">
        <f t="shared" si="3"/>
        <v>-2501.8671999999979</v>
      </c>
      <c r="Y4" s="69">
        <v>0.93223470275153641</v>
      </c>
      <c r="Z4" s="60" t="str">
        <f t="shared" si="4"/>
        <v>Not cost-effective</v>
      </c>
    </row>
    <row r="5" spans="1:26" x14ac:dyDescent="0.3">
      <c r="A5" t="s">
        <v>224</v>
      </c>
      <c r="B5" s="8" t="s">
        <v>62</v>
      </c>
      <c r="C5" s="7" t="s">
        <v>74</v>
      </c>
      <c r="D5" s="7" t="s">
        <v>75</v>
      </c>
      <c r="E5" s="7" t="s">
        <v>65</v>
      </c>
      <c r="F5" s="8" t="s">
        <v>225</v>
      </c>
      <c r="G5" s="7" t="s">
        <v>229</v>
      </c>
      <c r="H5" s="35" t="s">
        <v>230</v>
      </c>
      <c r="I5" s="104" t="s">
        <v>69</v>
      </c>
      <c r="J5" s="39">
        <v>17</v>
      </c>
      <c r="K5" s="5">
        <v>12724</v>
      </c>
      <c r="L5" s="5">
        <v>4000</v>
      </c>
      <c r="M5" s="96">
        <f>-4562.6645482487</f>
        <v>-4562.6645482487002</v>
      </c>
      <c r="N5" s="9" t="s">
        <v>228</v>
      </c>
      <c r="O5" s="43">
        <v>46.98</v>
      </c>
      <c r="P5" s="108">
        <v>0.78483022008756864</v>
      </c>
      <c r="Q5" s="1">
        <f t="shared" si="5"/>
        <v>-8724</v>
      </c>
      <c r="R5" s="1">
        <f>Assumptions!C$5*O5+(IF(B5="A - Residential",ResElecRate*M5,IF(B5="B - Income Eligible",ResIERate*M5,CIElecRate*M5)))</f>
        <v>-1226.422768027149</v>
      </c>
      <c r="S5" s="31">
        <f t="shared" si="1"/>
        <v>-29573.187056461535</v>
      </c>
      <c r="T5" s="62">
        <f t="shared" si="6"/>
        <v>2.0073048256115129</v>
      </c>
      <c r="V5" s="1">
        <f t="shared" si="2"/>
        <v>12724</v>
      </c>
      <c r="W5" s="1">
        <f>Assumptions!C$5*O5+(IF(B5="A - Residential",ResElecRate*M5,IF(B5="B - Income Eligible",ResIERate*M5,CIElecRate*M5)))</f>
        <v>-1226.422768027149</v>
      </c>
      <c r="X5" s="31">
        <f t="shared" si="3"/>
        <v>-8125.1870564615347</v>
      </c>
      <c r="Y5" s="69">
        <v>0.39165786454108231</v>
      </c>
      <c r="Z5" s="60" t="str">
        <f t="shared" si="4"/>
        <v>Not cost-effective</v>
      </c>
    </row>
    <row r="6" spans="1:26" x14ac:dyDescent="0.3">
      <c r="A6" t="s">
        <v>224</v>
      </c>
      <c r="B6" s="8" t="s">
        <v>62</v>
      </c>
      <c r="C6" s="7" t="s">
        <v>74</v>
      </c>
      <c r="D6" s="7" t="s">
        <v>75</v>
      </c>
      <c r="E6" s="7" t="s">
        <v>65</v>
      </c>
      <c r="F6" s="8" t="s">
        <v>225</v>
      </c>
      <c r="G6" s="7" t="s">
        <v>231</v>
      </c>
      <c r="H6" s="35" t="s">
        <v>232</v>
      </c>
      <c r="I6" s="104" t="s">
        <v>69</v>
      </c>
      <c r="J6" s="39">
        <v>17</v>
      </c>
      <c r="K6" s="5">
        <v>16163</v>
      </c>
      <c r="L6" s="5">
        <v>7500</v>
      </c>
      <c r="M6" s="96">
        <f>-10020.2266557772</f>
        <v>-10020.2266557772</v>
      </c>
      <c r="N6" s="9" t="s">
        <v>228</v>
      </c>
      <c r="O6" s="43">
        <v>83.91</v>
      </c>
      <c r="P6" s="108">
        <v>0.44009324156048074</v>
      </c>
      <c r="Q6" s="1">
        <f t="shared" si="5"/>
        <v>-8663</v>
      </c>
      <c r="R6" s="1">
        <f>Assumptions!C$5*O6+(IF(B6="A - Residential",ResElecRate*M6,IF(B6="B - Income Eligible",ResIERate*M6,CIElecRate*M6)))</f>
        <v>-2695.6437270598444</v>
      </c>
      <c r="S6" s="31">
        <f t="shared" si="1"/>
        <v>-54488.943360017358</v>
      </c>
      <c r="T6" s="62">
        <f t="shared" si="6"/>
        <v>3.3859495611597277</v>
      </c>
      <c r="V6" s="1">
        <f t="shared" si="2"/>
        <v>16163</v>
      </c>
      <c r="W6" s="1">
        <f>Assumptions!C$5*O6+(IF(B6="A - Residential",ResElecRate*M6,IF(B6="B - Income Eligible",ResIERate*M6,CIElecRate*M6)))</f>
        <v>-2695.6437270598444</v>
      </c>
      <c r="X6" s="31">
        <f t="shared" si="3"/>
        <v>-29662.943360017358</v>
      </c>
      <c r="Y6" s="69">
        <v>0.17306188161835948</v>
      </c>
      <c r="Z6" s="60" t="str">
        <f t="shared" si="4"/>
        <v>Not cost-effective</v>
      </c>
    </row>
    <row r="7" spans="1:26" x14ac:dyDescent="0.3">
      <c r="A7" t="s">
        <v>224</v>
      </c>
      <c r="B7" s="8" t="s">
        <v>62</v>
      </c>
      <c r="C7" s="7" t="s">
        <v>74</v>
      </c>
      <c r="D7" s="7" t="s">
        <v>75</v>
      </c>
      <c r="E7" s="7" t="s">
        <v>65</v>
      </c>
      <c r="F7" s="8" t="s">
        <v>225</v>
      </c>
      <c r="G7" s="7" t="s">
        <v>233</v>
      </c>
      <c r="H7" s="35" t="s">
        <v>234</v>
      </c>
      <c r="I7" s="104" t="s">
        <v>69</v>
      </c>
      <c r="J7" s="39">
        <v>18</v>
      </c>
      <c r="K7" s="5">
        <v>11475</v>
      </c>
      <c r="L7" s="5">
        <v>4000</v>
      </c>
      <c r="M7" s="96">
        <f>-4212.74399238765</f>
        <v>-4212.74399238765</v>
      </c>
      <c r="N7" s="9" t="s">
        <v>228</v>
      </c>
      <c r="O7" s="43">
        <v>44.26</v>
      </c>
      <c r="P7" s="108">
        <v>0.60544960715740292</v>
      </c>
      <c r="Q7" s="1">
        <f t="shared" si="5"/>
        <v>-7475</v>
      </c>
      <c r="R7" s="1">
        <f>Assumptions!C$5*O7+(IF(B7="A - Residential",ResElecRate*M7,IF(B7="B - Income Eligible",ResIERate*M7,CIElecRate*M7)))</f>
        <v>-1132.2624579446656</v>
      </c>
      <c r="S7" s="31">
        <f t="shared" si="1"/>
        <v>-27855.724243003981</v>
      </c>
      <c r="T7" s="62">
        <f t="shared" si="6"/>
        <v>1.9002209648107149</v>
      </c>
      <c r="V7" s="1">
        <f t="shared" si="2"/>
        <v>11475</v>
      </c>
      <c r="W7" s="1">
        <f>Assumptions!C$5*O7+(IF(B7="A - Residential",ResElecRate*M7,IF(B7="B - Income Eligible",ResIERate*M7,CIElecRate*M7)))</f>
        <v>-1132.2624579446656</v>
      </c>
      <c r="X7" s="31">
        <f t="shared" si="3"/>
        <v>-8905.7242430039805</v>
      </c>
      <c r="Y7" s="69">
        <v>0.19919913138705461</v>
      </c>
      <c r="Z7" s="60" t="str">
        <f t="shared" si="4"/>
        <v>Not cost-effective</v>
      </c>
    </row>
    <row r="8" spans="1:26" x14ac:dyDescent="0.3">
      <c r="A8" t="s">
        <v>224</v>
      </c>
      <c r="B8" s="8" t="s">
        <v>62</v>
      </c>
      <c r="C8" s="7" t="s">
        <v>74</v>
      </c>
      <c r="D8" s="7" t="s">
        <v>75</v>
      </c>
      <c r="E8" s="7" t="s">
        <v>65</v>
      </c>
      <c r="F8" s="8" t="s">
        <v>225</v>
      </c>
      <c r="G8" s="7" t="s">
        <v>235</v>
      </c>
      <c r="H8" s="35" t="s">
        <v>236</v>
      </c>
      <c r="I8" s="104" t="s">
        <v>69</v>
      </c>
      <c r="J8" s="39">
        <v>18</v>
      </c>
      <c r="K8" s="5">
        <v>15984</v>
      </c>
      <c r="L8" s="5">
        <v>10000</v>
      </c>
      <c r="M8" s="96">
        <f>-7730</f>
        <v>-7730</v>
      </c>
      <c r="N8" s="9" t="s">
        <v>228</v>
      </c>
      <c r="O8" s="43">
        <v>69.33</v>
      </c>
      <c r="P8" s="108">
        <v>0.40441653818110346</v>
      </c>
      <c r="Q8" s="1">
        <f t="shared" si="5"/>
        <v>-5984</v>
      </c>
      <c r="R8" s="1">
        <f>Assumptions!C$5*O8+(IF(B8="A - Residential",ResElecRate*M8,IF(B8="B - Income Eligible",ResIERate*M8,CIElecRate*M8)))</f>
        <v>-2078.9883900000004</v>
      </c>
      <c r="S8" s="31">
        <f t="shared" si="1"/>
        <v>-43405.791020000004</v>
      </c>
      <c r="T8" s="62">
        <f t="shared" si="6"/>
        <v>2.8560980999999996</v>
      </c>
      <c r="V8" s="1">
        <f t="shared" si="2"/>
        <v>15984</v>
      </c>
      <c r="W8" s="1">
        <f>Assumptions!C$5*O8+(IF(B8="A - Residential",ResElecRate*M8,IF(B8="B - Income Eligible",ResIERate*M8,CIElecRate*M8)))</f>
        <v>-2078.9883900000004</v>
      </c>
      <c r="X8" s="31">
        <f t="shared" si="3"/>
        <v>-21437.791020000004</v>
      </c>
      <c r="Y8" s="69">
        <v>0.10135991910765817</v>
      </c>
      <c r="Z8" s="60" t="str">
        <f t="shared" si="4"/>
        <v>Not cost-effective</v>
      </c>
    </row>
    <row r="9" spans="1:26" x14ac:dyDescent="0.3">
      <c r="A9" t="s">
        <v>224</v>
      </c>
      <c r="B9" s="8" t="s">
        <v>62</v>
      </c>
      <c r="C9" s="7" t="s">
        <v>74</v>
      </c>
      <c r="D9" s="7" t="s">
        <v>75</v>
      </c>
      <c r="E9" s="7" t="s">
        <v>65</v>
      </c>
      <c r="F9" s="8" t="s">
        <v>225</v>
      </c>
      <c r="G9" s="7" t="s">
        <v>237</v>
      </c>
      <c r="H9" s="35" t="s">
        <v>238</v>
      </c>
      <c r="I9" s="104" t="s">
        <v>69</v>
      </c>
      <c r="J9" s="39">
        <v>17</v>
      </c>
      <c r="K9" s="5">
        <v>18500</v>
      </c>
      <c r="L9" s="5">
        <v>7500</v>
      </c>
      <c r="M9" s="44">
        <v>-7644.9</v>
      </c>
      <c r="N9" s="9" t="s">
        <v>228</v>
      </c>
      <c r="O9" s="43">
        <v>91.3</v>
      </c>
      <c r="P9" s="108">
        <v>1.1240998026417068</v>
      </c>
      <c r="Q9" s="1">
        <f t="shared" si="5"/>
        <v>-11000</v>
      </c>
      <c r="R9" s="1">
        <f>Assumptions!C$5*O9+(IF(B9="A - Residential",ResElecRate*M9,IF(B9="B - Income Eligible",ResIERate*M9,CIElecRate*M9)))</f>
        <v>-2053.4409000000001</v>
      </c>
      <c r="S9" s="31">
        <f t="shared" si="1"/>
        <v>-45908.495300000002</v>
      </c>
      <c r="T9" s="62">
        <f t="shared" si="6"/>
        <v>4.0311091499999998</v>
      </c>
      <c r="V9" s="1">
        <f t="shared" si="2"/>
        <v>18500</v>
      </c>
      <c r="W9" s="1">
        <f>Assumptions!C$5*O9+(IF(B9="A - Residential",ResElecRate*M9,IF(B9="B - Income Eligible",ResIERate*M9,CIElecRate*M9)))</f>
        <v>-2053.4409000000001</v>
      </c>
      <c r="X9" s="31">
        <f t="shared" si="3"/>
        <v>-16408.495300000002</v>
      </c>
      <c r="Y9" s="69">
        <v>0.55472846055376313</v>
      </c>
      <c r="Z9" s="60" t="str">
        <f t="shared" si="4"/>
        <v>Not cost-effective</v>
      </c>
    </row>
    <row r="10" spans="1:26" x14ac:dyDescent="0.3">
      <c r="A10" t="s">
        <v>224</v>
      </c>
      <c r="B10" s="8" t="s">
        <v>62</v>
      </c>
      <c r="C10" s="7" t="s">
        <v>74</v>
      </c>
      <c r="D10" s="7" t="s">
        <v>75</v>
      </c>
      <c r="E10" s="7" t="s">
        <v>65</v>
      </c>
      <c r="F10" s="8" t="s">
        <v>225</v>
      </c>
      <c r="G10" s="7" t="s">
        <v>239</v>
      </c>
      <c r="H10" s="35" t="s">
        <v>240</v>
      </c>
      <c r="I10" s="104" t="s">
        <v>69</v>
      </c>
      <c r="J10" s="39">
        <v>30</v>
      </c>
      <c r="K10" s="5">
        <v>32639</v>
      </c>
      <c r="L10" s="5">
        <v>10000</v>
      </c>
      <c r="M10" s="44">
        <v>-5720.5</v>
      </c>
      <c r="N10" s="9" t="s">
        <v>228</v>
      </c>
      <c r="O10" s="43">
        <v>75.92</v>
      </c>
      <c r="P10" s="108">
        <v>1.2281550306996538</v>
      </c>
      <c r="Q10" s="1">
        <f t="shared" si="5"/>
        <v>-22639</v>
      </c>
      <c r="R10" s="1">
        <f>Assumptions!C$5*O10+(IF(B10="A - Residential",ResElecRate*M10,IF(B10="B - Income Eligible",ResIERate*M10,CIElecRate*M10)))</f>
        <v>-1535.65236</v>
      </c>
      <c r="S10" s="31">
        <f t="shared" si="1"/>
        <v>-68708.570800000001</v>
      </c>
      <c r="T10" s="62">
        <f t="shared" si="6"/>
        <v>3.4198411499999999</v>
      </c>
      <c r="V10" s="1">
        <f t="shared" si="2"/>
        <v>32639</v>
      </c>
      <c r="W10" s="1">
        <f>Assumptions!C$5*O10+(IF(B10="A - Residential",ResElecRate*M10,IF(B10="B - Income Eligible",ResIERate*M10,CIElecRate*M10)))</f>
        <v>-1535.65236</v>
      </c>
      <c r="X10" s="31">
        <f t="shared" si="3"/>
        <v>-13430.570800000001</v>
      </c>
      <c r="Y10" s="69">
        <v>0.64099682584107764</v>
      </c>
      <c r="Z10" s="60" t="str">
        <f t="shared" si="4"/>
        <v>Not cost-effective</v>
      </c>
    </row>
    <row r="11" spans="1:26" x14ac:dyDescent="0.3">
      <c r="A11" t="s">
        <v>224</v>
      </c>
      <c r="B11" s="8" t="s">
        <v>62</v>
      </c>
      <c r="C11" s="7" t="s">
        <v>74</v>
      </c>
      <c r="D11" s="7" t="s">
        <v>75</v>
      </c>
      <c r="E11" s="7" t="s">
        <v>65</v>
      </c>
      <c r="F11" s="8" t="s">
        <v>225</v>
      </c>
      <c r="G11" s="7" t="s">
        <v>241</v>
      </c>
      <c r="H11" s="35" t="s">
        <v>242</v>
      </c>
      <c r="I11" s="104" t="s">
        <v>69</v>
      </c>
      <c r="J11" s="39">
        <v>30</v>
      </c>
      <c r="K11" s="5">
        <v>20197</v>
      </c>
      <c r="L11" s="5">
        <v>10000</v>
      </c>
      <c r="M11" s="44">
        <v>-4843.5</v>
      </c>
      <c r="N11" s="9" t="s">
        <v>228</v>
      </c>
      <c r="O11" s="43">
        <v>75.92</v>
      </c>
      <c r="P11" s="108">
        <v>2.3424935057665111</v>
      </c>
      <c r="Q11" s="1">
        <f t="shared" si="5"/>
        <v>-10197</v>
      </c>
      <c r="R11" s="1">
        <f>Assumptions!C$5*O11+(IF(B11="A - Residential",ResElecRate*M11,IF(B11="B - Income Eligible",ResIERate*M11,CIElecRate*M11)))</f>
        <v>-1298.8623600000001</v>
      </c>
      <c r="S11" s="31">
        <f t="shared" si="1"/>
        <v>-49162.870800000004</v>
      </c>
      <c r="T11" s="62">
        <f t="shared" si="6"/>
        <v>3.5132416499999999</v>
      </c>
      <c r="V11" s="1">
        <f t="shared" si="2"/>
        <v>20197</v>
      </c>
      <c r="W11" s="1">
        <f>Assumptions!C$5*O11+(IF(B11="A - Residential",ResElecRate*M11,IF(B11="B - Income Eligible",ResIERate*M11,CIElecRate*M11)))</f>
        <v>-1298.8623600000001</v>
      </c>
      <c r="X11" s="31">
        <f t="shared" si="3"/>
        <v>-18768.870800000004</v>
      </c>
      <c r="Y11" s="69">
        <v>1.2493003006583201</v>
      </c>
      <c r="Z11" s="60" t="str">
        <f t="shared" si="4"/>
        <v/>
      </c>
    </row>
    <row r="12" spans="1:26" x14ac:dyDescent="0.3">
      <c r="A12" t="s">
        <v>224</v>
      </c>
      <c r="B12" s="8" t="s">
        <v>62</v>
      </c>
      <c r="C12" s="7" t="s">
        <v>74</v>
      </c>
      <c r="D12" s="7" t="s">
        <v>75</v>
      </c>
      <c r="E12" s="7" t="s">
        <v>65</v>
      </c>
      <c r="F12" s="8" t="s">
        <v>225</v>
      </c>
      <c r="G12" s="7" t="s">
        <v>243</v>
      </c>
      <c r="H12" s="35" t="s">
        <v>244</v>
      </c>
      <c r="I12" s="106" t="s">
        <v>69</v>
      </c>
      <c r="J12" s="39">
        <v>13</v>
      </c>
      <c r="K12" s="5">
        <v>457</v>
      </c>
      <c r="L12" s="5">
        <v>200</v>
      </c>
      <c r="M12" s="44">
        <v>-831</v>
      </c>
      <c r="N12" s="9" t="s">
        <v>245</v>
      </c>
      <c r="O12" s="43">
        <v>17.3</v>
      </c>
      <c r="P12" s="108">
        <v>7.648259707866111</v>
      </c>
      <c r="Q12" s="1">
        <f t="shared" si="5"/>
        <v>-257</v>
      </c>
      <c r="R12" s="1">
        <f>Assumptions!C$5*O12+(IF(B12="A - Residential",ResElecRate*M12,IF(B12="B - Income Eligible",ResIERate*M12,CIElecRate*M12)))</f>
        <v>-222.3459</v>
      </c>
      <c r="S12" s="31">
        <f t="shared" si="1"/>
        <v>-3147.4967000000001</v>
      </c>
      <c r="T12" s="62">
        <f t="shared" si="6"/>
        <v>0.8296095</v>
      </c>
      <c r="V12" s="1">
        <f t="shared" si="2"/>
        <v>457</v>
      </c>
      <c r="W12" s="1">
        <f>Assumptions!C$5*O12+(IF(B12="A - Residential",ResElecRate*M12,IF(B12="B - Income Eligible",ResIERate*M12,CIElecRate*M12)))</f>
        <v>-222.3459</v>
      </c>
      <c r="X12" s="31">
        <f t="shared" si="3"/>
        <v>-2433.4967000000001</v>
      </c>
      <c r="Y12" s="69">
        <v>2.9274076971801999</v>
      </c>
      <c r="Z12" s="60" t="str">
        <f t="shared" si="4"/>
        <v/>
      </c>
    </row>
    <row r="13" spans="1:26" x14ac:dyDescent="0.3">
      <c r="A13" t="s">
        <v>210</v>
      </c>
      <c r="B13" s="8" t="s">
        <v>173</v>
      </c>
      <c r="C13" s="7" t="s">
        <v>174</v>
      </c>
      <c r="D13" s="8" t="s">
        <v>187</v>
      </c>
      <c r="E13" s="8" t="s">
        <v>65</v>
      </c>
      <c r="F13" s="8" t="s">
        <v>225</v>
      </c>
      <c r="G13" s="8" t="s">
        <v>188</v>
      </c>
      <c r="H13" s="35" t="s">
        <v>246</v>
      </c>
      <c r="I13" s="106" t="s">
        <v>190</v>
      </c>
      <c r="J13" s="42">
        <v>15</v>
      </c>
      <c r="K13" s="41">
        <v>54334</v>
      </c>
      <c r="L13" s="41">
        <v>40751</v>
      </c>
      <c r="M13" s="38">
        <v>-14598</v>
      </c>
      <c r="N13" s="9" t="s">
        <v>247</v>
      </c>
      <c r="O13" s="40">
        <v>175.08</v>
      </c>
      <c r="P13" s="109">
        <v>1.2637171564734426</v>
      </c>
      <c r="Q13" s="1">
        <f t="shared" si="5"/>
        <v>-13583</v>
      </c>
      <c r="R13" s="1">
        <f>Assumptions!C$5*O13+(IF(B13="A - Residential",ResElecRate*M13,IF(B13="B - Income Eligible",ResIERate*M13,CIElecRate*M13)))</f>
        <v>-3526.8296399999999</v>
      </c>
      <c r="S13" s="31">
        <f t="shared" si="1"/>
        <v>-66485.444600000003</v>
      </c>
      <c r="T13" s="62">
        <f t="shared" si="6"/>
        <v>7.7368086000000016</v>
      </c>
      <c r="V13" s="1">
        <f t="shared" si="2"/>
        <v>54334</v>
      </c>
      <c r="W13" s="1">
        <f>Assumptions!C$5*O13+(IF(B13="A - Residential",ResElecRate*M13,IF(B13="B - Income Eligible",ResIERate*M13,CIElecRate*M13)))</f>
        <v>-3526.8296399999999</v>
      </c>
      <c r="X13" s="31">
        <f t="shared" si="3"/>
        <v>1431.5553999999975</v>
      </c>
      <c r="Y13" s="69">
        <v>0.95268273974059259</v>
      </c>
      <c r="Z13" s="60" t="str">
        <f t="shared" si="4"/>
        <v>Not cost-effective</v>
      </c>
    </row>
    <row r="14" spans="1:26" x14ac:dyDescent="0.3">
      <c r="A14" t="s">
        <v>210</v>
      </c>
      <c r="B14" s="8" t="s">
        <v>173</v>
      </c>
      <c r="C14" s="7" t="s">
        <v>174</v>
      </c>
      <c r="D14" s="8" t="s">
        <v>175</v>
      </c>
      <c r="E14" s="8" t="s">
        <v>65</v>
      </c>
      <c r="F14" s="8" t="s">
        <v>225</v>
      </c>
      <c r="G14" s="8" t="s">
        <v>248</v>
      </c>
      <c r="H14" s="35" t="s">
        <v>249</v>
      </c>
      <c r="I14" s="106" t="s">
        <v>190</v>
      </c>
      <c r="J14" s="39">
        <v>17</v>
      </c>
      <c r="K14" s="11">
        <v>21733.723753086419</v>
      </c>
      <c r="L14" s="11">
        <v>16300.292814814815</v>
      </c>
      <c r="M14" s="38">
        <v>-7299</v>
      </c>
      <c r="N14" s="14" t="s">
        <v>247</v>
      </c>
      <c r="O14" s="37">
        <v>87.541851851851845</v>
      </c>
      <c r="P14" s="109">
        <v>1.6716928449204016</v>
      </c>
      <c r="Q14" s="1">
        <f t="shared" si="5"/>
        <v>-5433.4309382716037</v>
      </c>
      <c r="R14" s="1">
        <f>Assumptions!C$5*O14+(IF(B14="A - Residential",ResElecRate*M14,IF(B14="B - Income Eligible",ResIERate*M14,CIElecRate*M14)))</f>
        <v>-1763.4146033333332</v>
      </c>
      <c r="S14" s="31">
        <f t="shared" si="1"/>
        <v>-35411.479194938271</v>
      </c>
      <c r="T14" s="62">
        <f t="shared" si="6"/>
        <v>3.868502577777778</v>
      </c>
      <c r="V14" s="1">
        <f t="shared" si="2"/>
        <v>21733.723753086419</v>
      </c>
      <c r="W14" s="1">
        <f>Assumptions!C$5*O14+(IF(B14="A - Residential",ResElecRate*M14,IF(B14="B - Income Eligible",ResIERate*M14,CIElecRate*M14)))</f>
        <v>-1763.4146033333332</v>
      </c>
      <c r="X14" s="31">
        <f t="shared" si="3"/>
        <v>-8244.3245035802465</v>
      </c>
      <c r="Y14" s="69">
        <v>1.2310557903910975</v>
      </c>
      <c r="Z14" s="60" t="str">
        <f t="shared" si="4"/>
        <v/>
      </c>
    </row>
    <row r="15" spans="1:26" x14ac:dyDescent="0.3">
      <c r="A15" t="s">
        <v>210</v>
      </c>
      <c r="B15" s="8" t="s">
        <v>173</v>
      </c>
      <c r="C15" s="7" t="s">
        <v>174</v>
      </c>
      <c r="D15" s="8" t="s">
        <v>175</v>
      </c>
      <c r="E15" s="8" t="s">
        <v>65</v>
      </c>
      <c r="F15" s="8" t="s">
        <v>225</v>
      </c>
      <c r="G15" s="8" t="s">
        <v>250</v>
      </c>
      <c r="H15" s="35" t="s">
        <v>251</v>
      </c>
      <c r="I15" s="106" t="s">
        <v>190</v>
      </c>
      <c r="J15" s="39">
        <v>17</v>
      </c>
      <c r="K15" s="11"/>
      <c r="L15" s="11"/>
      <c r="M15" s="38"/>
      <c r="N15" s="14" t="s">
        <v>247</v>
      </c>
      <c r="O15" s="37"/>
      <c r="P15" s="95" t="s">
        <v>256</v>
      </c>
      <c r="Q15" s="1">
        <f t="shared" si="5"/>
        <v>0</v>
      </c>
      <c r="R15" s="1">
        <f>Assumptions!C$5*O15+(IF(B15="A - Residential",ResElecRate*M15,IF(B15="B - Income Eligible",ResIERate*M15,CIElecRate*M15)))</f>
        <v>0</v>
      </c>
      <c r="S15" s="31">
        <f t="shared" si="1"/>
        <v>0</v>
      </c>
      <c r="T15" s="62">
        <f t="shared" si="6"/>
        <v>0</v>
      </c>
      <c r="V15" s="1">
        <f t="shared" si="2"/>
        <v>0</v>
      </c>
      <c r="W15" s="1">
        <f>Assumptions!C$5*O15+(IF(B15="A - Residential",ResElecRate*M15,IF(B15="B - Income Eligible",ResIERate*M15,CIElecRate*M15)))</f>
        <v>0</v>
      </c>
      <c r="X15" s="31">
        <f t="shared" si="3"/>
        <v>0</v>
      </c>
      <c r="Y15" s="69" t="s">
        <v>256</v>
      </c>
      <c r="Z15" s="60" t="str">
        <f t="shared" si="4"/>
        <v/>
      </c>
    </row>
    <row r="16" spans="1:26" x14ac:dyDescent="0.3">
      <c r="A16" t="s">
        <v>210</v>
      </c>
      <c r="B16" s="8" t="s">
        <v>173</v>
      </c>
      <c r="C16" s="7" t="s">
        <v>174</v>
      </c>
      <c r="D16" s="8" t="s">
        <v>175</v>
      </c>
      <c r="E16" s="8" t="s">
        <v>65</v>
      </c>
      <c r="F16" s="8" t="s">
        <v>225</v>
      </c>
      <c r="G16" s="8" t="s">
        <v>252</v>
      </c>
      <c r="H16" s="35" t="s">
        <v>253</v>
      </c>
      <c r="I16" s="106" t="s">
        <v>190</v>
      </c>
      <c r="J16" s="39">
        <v>17</v>
      </c>
      <c r="K16" s="11"/>
      <c r="L16" s="11"/>
      <c r="M16" s="38"/>
      <c r="N16" s="14" t="s">
        <v>247</v>
      </c>
      <c r="O16" s="37"/>
      <c r="P16" s="95" t="s">
        <v>256</v>
      </c>
      <c r="Q16" s="1">
        <f t="shared" si="5"/>
        <v>0</v>
      </c>
      <c r="R16" s="1">
        <f>Assumptions!C$5*O16+(IF(B16="A - Residential",ResElecRate*M16,IF(B16="B - Income Eligible",ResIERate*M16,CIElecRate*M16)))</f>
        <v>0</v>
      </c>
      <c r="S16" s="31">
        <f t="shared" si="1"/>
        <v>0</v>
      </c>
      <c r="T16" s="62">
        <f t="shared" si="6"/>
        <v>0</v>
      </c>
      <c r="V16" s="1">
        <f t="shared" si="2"/>
        <v>0</v>
      </c>
      <c r="W16" s="1">
        <f>Assumptions!C$5*O16+(IF(B16="A - Residential",ResElecRate*M16,IF(B16="B - Income Eligible",ResIERate*M16,CIElecRate*M16)))</f>
        <v>0</v>
      </c>
      <c r="X16" s="31">
        <f t="shared" si="3"/>
        <v>0</v>
      </c>
      <c r="Y16" s="69" t="s">
        <v>256</v>
      </c>
      <c r="Z16" s="60" t="str">
        <f t="shared" si="4"/>
        <v/>
      </c>
    </row>
    <row r="17" spans="1:26" x14ac:dyDescent="0.3">
      <c r="A17" t="s">
        <v>210</v>
      </c>
      <c r="B17" s="18" t="s">
        <v>173</v>
      </c>
      <c r="C17" s="17" t="s">
        <v>174</v>
      </c>
      <c r="D17" s="18" t="s">
        <v>175</v>
      </c>
      <c r="E17" s="18" t="s">
        <v>65</v>
      </c>
      <c r="F17" s="18" t="s">
        <v>225</v>
      </c>
      <c r="G17" s="18" t="s">
        <v>254</v>
      </c>
      <c r="H17" s="36" t="s">
        <v>255</v>
      </c>
      <c r="I17" s="106" t="s">
        <v>190</v>
      </c>
      <c r="J17" s="34">
        <v>17</v>
      </c>
      <c r="K17" s="16"/>
      <c r="L17" s="16"/>
      <c r="M17" s="33"/>
      <c r="N17" s="19" t="s">
        <v>247</v>
      </c>
      <c r="O17" s="32"/>
      <c r="P17" s="95" t="s">
        <v>256</v>
      </c>
      <c r="Q17" s="1">
        <f t="shared" si="5"/>
        <v>0</v>
      </c>
      <c r="R17" s="1">
        <f>Assumptions!C$5*O17+(IF(B17="A - Residential",ResElecRate*M17,IF(B17="B - Income Eligible",ResIERate*M17,CIElecRate*M17)))</f>
        <v>0</v>
      </c>
      <c r="S17" s="31">
        <f t="shared" si="1"/>
        <v>0</v>
      </c>
      <c r="T17" s="62">
        <f t="shared" si="6"/>
        <v>0</v>
      </c>
      <c r="V17" s="1">
        <f t="shared" si="2"/>
        <v>0</v>
      </c>
      <c r="W17" s="1">
        <f>Assumptions!C$5*O17+(IF(B17="A - Residential",ResElecRate*M17,IF(B17="B - Income Eligible",ResIERate*M17,CIElecRate*M17)))</f>
        <v>0</v>
      </c>
      <c r="X17" s="31">
        <f t="shared" si="3"/>
        <v>0</v>
      </c>
      <c r="Y17" s="69" t="s">
        <v>256</v>
      </c>
      <c r="Z17" s="60" t="str">
        <f t="shared" si="4"/>
        <v/>
      </c>
    </row>
  </sheetData>
  <autoFilter ref="A1:T17" xr:uid="{A511ECAB-93A5-4721-8706-022234AFDF00}"/>
  <conditionalFormatting sqref="H4:H12">
    <cfRule type="duplicateValues" dxfId="19" priority="62"/>
  </conditionalFormatting>
  <conditionalFormatting sqref="R4:R17 T4:T17 V2:X17">
    <cfRule type="cellIs" dxfId="18" priority="59" operator="lessThan">
      <formula>0</formula>
    </cfRule>
  </conditionalFormatting>
  <conditionalFormatting sqref="Q4:Q12">
    <cfRule type="cellIs" dxfId="17" priority="58" operator="lessThan">
      <formula>0</formula>
    </cfRule>
  </conditionalFormatting>
  <conditionalFormatting sqref="S4:S12">
    <cfRule type="cellIs" dxfId="16" priority="57" operator="lessThan">
      <formula>0</formula>
    </cfRule>
  </conditionalFormatting>
  <conditionalFormatting sqref="H13">
    <cfRule type="duplicateValues" dxfId="15" priority="51"/>
  </conditionalFormatting>
  <conditionalFormatting sqref="H14:H17">
    <cfRule type="duplicateValues" dxfId="14" priority="50"/>
  </conditionalFormatting>
  <conditionalFormatting sqref="Q13:Q17">
    <cfRule type="cellIs" dxfId="13" priority="48" operator="lessThan">
      <formula>0</formula>
    </cfRule>
  </conditionalFormatting>
  <conditionalFormatting sqref="S13:S17">
    <cfRule type="cellIs" dxfId="12" priority="47" operator="lessThan">
      <formula>0</formula>
    </cfRule>
  </conditionalFormatting>
  <conditionalFormatting sqref="P4:P17">
    <cfRule type="cellIs" dxfId="11" priority="33" operator="lessThan">
      <formula>1</formula>
    </cfRule>
  </conditionalFormatting>
  <conditionalFormatting sqref="T2:U3">
    <cfRule type="cellIs" dxfId="10" priority="32" operator="lessThan">
      <formula>0</formula>
    </cfRule>
  </conditionalFormatting>
  <conditionalFormatting sqref="T2:U2">
    <cfRule type="cellIs" dxfId="9" priority="29" operator="lessThan">
      <formula>0</formula>
    </cfRule>
  </conditionalFormatting>
  <conditionalFormatting sqref="H2">
    <cfRule type="duplicateValues" dxfId="8" priority="26"/>
  </conditionalFormatting>
  <conditionalFormatting sqref="T3:U3">
    <cfRule type="cellIs" dxfId="7" priority="25" operator="lessThan">
      <formula>0</formula>
    </cfRule>
  </conditionalFormatting>
  <conditionalFormatting sqref="H3">
    <cfRule type="duplicateValues" dxfId="6" priority="22"/>
  </conditionalFormatting>
  <conditionalFormatting sqref="R2:R3">
    <cfRule type="cellIs" dxfId="5" priority="21" operator="lessThan">
      <formula>0</formula>
    </cfRule>
  </conditionalFormatting>
  <conditionalFormatting sqref="Q2:Q3">
    <cfRule type="cellIs" dxfId="4" priority="20" operator="lessThan">
      <formula>0</formula>
    </cfRule>
  </conditionalFormatting>
  <conditionalFormatting sqref="S2">
    <cfRule type="cellIs" dxfId="3" priority="19" operator="lessThan">
      <formula>0</formula>
    </cfRule>
  </conditionalFormatting>
  <conditionalFormatting sqref="S3">
    <cfRule type="cellIs" dxfId="2" priority="18" operator="lessThan">
      <formula>0</formula>
    </cfRule>
  </conditionalFormatting>
  <conditionalFormatting sqref="Y2:Y17">
    <cfRule type="cellIs" dxfId="1" priority="2" operator="lessThan">
      <formula>0</formula>
    </cfRule>
  </conditionalFormatting>
  <conditionalFormatting sqref="Y2:Y17">
    <cfRule type="cellIs" dxfId="0" priority="1" operator="lessThan">
      <formula>1</formula>
    </cfRule>
  </conditionalFormatting>
  <pageMargins left="0.7" right="0.7" top="0.75" bottom="0.75" header="0.3" footer="0.3"/>
  <pageSetup scale="31" orientation="portrait" horizontalDpi="4294967293" r:id="rId1"/>
  <headerFooter>
    <oddHeader>&amp;R&amp;10Boston Gas Company d/b/a National Grid
Attachment DPU-Common 8-2
D.P.U. 21-124 
Page &amp;P of &amp;N
H.O.: Leupold, Ellis, Mealey, Smegal</oddHeader>
  </headerFooter>
  <colBreaks count="1" manualBreakCount="1">
    <brk id="1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D79E331587964FA1D01C3DB4B39249" ma:contentTypeVersion="11" ma:contentTypeDescription="Create a new document." ma:contentTypeScope="" ma:versionID="022d5cfe6da4002db83e6b1a0e7a89bb">
  <xsd:schema xmlns:xsd="http://www.w3.org/2001/XMLSchema" xmlns:xs="http://www.w3.org/2001/XMLSchema" xmlns:p="http://schemas.microsoft.com/office/2006/metadata/properties" xmlns:ns2="949f7904-f32c-4967-bd07-fdd52c722205" xmlns:ns3="d8c54908-fe67-4366-ac9c-74eb4a2d7ce3" targetNamespace="http://schemas.microsoft.com/office/2006/metadata/properties" ma:root="true" ma:fieldsID="93fa3b3d0272824b7d3fed1001b8473a" ns2:_="" ns3:_="">
    <xsd:import namespace="949f7904-f32c-4967-bd07-fdd52c722205"/>
    <xsd:import namespace="d8c54908-fe67-4366-ac9c-74eb4a2d7c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f7904-f32c-4967-bd07-fdd52c7222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54908-fe67-4366-ac9c-74eb4a2d7c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7DE83E-1CD3-4E76-83E2-9660F9BC5D23}">
  <ds:schemaRefs>
    <ds:schemaRef ds:uri="http://purl.org/dc/terms/"/>
    <ds:schemaRef ds:uri="http://schemas.openxmlformats.org/package/2006/metadata/core-properties"/>
    <ds:schemaRef ds:uri="949f7904-f32c-4967-bd07-fdd52c722205"/>
    <ds:schemaRef ds:uri="http://purl.org/dc/dcmitype/"/>
    <ds:schemaRef ds:uri="http://schemas.microsoft.com/office/infopath/2007/PartnerControls"/>
    <ds:schemaRef ds:uri="d8c54908-fe67-4366-ac9c-74eb4a2d7ce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5BC9EF1-7DE6-4802-BFCD-7CF14EB356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6F5B89-FAC7-47B0-BD2E-71E6A37CD3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9f7904-f32c-4967-bd07-fdd52c722205"/>
    <ds:schemaRef ds:uri="d8c54908-fe67-4366-ac9c-74eb4a2d7c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19</vt:i4>
      </vt:variant>
    </vt:vector>
  </HeadingPairs>
  <TitlesOfParts>
    <vt:vector size="22" baseType="lpstr">
      <vt:lpstr>Assumptions</vt:lpstr>
      <vt:lpstr>Electrification, Electric</vt:lpstr>
      <vt:lpstr>Electrification, Gas</vt:lpstr>
      <vt:lpstr>CentralHPSavings</vt:lpstr>
      <vt:lpstr>CIElecRate</vt:lpstr>
      <vt:lpstr>CIGasRate</vt:lpstr>
      <vt:lpstr>DMSHPSavings</vt:lpstr>
      <vt:lpstr>ElectricEmissions</vt:lpstr>
      <vt:lpstr>GasolineEmissions</vt:lpstr>
      <vt:lpstr>GasolineMMBTU</vt:lpstr>
      <vt:lpstr>GasolinePrice</vt:lpstr>
      <vt:lpstr>IEGasRate</vt:lpstr>
      <vt:lpstr>NatGasEmissions</vt:lpstr>
      <vt:lpstr>OilEmissions</vt:lpstr>
      <vt:lpstr>OilMMBTu</vt:lpstr>
      <vt:lpstr>OilPrice</vt:lpstr>
      <vt:lpstr>PropaneEmissions</vt:lpstr>
      <vt:lpstr>PropaneMMBTU</vt:lpstr>
      <vt:lpstr>PropanePrice</vt:lpstr>
      <vt:lpstr>ResElecRate</vt:lpstr>
      <vt:lpstr>ResGasRate</vt:lpstr>
      <vt:lpstr>ResIERate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Brandy A Chambers</dc:creator>
  <cp:keywords/>
  <dc:description/>
  <cp:lastModifiedBy>Keegan Werlin</cp:lastModifiedBy>
  <cp:revision/>
  <dcterms:created xsi:type="dcterms:W3CDTF">2021-10-21T19:55:49Z</dcterms:created>
  <dcterms:modified xsi:type="dcterms:W3CDTF">2021-11-24T22:01:56Z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0x010100D0D79E331587964FA1D01C3DB4B39249</vt:lpwstr>
  </property>
</Properties>
</file>