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60CBC3EB-DE8A-4D19-8004-5BCEEFE17828}" xr6:coauthVersionLast="44" xr6:coauthVersionMax="44" xr10:uidLastSave="{00000000-0000-0000-0000-000000000000}"/>
  <bookViews>
    <workbookView xWindow="-120" yWindow="-120" windowWidth="29040" windowHeight="1599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5" i="6" l="1"/>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J22" i="6"/>
  <c r="AK22" i="6"/>
  <c r="AL22" i="6"/>
  <c r="AM22" i="6"/>
  <c r="AN22" i="6"/>
  <c r="AO22" i="6"/>
  <c r="AP22" i="6"/>
  <c r="AQ22" i="6"/>
  <c r="AR22" i="6"/>
  <c r="AS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J29" i="6"/>
  <c r="AK29" i="6"/>
  <c r="AL29" i="6"/>
  <c r="AM29" i="6"/>
  <c r="AN29" i="6"/>
  <c r="AO29" i="6"/>
  <c r="AP29" i="6"/>
  <c r="AQ29" i="6"/>
  <c r="AR29" i="6"/>
  <c r="AS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J36" i="6"/>
  <c r="AK36" i="6"/>
  <c r="AL36" i="6"/>
  <c r="AM36" i="6"/>
  <c r="AN36" i="6"/>
  <c r="AO36" i="6"/>
  <c r="AP36" i="6"/>
  <c r="AQ36" i="6"/>
  <c r="AR36" i="6"/>
  <c r="AS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J43" i="6"/>
  <c r="AK43" i="6"/>
  <c r="AL43" i="6"/>
  <c r="AM43" i="6"/>
  <c r="AN43" i="6"/>
  <c r="AO43" i="6"/>
  <c r="AP43" i="6"/>
  <c r="AQ43" i="6"/>
  <c r="AR43" i="6"/>
  <c r="AS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J50" i="6"/>
  <c r="AK50" i="6"/>
  <c r="AL50" i="6"/>
  <c r="AM50" i="6"/>
  <c r="AN50" i="6"/>
  <c r="AO50" i="6"/>
  <c r="AP50" i="6"/>
  <c r="AQ50" i="6"/>
  <c r="AR50" i="6"/>
  <c r="AS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J57" i="6"/>
  <c r="AK57" i="6"/>
  <c r="AL57" i="6"/>
  <c r="AM57" i="6"/>
  <c r="AN57" i="6"/>
  <c r="AO57" i="6"/>
  <c r="AP57" i="6"/>
  <c r="AQ57" i="6"/>
  <c r="AR57" i="6"/>
  <c r="AS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J64" i="6"/>
  <c r="AK64" i="6"/>
  <c r="AL64" i="6"/>
  <c r="AM64" i="6"/>
  <c r="AN64" i="6"/>
  <c r="AO64" i="6"/>
  <c r="AP64" i="6"/>
  <c r="AQ64" i="6"/>
  <c r="AR64" i="6"/>
  <c r="AS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J71" i="6"/>
  <c r="AK71" i="6"/>
  <c r="AL71" i="6"/>
  <c r="AM71" i="6"/>
  <c r="AN71" i="6"/>
  <c r="AO71" i="6"/>
  <c r="AP71" i="6"/>
  <c r="AQ71" i="6"/>
  <c r="AR71" i="6"/>
  <c r="AS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J78" i="6"/>
  <c r="AK78" i="6"/>
  <c r="AL78" i="6"/>
  <c r="AM78" i="6"/>
  <c r="AN78" i="6"/>
  <c r="AO78" i="6"/>
  <c r="AP78" i="6"/>
  <c r="AQ78" i="6"/>
  <c r="AR78" i="6"/>
  <c r="AS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J106" i="6"/>
  <c r="AK106" i="6"/>
  <c r="AL106" i="6"/>
  <c r="AM106" i="6"/>
  <c r="AN106" i="6"/>
  <c r="AO106" i="6"/>
  <c r="AP106" i="6"/>
  <c r="AQ106" i="6"/>
  <c r="AR106" i="6"/>
  <c r="AS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2"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21" i="2"/>
  <c r="BF20" i="2"/>
  <c r="BF19" i="2"/>
  <c r="BF18" i="2"/>
  <c r="BF17" i="2"/>
  <c r="BF14" i="2"/>
  <c r="BF13" i="2"/>
  <c r="BF12" i="2"/>
  <c r="BF11" i="2"/>
  <c r="BF10" i="2"/>
  <c r="BE141" i="2"/>
  <c r="BE140" i="2"/>
  <c r="BE139" i="2"/>
  <c r="BE138" i="2"/>
  <c r="BE137" i="2"/>
  <c r="BE136" i="2"/>
  <c r="BE134" i="2"/>
  <c r="BE133" i="2"/>
  <c r="BE132" i="2"/>
  <c r="BE131" i="2"/>
  <c r="BE130" i="2"/>
  <c r="BE129" i="2"/>
  <c r="BE127" i="2"/>
  <c r="BE126" i="2"/>
  <c r="BE125" i="2"/>
  <c r="BE124" i="2"/>
  <c r="BE123" i="2"/>
  <c r="BE122" i="2"/>
  <c r="BE120" i="2"/>
  <c r="BE119" i="2"/>
  <c r="BE118" i="2"/>
  <c r="BE117" i="2"/>
  <c r="BE116" i="2"/>
  <c r="BE115" i="2"/>
  <c r="BE113" i="2"/>
  <c r="BE112" i="2"/>
  <c r="BE111" i="2"/>
  <c r="BE110" i="2"/>
  <c r="BE109" i="2"/>
  <c r="BE108" i="2"/>
  <c r="BE106" i="2"/>
  <c r="BE105" i="2"/>
  <c r="BE104" i="2"/>
  <c r="BE103" i="2"/>
  <c r="BE102" i="2"/>
  <c r="BE101" i="2"/>
  <c r="BE99" i="2"/>
  <c r="BE98" i="2"/>
  <c r="BE97" i="2"/>
  <c r="BE96" i="2"/>
  <c r="BE95" i="2"/>
  <c r="BE94" i="2"/>
  <c r="BE92" i="2"/>
  <c r="BE91" i="2"/>
  <c r="BE90" i="2"/>
  <c r="BE89" i="2"/>
  <c r="BE88" i="2"/>
  <c r="BE87" i="2"/>
  <c r="BE85" i="2"/>
  <c r="BE84" i="2"/>
  <c r="BE83" i="2"/>
  <c r="BE82" i="2"/>
  <c r="BE81" i="2"/>
  <c r="BE80" i="2"/>
  <c r="BE78" i="2"/>
  <c r="BE77" i="2"/>
  <c r="BE76" i="2"/>
  <c r="BE75" i="2"/>
  <c r="BE74" i="2"/>
  <c r="BE73" i="2"/>
  <c r="BE71" i="2"/>
  <c r="BE70" i="2"/>
  <c r="BE69" i="2"/>
  <c r="BE68" i="2"/>
  <c r="BE67" i="2"/>
  <c r="BE66" i="2"/>
  <c r="BE64" i="2"/>
  <c r="BE63" i="2"/>
  <c r="BE62" i="2"/>
  <c r="BE61" i="2"/>
  <c r="BE60" i="2"/>
  <c r="BE59" i="2"/>
  <c r="BE57" i="2"/>
  <c r="BE56" i="2"/>
  <c r="BE55" i="2"/>
  <c r="BE54" i="2"/>
  <c r="BE53" i="2"/>
  <c r="BE52" i="2"/>
  <c r="BE50" i="2"/>
  <c r="BE49" i="2"/>
  <c r="BE48" i="2"/>
  <c r="BE47" i="2"/>
  <c r="BE46" i="2"/>
  <c r="BE45" i="2"/>
  <c r="BE43" i="2"/>
  <c r="BE42" i="2"/>
  <c r="BE41" i="2"/>
  <c r="BE40" i="2"/>
  <c r="BE39" i="2"/>
  <c r="BE38" i="2"/>
  <c r="BE36" i="2"/>
  <c r="BE35" i="2"/>
  <c r="BE34" i="2"/>
  <c r="BE33" i="2"/>
  <c r="BE32" i="2"/>
  <c r="BE31" i="2"/>
  <c r="BE29" i="2"/>
  <c r="BE28" i="2"/>
  <c r="BE27" i="2"/>
  <c r="BE26" i="2"/>
  <c r="BE25" i="2"/>
  <c r="BE24" i="2"/>
  <c r="BE22" i="2"/>
  <c r="BE21" i="2"/>
  <c r="BE20" i="2"/>
  <c r="BE19" i="2"/>
  <c r="BE18" i="2"/>
  <c r="BE17" i="2"/>
  <c r="BE15" i="2"/>
  <c r="BE14" i="2"/>
  <c r="BE13" i="2"/>
  <c r="BE12" i="2"/>
  <c r="BE11" i="2"/>
  <c r="BE10" i="2"/>
  <c r="AJ141" i="2"/>
  <c r="BF141" i="2" s="1"/>
  <c r="AJ134" i="2"/>
  <c r="BF134" i="2" s="1"/>
  <c r="AJ127" i="2"/>
  <c r="BF127" i="2" s="1"/>
  <c r="AJ113" i="2"/>
  <c r="BF113" i="2" s="1"/>
  <c r="AJ106" i="2"/>
  <c r="BF106" i="2" s="1"/>
  <c r="AJ98" i="2"/>
  <c r="AJ119" i="2" s="1"/>
  <c r="BF119" i="2" s="1"/>
  <c r="AJ97" i="2"/>
  <c r="AJ118" i="2" s="1"/>
  <c r="BF118" i="2" s="1"/>
  <c r="AJ95" i="2"/>
  <c r="AJ116" i="2" s="1"/>
  <c r="BF116" i="2" s="1"/>
  <c r="AJ96" i="2"/>
  <c r="AJ117" i="2" s="1"/>
  <c r="BF117" i="2" s="1"/>
  <c r="AJ94" i="2"/>
  <c r="AJ115" i="2" s="1"/>
  <c r="BF115" i="2" s="1"/>
  <c r="AJ78" i="2"/>
  <c r="BF78" i="2" s="1"/>
  <c r="AJ69" i="2"/>
  <c r="BF69" i="2" s="1"/>
  <c r="AJ70" i="2"/>
  <c r="BF70" i="2" s="1"/>
  <c r="AJ64" i="2"/>
  <c r="BF64" i="2" s="1"/>
  <c r="AJ57" i="2"/>
  <c r="BF57" i="2" s="1"/>
  <c r="AJ50" i="2"/>
  <c r="BF50" i="2" s="1"/>
  <c r="AJ68" i="2"/>
  <c r="BF68" i="2" s="1"/>
  <c r="AJ67" i="2"/>
  <c r="BF67" i="2" s="1"/>
  <c r="AJ66" i="2"/>
  <c r="BF66" i="2" s="1"/>
  <c r="AJ43" i="2"/>
  <c r="BF43" i="2" s="1"/>
  <c r="AJ36" i="2"/>
  <c r="BF36" i="2" s="1"/>
  <c r="AJ29" i="2"/>
  <c r="BF29" i="2" s="1"/>
  <c r="AJ22" i="2"/>
  <c r="BF22" i="2" s="1"/>
  <c r="AJ15" i="2"/>
  <c r="BF15" i="2" s="1"/>
  <c r="BF98" i="2" l="1"/>
  <c r="BF97" i="2"/>
  <c r="BF96" i="2"/>
  <c r="BF95" i="2"/>
  <c r="BF94" i="2"/>
  <c r="AJ71" i="2"/>
  <c r="BF71" i="2" s="1"/>
  <c r="AJ85" i="2"/>
  <c r="AJ99" i="2" l="1"/>
  <c r="BF85" i="2"/>
  <c r="AI63" i="2"/>
  <c r="AI62" i="2"/>
  <c r="AI61" i="2"/>
  <c r="AI59" i="2"/>
  <c r="AI60" i="2"/>
  <c r="AI43" i="2"/>
  <c r="AI41" i="2"/>
  <c r="AI40" i="2"/>
  <c r="AI39" i="2"/>
  <c r="AI38" i="2"/>
  <c r="AI56" i="2"/>
  <c r="AI55" i="2"/>
  <c r="AI54" i="2"/>
  <c r="AI53" i="2"/>
  <c r="AI52" i="2"/>
  <c r="AI35" i="2"/>
  <c r="AI34" i="2"/>
  <c r="AI33" i="2"/>
  <c r="AI32" i="2"/>
  <c r="AI31" i="2"/>
  <c r="AI49" i="2"/>
  <c r="AI48" i="2"/>
  <c r="AI47" i="2"/>
  <c r="AI46" i="2"/>
  <c r="AI45" i="2"/>
  <c r="AI28" i="2"/>
  <c r="AI27" i="2"/>
  <c r="AI26" i="2"/>
  <c r="AI25" i="2"/>
  <c r="AI24" i="2"/>
  <c r="AJ120" i="2" l="1"/>
  <c r="BF120" i="2" s="1"/>
  <c r="BF99"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71" i="2" s="1"/>
  <c r="AH57" i="2"/>
  <c r="AH50" i="2"/>
  <c r="AH43" i="2"/>
  <c r="AH36" i="2"/>
  <c r="AH29" i="2"/>
  <c r="AH77" i="2" l="1"/>
  <c r="AH76" i="2"/>
  <c r="AH75" i="2"/>
  <c r="AH74" i="2"/>
  <c r="AH73" i="2"/>
  <c r="AH10" i="2"/>
  <c r="AH14" i="2"/>
  <c r="AH15"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D140" i="2"/>
  <c r="BD139" i="2"/>
  <c r="BD138" i="2"/>
  <c r="BD137" i="2"/>
  <c r="BD136" i="2"/>
  <c r="BD133" i="2"/>
  <c r="BD132" i="2"/>
  <c r="BD131" i="2"/>
  <c r="BD130" i="2"/>
  <c r="BD129" i="2"/>
  <c r="BD126" i="2"/>
  <c r="BD125" i="2"/>
  <c r="BD124" i="2"/>
  <c r="BD123" i="2"/>
  <c r="BD122" i="2"/>
  <c r="BD112" i="2"/>
  <c r="BD111" i="2"/>
  <c r="BD110" i="2"/>
  <c r="BD109" i="2"/>
  <c r="BD108" i="2"/>
  <c r="BD105" i="2"/>
  <c r="BD104" i="2"/>
  <c r="BD103" i="2"/>
  <c r="BD102" i="2"/>
  <c r="BD101" i="2"/>
  <c r="BD92" i="2"/>
  <c r="BD91" i="2"/>
  <c r="BD90" i="2"/>
  <c r="BD89" i="2"/>
  <c r="BD88" i="2"/>
  <c r="BD87" i="2"/>
  <c r="BD63" i="2"/>
  <c r="BD62" i="2"/>
  <c r="BD61" i="2"/>
  <c r="BD60" i="2"/>
  <c r="BD59" i="2"/>
  <c r="BD56" i="2"/>
  <c r="BD55" i="2"/>
  <c r="BD54" i="2"/>
  <c r="BD53" i="2"/>
  <c r="BD52" i="2"/>
  <c r="BD49" i="2"/>
  <c r="BD48" i="2"/>
  <c r="BD47" i="2"/>
  <c r="BD46" i="2"/>
  <c r="BD45" i="2"/>
  <c r="BD42" i="2"/>
  <c r="BD41" i="2"/>
  <c r="BD40" i="2"/>
  <c r="BD39" i="2"/>
  <c r="BD38" i="2"/>
  <c r="BD35" i="2"/>
  <c r="BD34" i="2"/>
  <c r="BD33" i="2"/>
  <c r="BD32" i="2"/>
  <c r="BD31" i="2"/>
  <c r="BD28" i="2"/>
  <c r="BD27" i="2"/>
  <c r="BD26" i="2"/>
  <c r="BD25" i="2"/>
  <c r="BD24" i="2"/>
  <c r="AH120" i="2" l="1"/>
  <c r="AH119" i="2"/>
  <c r="AH116" i="2"/>
  <c r="AH115" i="2"/>
  <c r="BC140" i="2"/>
  <c r="BC139" i="2"/>
  <c r="BC138" i="2"/>
  <c r="BC137" i="2"/>
  <c r="BC136" i="2"/>
  <c r="BC133" i="2"/>
  <c r="BC132" i="2"/>
  <c r="BC131" i="2"/>
  <c r="BC129" i="2"/>
  <c r="BC126" i="2"/>
  <c r="BC125" i="2"/>
  <c r="BC124" i="2"/>
  <c r="BC123" i="2"/>
  <c r="BC122" i="2"/>
  <c r="BC112" i="2"/>
  <c r="BC111" i="2"/>
  <c r="BC110" i="2"/>
  <c r="BC109" i="2"/>
  <c r="BC108" i="2"/>
  <c r="BC105" i="2"/>
  <c r="BC104" i="2"/>
  <c r="BC103" i="2"/>
  <c r="BC102" i="2"/>
  <c r="BC101" i="2"/>
  <c r="BC91" i="2"/>
  <c r="BC90" i="2"/>
  <c r="BC89" i="2"/>
  <c r="BC88" i="2"/>
  <c r="BC87" i="2"/>
  <c r="BC63" i="2"/>
  <c r="BC62" i="2"/>
  <c r="BC61" i="2"/>
  <c r="BC60" i="2"/>
  <c r="BC56" i="2"/>
  <c r="BC55" i="2"/>
  <c r="BC54" i="2"/>
  <c r="BC53" i="2"/>
  <c r="BC49" i="2"/>
  <c r="BC48" i="2"/>
  <c r="BC47" i="2"/>
  <c r="BC42" i="2"/>
  <c r="BC41" i="2"/>
  <c r="BC40" i="2"/>
  <c r="BC35" i="2"/>
  <c r="BC34" i="2"/>
  <c r="BC33" i="2"/>
  <c r="BC32" i="2"/>
  <c r="BC31" i="2"/>
  <c r="BC28" i="2"/>
  <c r="BC27" i="2"/>
  <c r="BC26" i="2"/>
  <c r="AG130" i="2"/>
  <c r="BC130" i="2" s="1"/>
  <c r="AG53" i="2"/>
  <c r="AG52" i="2"/>
  <c r="BC52" i="2" s="1"/>
  <c r="AG46" i="2"/>
  <c r="BC46" i="2" s="1"/>
  <c r="AG45" i="2"/>
  <c r="BC45" i="2" s="1"/>
  <c r="AG25" i="2"/>
  <c r="BC25" i="2" s="1"/>
  <c r="AG24" i="2"/>
  <c r="BC24" i="2" s="1"/>
  <c r="AG39" i="2"/>
  <c r="BC39" i="2" s="1"/>
  <c r="AG59" i="2"/>
  <c r="BC59" i="2" s="1"/>
  <c r="AG38" i="2"/>
  <c r="BC38" i="2" s="1"/>
  <c r="AG18" i="2"/>
  <c r="AG17" i="2"/>
  <c r="AG84" i="2" l="1"/>
  <c r="BC84" i="2" s="1"/>
  <c r="AG83" i="2"/>
  <c r="BC83" i="2" s="1"/>
  <c r="AG82" i="2"/>
  <c r="BC82" i="2" s="1"/>
  <c r="AG81" i="2"/>
  <c r="BC81" i="2" s="1"/>
  <c r="AG80" i="2"/>
  <c r="BC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B140" i="2"/>
  <c r="BB139" i="2"/>
  <c r="BB138" i="2"/>
  <c r="BB137" i="2"/>
  <c r="BB136" i="2"/>
  <c r="BB133" i="2"/>
  <c r="BB132" i="2"/>
  <c r="BB131" i="2"/>
  <c r="BB130" i="2"/>
  <c r="BB129" i="2"/>
  <c r="BB126" i="2"/>
  <c r="BB125" i="2"/>
  <c r="BB124" i="2"/>
  <c r="BB123" i="2"/>
  <c r="BB122" i="2"/>
  <c r="BB112" i="2"/>
  <c r="BB111" i="2"/>
  <c r="BB110" i="2"/>
  <c r="BB109" i="2"/>
  <c r="BB108" i="2"/>
  <c r="BB105" i="2"/>
  <c r="BB104" i="2"/>
  <c r="BB103" i="2"/>
  <c r="BB102" i="2"/>
  <c r="BB101" i="2"/>
  <c r="BB91" i="2"/>
  <c r="BB90" i="2"/>
  <c r="BB89" i="2"/>
  <c r="BB88" i="2"/>
  <c r="BB87" i="2"/>
  <c r="BB63" i="2"/>
  <c r="BB62" i="2"/>
  <c r="BB61" i="2"/>
  <c r="BB60" i="2"/>
  <c r="BB59" i="2"/>
  <c r="BB56" i="2"/>
  <c r="BB55" i="2"/>
  <c r="BB54" i="2"/>
  <c r="BB53" i="2"/>
  <c r="BB52" i="2"/>
  <c r="BB49" i="2"/>
  <c r="BB48" i="2"/>
  <c r="BB47" i="2"/>
  <c r="BB46" i="2"/>
  <c r="BB45" i="2"/>
  <c r="BB42" i="2"/>
  <c r="BB41" i="2"/>
  <c r="BB40" i="2"/>
  <c r="BB39" i="2"/>
  <c r="BB38" i="2"/>
  <c r="BB35" i="2"/>
  <c r="BB34" i="2"/>
  <c r="BB33" i="2"/>
  <c r="BB32" i="2"/>
  <c r="BB31" i="2"/>
  <c r="BB28" i="2"/>
  <c r="BB27" i="2"/>
  <c r="BB26" i="2"/>
  <c r="BB25" i="2"/>
  <c r="BB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A140" i="2"/>
  <c r="BA139" i="2"/>
  <c r="BA138" i="2"/>
  <c r="BA137" i="2"/>
  <c r="BA136" i="2"/>
  <c r="BA133" i="2"/>
  <c r="BA132" i="2"/>
  <c r="BA131" i="2"/>
  <c r="BA130" i="2"/>
  <c r="BA129" i="2"/>
  <c r="BA126" i="2"/>
  <c r="BA125" i="2"/>
  <c r="BA124" i="2"/>
  <c r="BA123" i="2"/>
  <c r="BA122" i="2"/>
  <c r="BA112" i="2"/>
  <c r="BA111" i="2"/>
  <c r="BA110" i="2"/>
  <c r="BA109" i="2"/>
  <c r="BA108" i="2"/>
  <c r="BA105" i="2"/>
  <c r="BA104" i="2"/>
  <c r="BA103" i="2"/>
  <c r="BA102" i="2"/>
  <c r="BA101" i="2"/>
  <c r="BA91" i="2"/>
  <c r="BA90" i="2"/>
  <c r="BA89" i="2"/>
  <c r="BA88" i="2"/>
  <c r="BA87" i="2"/>
  <c r="BA63" i="2"/>
  <c r="BA62" i="2"/>
  <c r="BA61" i="2"/>
  <c r="BA60" i="2"/>
  <c r="BA59" i="2"/>
  <c r="BA56" i="2"/>
  <c r="BA55" i="2"/>
  <c r="BA54" i="2"/>
  <c r="BA53" i="2"/>
  <c r="BA52" i="2"/>
  <c r="BA49" i="2"/>
  <c r="BA48" i="2"/>
  <c r="BA47" i="2"/>
  <c r="BA46" i="2"/>
  <c r="BA45" i="2"/>
  <c r="BA42" i="2"/>
  <c r="BA41" i="2"/>
  <c r="BA40" i="2"/>
  <c r="BA39" i="2"/>
  <c r="BA38" i="2"/>
  <c r="BA35" i="2"/>
  <c r="BA34" i="2"/>
  <c r="BA33" i="2"/>
  <c r="BA32" i="2"/>
  <c r="BA31" i="2"/>
  <c r="BA28" i="2"/>
  <c r="BA27" i="2"/>
  <c r="BA26" i="2"/>
  <c r="BA25" i="2"/>
  <c r="BA24" i="2"/>
  <c r="AZ140" i="2"/>
  <c r="AZ139" i="2"/>
  <c r="AZ138" i="2"/>
  <c r="AZ137" i="2"/>
  <c r="AZ136" i="2"/>
  <c r="AZ133" i="2"/>
  <c r="AZ132" i="2"/>
  <c r="AZ131" i="2"/>
  <c r="AZ130" i="2"/>
  <c r="AZ129" i="2"/>
  <c r="AZ126" i="2"/>
  <c r="AZ125" i="2"/>
  <c r="AZ124" i="2"/>
  <c r="AZ123" i="2"/>
  <c r="AZ122" i="2"/>
  <c r="AZ108" i="2"/>
  <c r="AZ101" i="2"/>
  <c r="AZ91" i="2"/>
  <c r="AZ90" i="2"/>
  <c r="AZ89" i="2"/>
  <c r="AZ88" i="2"/>
  <c r="AZ87" i="2"/>
  <c r="AZ63" i="2"/>
  <c r="AZ56" i="2"/>
  <c r="AZ49" i="2"/>
  <c r="AZ42" i="2"/>
  <c r="AZ35" i="2"/>
  <c r="AZ28" i="2"/>
  <c r="AY140" i="2"/>
  <c r="AY139" i="2"/>
  <c r="AY138" i="2"/>
  <c r="AY137" i="2"/>
  <c r="AY136" i="2"/>
  <c r="AY133" i="2"/>
  <c r="AY132" i="2"/>
  <c r="AY131" i="2"/>
  <c r="AY130" i="2"/>
  <c r="AY129" i="2"/>
  <c r="AY126" i="2"/>
  <c r="AY125" i="2"/>
  <c r="AY124" i="2"/>
  <c r="AY123" i="2"/>
  <c r="AY122" i="2"/>
  <c r="AY91" i="2"/>
  <c r="AY90" i="2"/>
  <c r="AY89" i="2"/>
  <c r="AY88" i="2"/>
  <c r="AY87" i="2"/>
  <c r="AY63" i="2"/>
  <c r="AY62" i="2"/>
  <c r="AY61" i="2"/>
  <c r="AY60" i="2"/>
  <c r="AY59" i="2"/>
  <c r="AY56" i="2"/>
  <c r="AY55" i="2"/>
  <c r="AY54" i="2"/>
  <c r="AY53" i="2"/>
  <c r="AY52" i="2"/>
  <c r="AY49" i="2"/>
  <c r="AY48" i="2"/>
  <c r="AY47" i="2"/>
  <c r="AY46" i="2"/>
  <c r="AY45" i="2"/>
  <c r="AY42" i="2"/>
  <c r="AY41" i="2"/>
  <c r="AY40" i="2"/>
  <c r="AY39" i="2"/>
  <c r="AY38" i="2"/>
  <c r="AY35" i="2"/>
  <c r="AY34" i="2"/>
  <c r="AY33" i="2"/>
  <c r="AY32" i="2"/>
  <c r="AY31" i="2"/>
  <c r="AY28" i="2"/>
  <c r="AY27" i="2"/>
  <c r="AY26" i="2"/>
  <c r="AY25" i="2"/>
  <c r="AY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AZ62" i="2" s="1"/>
  <c r="AD61" i="2"/>
  <c r="AZ61" i="2" s="1"/>
  <c r="AD60" i="2"/>
  <c r="AZ60" i="2" s="1"/>
  <c r="AD59" i="2"/>
  <c r="AD55" i="2"/>
  <c r="AD54" i="2"/>
  <c r="AZ54" i="2" s="1"/>
  <c r="AD53" i="2"/>
  <c r="AZ53" i="2" s="1"/>
  <c r="AD52" i="2"/>
  <c r="AZ52" i="2" s="1"/>
  <c r="AD48" i="2"/>
  <c r="AZ48" i="2" s="1"/>
  <c r="AD47" i="2"/>
  <c r="AZ47" i="2" s="1"/>
  <c r="AD46" i="2"/>
  <c r="AZ46" i="2" s="1"/>
  <c r="AD45" i="2"/>
  <c r="AZ45" i="2" s="1"/>
  <c r="AD41" i="2"/>
  <c r="AZ41" i="2" s="1"/>
  <c r="AD40" i="2"/>
  <c r="AZ40" i="2" s="1"/>
  <c r="AD39" i="2"/>
  <c r="AZ39" i="2" s="1"/>
  <c r="AD38" i="2"/>
  <c r="AZ38" i="2" s="1"/>
  <c r="AD34" i="2"/>
  <c r="AZ34" i="2" s="1"/>
  <c r="AD33" i="2"/>
  <c r="AZ33" i="2" s="1"/>
  <c r="AD32" i="2"/>
  <c r="AZ32" i="2" s="1"/>
  <c r="AD31" i="2"/>
  <c r="AZ31" i="2" s="1"/>
  <c r="AD27" i="2"/>
  <c r="AD26" i="2"/>
  <c r="AD25" i="2"/>
  <c r="AD24" i="2"/>
  <c r="AZ24" i="2" s="1"/>
  <c r="AD141" i="2"/>
  <c r="AD134" i="2"/>
  <c r="AD127" i="2"/>
  <c r="AD112" i="2"/>
  <c r="AZ112" i="2" s="1"/>
  <c r="AD111" i="2"/>
  <c r="AZ111" i="2" s="1"/>
  <c r="AD110" i="2"/>
  <c r="AZ110" i="2" s="1"/>
  <c r="AD109" i="2"/>
  <c r="AZ109" i="2" s="1"/>
  <c r="AD105" i="2"/>
  <c r="AZ105" i="2" s="1"/>
  <c r="AD104" i="2"/>
  <c r="AZ104" i="2" s="1"/>
  <c r="AD103" i="2"/>
  <c r="AZ103" i="2" s="1"/>
  <c r="AD102" i="2"/>
  <c r="AZ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AZ25" i="2"/>
  <c r="AD19" i="2"/>
  <c r="AZ26" i="2"/>
  <c r="AD118" i="2"/>
  <c r="AD20" i="2"/>
  <c r="AZ27" i="2"/>
  <c r="AD69" i="2"/>
  <c r="AZ55" i="2"/>
  <c r="AD64" i="2"/>
  <c r="AZ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Y109" i="2" s="1"/>
  <c r="AC110" i="2"/>
  <c r="AY110" i="2" s="1"/>
  <c r="AC111" i="2"/>
  <c r="AY111" i="2" s="1"/>
  <c r="AC112" i="2"/>
  <c r="AY112" i="2" s="1"/>
  <c r="AC108" i="2"/>
  <c r="AY108" i="2" s="1"/>
  <c r="AC102" i="2"/>
  <c r="AY102" i="2" s="1"/>
  <c r="AC103" i="2"/>
  <c r="AY103" i="2" s="1"/>
  <c r="AC104" i="2"/>
  <c r="AY104" i="2" s="1"/>
  <c r="AC105" i="2"/>
  <c r="AY105" i="2" s="1"/>
  <c r="AC101" i="2"/>
  <c r="AY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X140" i="2"/>
  <c r="AX139" i="2"/>
  <c r="AX138" i="2"/>
  <c r="AX137" i="2"/>
  <c r="AX136" i="2"/>
  <c r="AX133" i="2"/>
  <c r="AX132" i="2"/>
  <c r="AX131" i="2"/>
  <c r="AX130" i="2"/>
  <c r="AX129" i="2"/>
  <c r="AX126" i="2"/>
  <c r="AX125" i="2"/>
  <c r="AX124" i="2"/>
  <c r="AX123" i="2"/>
  <c r="AX122" i="2"/>
  <c r="AX112" i="2"/>
  <c r="AX111" i="2"/>
  <c r="AX110" i="2"/>
  <c r="AX109" i="2"/>
  <c r="AX108" i="2"/>
  <c r="AX105" i="2"/>
  <c r="AX104" i="2"/>
  <c r="AX103" i="2"/>
  <c r="AX102" i="2"/>
  <c r="AX101" i="2"/>
  <c r="AX91" i="2"/>
  <c r="AX90" i="2"/>
  <c r="AX89" i="2"/>
  <c r="AX88" i="2"/>
  <c r="AX87" i="2"/>
  <c r="AX63" i="2"/>
  <c r="AX62" i="2"/>
  <c r="AX61" i="2"/>
  <c r="AX60" i="2"/>
  <c r="AX59" i="2"/>
  <c r="AX56" i="2"/>
  <c r="AX55" i="2"/>
  <c r="AX54" i="2"/>
  <c r="AX53" i="2"/>
  <c r="AX52" i="2"/>
  <c r="AX49" i="2"/>
  <c r="AX48" i="2"/>
  <c r="AX47" i="2"/>
  <c r="AX46" i="2"/>
  <c r="AX45" i="2"/>
  <c r="AX42" i="2"/>
  <c r="AX41" i="2"/>
  <c r="AX40" i="2"/>
  <c r="AX39" i="2"/>
  <c r="AX38" i="2"/>
  <c r="AX35" i="2"/>
  <c r="AX34" i="2"/>
  <c r="AX33" i="2"/>
  <c r="AX32" i="2"/>
  <c r="AX31" i="2"/>
  <c r="AX28" i="2"/>
  <c r="AX27" i="2"/>
  <c r="AX26" i="2"/>
  <c r="AX25" i="2"/>
  <c r="AX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U137" i="2" l="1"/>
  <c r="AV137" i="2"/>
  <c r="AW137" i="2"/>
  <c r="AU138" i="2"/>
  <c r="AV138" i="2"/>
  <c r="AW138" i="2"/>
  <c r="AU139" i="2"/>
  <c r="AV139" i="2"/>
  <c r="AW139" i="2"/>
  <c r="AU140" i="2"/>
  <c r="AV140" i="2"/>
  <c r="AW140" i="2"/>
  <c r="AV136" i="2"/>
  <c r="AW136" i="2"/>
  <c r="AU130" i="2"/>
  <c r="AV130" i="2"/>
  <c r="AW130" i="2"/>
  <c r="AU131" i="2"/>
  <c r="AV131" i="2"/>
  <c r="AW131" i="2"/>
  <c r="AU132" i="2"/>
  <c r="AV132" i="2"/>
  <c r="AW132" i="2"/>
  <c r="AU133" i="2"/>
  <c r="AV133" i="2"/>
  <c r="AW133" i="2"/>
  <c r="AV129" i="2"/>
  <c r="AW129" i="2"/>
  <c r="AU123" i="2"/>
  <c r="AV123" i="2"/>
  <c r="AW123" i="2"/>
  <c r="AU124" i="2"/>
  <c r="AV124" i="2"/>
  <c r="AW124" i="2"/>
  <c r="AU125" i="2"/>
  <c r="AV125" i="2"/>
  <c r="AW125" i="2"/>
  <c r="AU126" i="2"/>
  <c r="AV126" i="2"/>
  <c r="AW126" i="2"/>
  <c r="AV122" i="2"/>
  <c r="AW122" i="2"/>
  <c r="AU109" i="2"/>
  <c r="AV109" i="2"/>
  <c r="AW109" i="2"/>
  <c r="AU110" i="2"/>
  <c r="AV110" i="2"/>
  <c r="AW110" i="2"/>
  <c r="AU111" i="2"/>
  <c r="AV111" i="2"/>
  <c r="AW111" i="2"/>
  <c r="AU112" i="2"/>
  <c r="AV112" i="2"/>
  <c r="AW112" i="2"/>
  <c r="AV108" i="2"/>
  <c r="AW108" i="2"/>
  <c r="AU102" i="2"/>
  <c r="AV102" i="2"/>
  <c r="AW102" i="2"/>
  <c r="AU103" i="2"/>
  <c r="AV103" i="2"/>
  <c r="AW103" i="2"/>
  <c r="AU104" i="2"/>
  <c r="AV104" i="2"/>
  <c r="AW104" i="2"/>
  <c r="AU105" i="2"/>
  <c r="AV105" i="2"/>
  <c r="AW105" i="2"/>
  <c r="AV101" i="2"/>
  <c r="AW101" i="2"/>
  <c r="AU88" i="2"/>
  <c r="AV88" i="2"/>
  <c r="AW88" i="2"/>
  <c r="AU89" i="2"/>
  <c r="AV89" i="2"/>
  <c r="AW89" i="2"/>
  <c r="AU90" i="2"/>
  <c r="AV90" i="2"/>
  <c r="AW90" i="2"/>
  <c r="AU91" i="2"/>
  <c r="AV91" i="2"/>
  <c r="AW91" i="2"/>
  <c r="AV87" i="2"/>
  <c r="AW87" i="2"/>
  <c r="AU60" i="2"/>
  <c r="AV60" i="2"/>
  <c r="AW60" i="2"/>
  <c r="AU61" i="2"/>
  <c r="AV61" i="2"/>
  <c r="AW61" i="2"/>
  <c r="AU62" i="2"/>
  <c r="AV62" i="2"/>
  <c r="AW62" i="2"/>
  <c r="AU63" i="2"/>
  <c r="AV63" i="2"/>
  <c r="AW63" i="2"/>
  <c r="AV59" i="2"/>
  <c r="AW59" i="2"/>
  <c r="AU53" i="2"/>
  <c r="AV53" i="2"/>
  <c r="AW53" i="2"/>
  <c r="AU54" i="2"/>
  <c r="AV54" i="2"/>
  <c r="AW54" i="2"/>
  <c r="AU55" i="2"/>
  <c r="AV55" i="2"/>
  <c r="AW55" i="2"/>
  <c r="AU56" i="2"/>
  <c r="AV56" i="2"/>
  <c r="AW56" i="2"/>
  <c r="AW52" i="2"/>
  <c r="AU46" i="2"/>
  <c r="AV46" i="2"/>
  <c r="AW46" i="2"/>
  <c r="AU47" i="2"/>
  <c r="AV47" i="2"/>
  <c r="AW47" i="2"/>
  <c r="AU48" i="2"/>
  <c r="AV48" i="2"/>
  <c r="AW48" i="2"/>
  <c r="AU49" i="2"/>
  <c r="AV49" i="2"/>
  <c r="AW49" i="2"/>
  <c r="AW45" i="2"/>
  <c r="AU39" i="2"/>
  <c r="AV39" i="2"/>
  <c r="AW39" i="2"/>
  <c r="AU40" i="2"/>
  <c r="AV40" i="2"/>
  <c r="AW40" i="2"/>
  <c r="AU41" i="2"/>
  <c r="AV41" i="2"/>
  <c r="AW41" i="2"/>
  <c r="AU42" i="2"/>
  <c r="AV42" i="2"/>
  <c r="AW42" i="2"/>
  <c r="AW38" i="2"/>
  <c r="AU32" i="2"/>
  <c r="AV32" i="2"/>
  <c r="AW32" i="2"/>
  <c r="AU33" i="2"/>
  <c r="AV33" i="2"/>
  <c r="AW33" i="2"/>
  <c r="AU34" i="2"/>
  <c r="AV34" i="2"/>
  <c r="AW34" i="2"/>
  <c r="AU35" i="2"/>
  <c r="AV35" i="2"/>
  <c r="AW35" i="2"/>
  <c r="AW31" i="2"/>
  <c r="AU25" i="2"/>
  <c r="AV25" i="2"/>
  <c r="AW25" i="2"/>
  <c r="AU26" i="2"/>
  <c r="AV26" i="2"/>
  <c r="AW26" i="2"/>
  <c r="AU27" i="2"/>
  <c r="AV27" i="2"/>
  <c r="AW27" i="2"/>
  <c r="AU28" i="2"/>
  <c r="AV28" i="2"/>
  <c r="AW28" i="2"/>
  <c r="AW24" i="2"/>
  <c r="AA134" i="2"/>
  <c r="AA141" i="2"/>
  <c r="AA127" i="2"/>
  <c r="AA77" i="2"/>
  <c r="AW77" i="2" s="1"/>
  <c r="AA76" i="2"/>
  <c r="AW76" i="2" s="1"/>
  <c r="AA75" i="2"/>
  <c r="AW75" i="2" s="1"/>
  <c r="AA74" i="2"/>
  <c r="AW74" i="2" s="1"/>
  <c r="AA73" i="2"/>
  <c r="AW73" i="2" s="1"/>
  <c r="AA78" i="2" l="1"/>
  <c r="AA84" i="2"/>
  <c r="AA83" i="2"/>
  <c r="AA82" i="2"/>
  <c r="AA81" i="2"/>
  <c r="AA80" i="2"/>
  <c r="AA14" i="2"/>
  <c r="AW14" i="2" s="1"/>
  <c r="AA13" i="2"/>
  <c r="AW13" i="2" s="1"/>
  <c r="AA12" i="2"/>
  <c r="AW12" i="2" s="1"/>
  <c r="AA11" i="2"/>
  <c r="AW11" i="2" s="1"/>
  <c r="AW10" i="2"/>
  <c r="AA15" i="2" l="1"/>
  <c r="AW82" i="2"/>
  <c r="AA96" i="2"/>
  <c r="AA117" i="2" s="1"/>
  <c r="AW84" i="2"/>
  <c r="AA98" i="2"/>
  <c r="AA119" i="2" s="1"/>
  <c r="AA85" i="2"/>
  <c r="AW80" i="2"/>
  <c r="AA94" i="2"/>
  <c r="AW81" i="2"/>
  <c r="AA95" i="2"/>
  <c r="AA116" i="2" s="1"/>
  <c r="AW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AV52" i="2"/>
  <c r="AV45" i="2"/>
  <c r="Z38" i="2"/>
  <c r="AV38" i="2" s="1"/>
  <c r="AV31" i="2"/>
  <c r="AV24" i="2"/>
  <c r="Z50" i="2" l="1"/>
  <c r="Z29" i="2"/>
  <c r="Z57" i="2"/>
  <c r="Z36" i="2"/>
  <c r="Z66" i="2"/>
  <c r="Z71" i="2" s="1"/>
  <c r="Z17" i="2"/>
  <c r="Z22" i="2" s="1"/>
  <c r="Z43" i="2"/>
  <c r="Z113" i="2"/>
  <c r="Z106" i="2"/>
  <c r="Z141" i="2"/>
  <c r="Z127" i="2"/>
  <c r="Z134" i="2"/>
  <c r="Z77" i="2"/>
  <c r="AV77" i="2" s="1"/>
  <c r="Z76" i="2"/>
  <c r="AV76" i="2" s="1"/>
  <c r="Z75" i="2"/>
  <c r="AV75" i="2" s="1"/>
  <c r="Z73" i="2"/>
  <c r="AV73" i="2" s="1"/>
  <c r="Z74" i="2"/>
  <c r="AV74" i="2" s="1"/>
  <c r="Z78" i="2" l="1"/>
  <c r="Z84" i="2"/>
  <c r="Z83" i="2"/>
  <c r="Z82" i="2"/>
  <c r="Z81" i="2"/>
  <c r="Z80" i="2"/>
  <c r="Z13" i="2"/>
  <c r="Z14" i="2"/>
  <c r="AV14" i="2" s="1"/>
  <c r="Z12" i="2"/>
  <c r="AV12" i="2" s="1"/>
  <c r="Z11" i="2"/>
  <c r="AV11" i="2" s="1"/>
  <c r="AV10" i="2"/>
  <c r="Z85" i="2" l="1"/>
  <c r="AV81" i="2"/>
  <c r="Z95" i="2"/>
  <c r="Z116" i="2" s="1"/>
  <c r="AV83" i="2"/>
  <c r="Z97" i="2"/>
  <c r="Z118" i="2" s="1"/>
  <c r="AV84" i="2"/>
  <c r="Z98" i="2"/>
  <c r="Z119" i="2" s="1"/>
  <c r="AV82" i="2"/>
  <c r="Z96" i="2"/>
  <c r="Z117" i="2" s="1"/>
  <c r="AV80" i="2"/>
  <c r="Z94" i="2"/>
  <c r="Z15" i="2"/>
  <c r="AV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K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U136" i="2"/>
  <c r="AU129" i="2"/>
  <c r="AU122" i="2"/>
  <c r="AU108" i="2"/>
  <c r="AU101" i="2"/>
  <c r="AU87" i="2"/>
  <c r="AU59" i="2"/>
  <c r="AU52" i="2"/>
  <c r="AU45" i="2"/>
  <c r="AU38" i="2"/>
  <c r="AU31" i="2"/>
  <c r="AU24" i="2"/>
  <c r="Y141" i="2" l="1"/>
  <c r="Y134" i="2"/>
  <c r="Y127" i="2" l="1"/>
  <c r="Y106" i="2"/>
  <c r="Y113" i="2"/>
  <c r="Y21" i="2"/>
  <c r="Y20" i="2"/>
  <c r="Y19" i="2"/>
  <c r="Y18" i="2"/>
  <c r="Y17" i="2"/>
  <c r="Y73" i="2" l="1"/>
  <c r="AU73" i="2" s="1"/>
  <c r="Y77" i="2"/>
  <c r="AU77" i="2" s="1"/>
  <c r="Y76" i="2"/>
  <c r="AU76" i="2" s="1"/>
  <c r="Y75" i="2"/>
  <c r="AU75" i="2" s="1"/>
  <c r="Y74" i="2"/>
  <c r="AU74" i="2" s="1"/>
  <c r="Y78" i="2" l="1"/>
  <c r="Y84" i="2"/>
  <c r="Y83" i="2"/>
  <c r="Y82" i="2"/>
  <c r="Y81" i="2"/>
  <c r="Y80" i="2"/>
  <c r="Y67" i="2"/>
  <c r="Y68" i="2"/>
  <c r="Y69" i="2"/>
  <c r="Y70" i="2"/>
  <c r="Y66" i="2"/>
  <c r="Y64" i="2"/>
  <c r="Y57" i="2"/>
  <c r="Y50" i="2"/>
  <c r="Y43" i="2"/>
  <c r="Y36" i="2"/>
  <c r="Y29" i="2"/>
  <c r="Y14" i="2"/>
  <c r="AU14" i="2" s="1"/>
  <c r="Y13" i="2"/>
  <c r="AU13" i="2" s="1"/>
  <c r="Y12" i="2"/>
  <c r="AU12" i="2" s="1"/>
  <c r="Y11" i="2"/>
  <c r="AU11" i="2" s="1"/>
  <c r="AU10" i="2"/>
  <c r="AU80" i="2" l="1"/>
  <c r="Y94" i="2"/>
  <c r="AU81" i="2"/>
  <c r="Y95" i="2"/>
  <c r="Y116" i="2" s="1"/>
  <c r="AU82" i="2"/>
  <c r="Y96" i="2"/>
  <c r="Y117" i="2" s="1"/>
  <c r="AU84" i="2"/>
  <c r="Y98" i="2"/>
  <c r="Y119" i="2" s="1"/>
  <c r="Y85" i="2"/>
  <c r="AU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T140" i="2" l="1"/>
  <c r="AT139" i="2"/>
  <c r="AT138" i="2"/>
  <c r="AT137" i="2"/>
  <c r="AT136" i="2"/>
  <c r="AT133" i="2"/>
  <c r="AT132" i="2"/>
  <c r="AT131" i="2"/>
  <c r="AT130" i="2"/>
  <c r="AT129" i="2"/>
  <c r="AT126" i="2"/>
  <c r="AT125" i="2"/>
  <c r="AT124" i="2"/>
  <c r="AT123" i="2"/>
  <c r="AT122" i="2"/>
  <c r="AT112" i="2"/>
  <c r="AT111" i="2"/>
  <c r="AT110" i="2"/>
  <c r="AT109" i="2"/>
  <c r="AT108" i="2"/>
  <c r="AT105" i="2"/>
  <c r="AT104" i="2"/>
  <c r="AT103" i="2"/>
  <c r="AT102" i="2"/>
  <c r="AT101" i="2"/>
  <c r="AT91" i="2"/>
  <c r="AT90" i="2"/>
  <c r="AT89" i="2"/>
  <c r="AT88" i="2"/>
  <c r="AT87" i="2"/>
  <c r="AT84" i="2"/>
  <c r="AT83" i="2"/>
  <c r="AT82" i="2"/>
  <c r="AT81" i="2"/>
  <c r="AT80" i="2"/>
  <c r="AT77" i="2"/>
  <c r="AT76" i="2"/>
  <c r="AT75" i="2"/>
  <c r="AT74" i="2"/>
  <c r="AT73" i="2"/>
  <c r="AT63" i="2"/>
  <c r="AT62" i="2"/>
  <c r="AT61" i="2"/>
  <c r="AT60" i="2"/>
  <c r="AT59" i="2"/>
  <c r="AT56" i="2"/>
  <c r="AT55" i="2"/>
  <c r="AT54" i="2"/>
  <c r="AT53" i="2"/>
  <c r="AT52" i="2"/>
  <c r="AT49" i="2"/>
  <c r="AT48" i="2"/>
  <c r="AT47" i="2"/>
  <c r="AT46" i="2"/>
  <c r="AT45" i="2"/>
  <c r="AT42" i="2"/>
  <c r="AT41" i="2"/>
  <c r="AT40" i="2"/>
  <c r="AT39" i="2"/>
  <c r="AT38" i="2"/>
  <c r="AT35" i="2"/>
  <c r="AT34" i="2"/>
  <c r="AT33" i="2"/>
  <c r="AT32" i="2"/>
  <c r="AT31" i="2"/>
  <c r="AT28" i="2"/>
  <c r="AT27" i="2"/>
  <c r="AT26" i="2"/>
  <c r="AT25" i="2"/>
  <c r="AT24" i="2"/>
  <c r="AT14" i="2"/>
  <c r="AT13" i="2"/>
  <c r="AT12" i="2"/>
  <c r="AT11" i="2"/>
  <c r="AT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T141" i="2" l="1"/>
  <c r="AT134" i="2"/>
  <c r="AT127" i="2"/>
  <c r="AT57" i="2"/>
  <c r="AT29" i="2"/>
  <c r="AT113" i="2"/>
  <c r="AT85" i="2"/>
  <c r="AT78" i="2"/>
  <c r="AT15" i="2"/>
  <c r="AT106" i="2"/>
  <c r="AT64" i="2"/>
  <c r="AT50" i="2"/>
  <c r="X71" i="2"/>
  <c r="AT43" i="2"/>
  <c r="AT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S137" i="2"/>
  <c r="AR137" i="2"/>
  <c r="AQ137" i="2"/>
  <c r="AP137" i="2"/>
  <c r="AO137" i="2"/>
  <c r="AN137" i="2"/>
  <c r="AM137" i="2"/>
  <c r="AL137" i="2"/>
  <c r="AK137" i="2"/>
  <c r="AS130" i="2"/>
  <c r="AR130" i="2"/>
  <c r="AQ130" i="2"/>
  <c r="AP130" i="2"/>
  <c r="AO130" i="2"/>
  <c r="AN130" i="2"/>
  <c r="AM130" i="2"/>
  <c r="AL130" i="2"/>
  <c r="AK130" i="2"/>
  <c r="AS123" i="2"/>
  <c r="AR123" i="2"/>
  <c r="AQ123" i="2"/>
  <c r="AP123" i="2"/>
  <c r="AO123" i="2"/>
  <c r="AN123" i="2"/>
  <c r="AM123" i="2"/>
  <c r="AL123" i="2"/>
  <c r="AK123" i="2"/>
  <c r="AS60" i="2"/>
  <c r="AR60" i="2"/>
  <c r="AQ60" i="2"/>
  <c r="AP60" i="2"/>
  <c r="AO60" i="2"/>
  <c r="AN60" i="2"/>
  <c r="AM60" i="2"/>
  <c r="AL60" i="2"/>
  <c r="AK60" i="2"/>
  <c r="AS53" i="2"/>
  <c r="AR53" i="2"/>
  <c r="AQ53" i="2"/>
  <c r="AP53" i="2"/>
  <c r="AO53" i="2"/>
  <c r="AN53" i="2"/>
  <c r="AM53" i="2"/>
  <c r="AL53" i="2"/>
  <c r="AK53" i="2"/>
  <c r="AS46" i="2"/>
  <c r="AR46" i="2"/>
  <c r="AQ46" i="2"/>
  <c r="AP46" i="2"/>
  <c r="AO46" i="2"/>
  <c r="AN46" i="2"/>
  <c r="AM46" i="2"/>
  <c r="AL46" i="2"/>
  <c r="AK46" i="2"/>
  <c r="AK47" i="2"/>
  <c r="AS39" i="2"/>
  <c r="AR39" i="2"/>
  <c r="AQ39" i="2"/>
  <c r="AP39" i="2"/>
  <c r="AO39" i="2"/>
  <c r="AN39" i="2"/>
  <c r="AM39" i="2"/>
  <c r="AL39" i="2"/>
  <c r="AK39" i="2"/>
  <c r="AS32" i="2"/>
  <c r="AR32" i="2"/>
  <c r="AQ32" i="2"/>
  <c r="AP32" i="2"/>
  <c r="AO32" i="2"/>
  <c r="AN32" i="2"/>
  <c r="AM32" i="2"/>
  <c r="AL32" i="2"/>
  <c r="AK32" i="2"/>
  <c r="AS25" i="2"/>
  <c r="AR25" i="2"/>
  <c r="AQ25" i="2"/>
  <c r="AP25" i="2"/>
  <c r="AO25" i="2"/>
  <c r="AN25" i="2"/>
  <c r="AM25" i="2"/>
  <c r="AL25" i="2"/>
  <c r="AK25" i="2"/>
  <c r="AK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S140" i="2"/>
  <c r="AS139" i="2"/>
  <c r="AS138" i="2"/>
  <c r="AS136" i="2"/>
  <c r="AS133" i="2"/>
  <c r="AS132" i="2"/>
  <c r="AS131" i="2"/>
  <c r="AS129" i="2"/>
  <c r="AS126" i="2"/>
  <c r="AS125" i="2"/>
  <c r="AS124" i="2"/>
  <c r="AS122" i="2"/>
  <c r="AS112" i="2"/>
  <c r="AS111" i="2"/>
  <c r="AS110" i="2"/>
  <c r="AS109" i="2"/>
  <c r="AS108" i="2"/>
  <c r="AS105" i="2"/>
  <c r="AS104" i="2"/>
  <c r="AS103" i="2"/>
  <c r="AS102" i="2"/>
  <c r="AS101" i="2"/>
  <c r="AS91" i="2"/>
  <c r="AS90" i="2"/>
  <c r="AS89" i="2"/>
  <c r="AS88" i="2"/>
  <c r="AS87" i="2"/>
  <c r="AS63" i="2"/>
  <c r="AS62" i="2"/>
  <c r="AS61" i="2"/>
  <c r="AS59" i="2"/>
  <c r="AS56" i="2"/>
  <c r="AS55" i="2"/>
  <c r="AS54" i="2"/>
  <c r="AS52" i="2"/>
  <c r="AS49" i="2"/>
  <c r="AS48" i="2"/>
  <c r="AS47" i="2"/>
  <c r="AS45" i="2"/>
  <c r="AS42" i="2"/>
  <c r="AS41" i="2"/>
  <c r="AS40" i="2"/>
  <c r="AS38" i="2"/>
  <c r="AS35" i="2"/>
  <c r="AS34" i="2"/>
  <c r="AS33" i="2"/>
  <c r="AS31" i="2"/>
  <c r="AS28" i="2"/>
  <c r="AS27" i="2"/>
  <c r="AS26" i="2"/>
  <c r="AS24" i="2"/>
  <c r="AS10" i="2"/>
  <c r="W82" i="2"/>
  <c r="AS82" i="2" s="1"/>
  <c r="W84" i="2"/>
  <c r="AS84" i="2" s="1"/>
  <c r="W83" i="2"/>
  <c r="AS83" i="2" s="1"/>
  <c r="AS141" i="2" l="1"/>
  <c r="AS134" i="2"/>
  <c r="AS127" i="2"/>
  <c r="AS106" i="2"/>
  <c r="AS113" i="2"/>
  <c r="AS64" i="2"/>
  <c r="AS57" i="2"/>
  <c r="AS50" i="2"/>
  <c r="AS43" i="2"/>
  <c r="AS36" i="2"/>
  <c r="AS29" i="2"/>
  <c r="W77" i="2"/>
  <c r="AS77" i="2" s="1"/>
  <c r="W76" i="2"/>
  <c r="AS76" i="2" s="1"/>
  <c r="W75" i="2"/>
  <c r="AS75" i="2" s="1"/>
  <c r="W80" i="2"/>
  <c r="AS80" i="2" s="1"/>
  <c r="W81" i="2"/>
  <c r="AS81" i="2" s="1"/>
  <c r="W74" i="2"/>
  <c r="AS74" i="2" s="1"/>
  <c r="W73" i="2"/>
  <c r="AS73" i="2" s="1"/>
  <c r="AS85" i="2" l="1"/>
  <c r="AS78" i="2"/>
  <c r="W21" i="2"/>
  <c r="W20" i="2"/>
  <c r="W19" i="2"/>
  <c r="W18" i="2"/>
  <c r="W17" i="2"/>
  <c r="W14" i="2"/>
  <c r="AS14" i="2" s="1"/>
  <c r="W13" i="2"/>
  <c r="AS13" i="2" s="1"/>
  <c r="W12" i="2"/>
  <c r="AS12" i="2" s="1"/>
  <c r="W11" i="2"/>
  <c r="AS11" i="2" l="1"/>
  <c r="AS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K12" i="2"/>
  <c r="AK13" i="2"/>
  <c r="AK14" i="2"/>
  <c r="AK24" i="2"/>
  <c r="AK26" i="2"/>
  <c r="AK27" i="2"/>
  <c r="AK28" i="2"/>
  <c r="AK31" i="2"/>
  <c r="AK33" i="2"/>
  <c r="AK34" i="2"/>
  <c r="AK35" i="2"/>
  <c r="AK38" i="2"/>
  <c r="AK40" i="2"/>
  <c r="AK41" i="2"/>
  <c r="AK42" i="2"/>
  <c r="AK45" i="2"/>
  <c r="AK48" i="2"/>
  <c r="AK49" i="2"/>
  <c r="AK52" i="2"/>
  <c r="AK54" i="2"/>
  <c r="AK55" i="2"/>
  <c r="AK56" i="2"/>
  <c r="AK59" i="2"/>
  <c r="AK61" i="2"/>
  <c r="AK62" i="2"/>
  <c r="AK63" i="2"/>
  <c r="AK73" i="2"/>
  <c r="AK74" i="2"/>
  <c r="AK75" i="2"/>
  <c r="AK76" i="2"/>
  <c r="AK77" i="2"/>
  <c r="AK80" i="2"/>
  <c r="AK81" i="2"/>
  <c r="AK82" i="2"/>
  <c r="AK83" i="2"/>
  <c r="AK84" i="2"/>
  <c r="AK87" i="2"/>
  <c r="AK88" i="2"/>
  <c r="AK89" i="2"/>
  <c r="AK90" i="2"/>
  <c r="AK91" i="2"/>
  <c r="AK101" i="2"/>
  <c r="AK102" i="2"/>
  <c r="AK103" i="2"/>
  <c r="AK104" i="2"/>
  <c r="AK105" i="2"/>
  <c r="AK108" i="2"/>
  <c r="AK109" i="2"/>
  <c r="AK110" i="2"/>
  <c r="AK111" i="2"/>
  <c r="AK112" i="2"/>
  <c r="AK122" i="2"/>
  <c r="AK124" i="2"/>
  <c r="AK125" i="2"/>
  <c r="AK126" i="2"/>
  <c r="AK129" i="2"/>
  <c r="AK131" i="2"/>
  <c r="AK132" i="2"/>
  <c r="AK133" i="2"/>
  <c r="AK136" i="2"/>
  <c r="AK138" i="2"/>
  <c r="AK139" i="2"/>
  <c r="AK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AK127" i="2" l="1"/>
  <c r="W71" i="2"/>
  <c r="AK134" i="2"/>
  <c r="W99" i="2"/>
  <c r="W115" i="2"/>
  <c r="W120" i="2" s="1"/>
  <c r="AK36" i="2"/>
  <c r="AK57" i="2"/>
  <c r="AK85" i="2"/>
  <c r="AK113" i="2"/>
  <c r="AK43" i="2"/>
  <c r="AK141" i="2"/>
  <c r="AK64" i="2"/>
  <c r="AK92" i="2"/>
  <c r="AK78" i="2"/>
  <c r="AK50" i="2"/>
  <c r="AK29" i="2"/>
  <c r="AK106" i="2"/>
  <c r="AK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R138" i="2"/>
  <c r="AR139" i="2"/>
  <c r="AR140" i="2"/>
  <c r="AR136" i="2"/>
  <c r="AR131" i="2"/>
  <c r="AR132" i="2"/>
  <c r="AR133" i="2"/>
  <c r="AR129" i="2"/>
  <c r="AR124" i="2"/>
  <c r="AR125" i="2"/>
  <c r="AR126" i="2"/>
  <c r="AR122" i="2"/>
  <c r="AR109" i="2"/>
  <c r="AR110" i="2"/>
  <c r="AR111" i="2"/>
  <c r="AR112" i="2"/>
  <c r="AR108" i="2"/>
  <c r="AR102" i="2"/>
  <c r="AR103" i="2"/>
  <c r="AR104" i="2"/>
  <c r="AR105" i="2"/>
  <c r="AR101" i="2"/>
  <c r="AR88" i="2"/>
  <c r="AR89" i="2"/>
  <c r="AR90" i="2"/>
  <c r="AR91" i="2"/>
  <c r="AR87" i="2"/>
  <c r="V127" i="2"/>
  <c r="BD127" i="2" s="1"/>
  <c r="AF127" i="3" l="1"/>
  <c r="AR141" i="2"/>
  <c r="AR134" i="2"/>
  <c r="AR106" i="2"/>
  <c r="AR113" i="2"/>
  <c r="AR127" i="2"/>
  <c r="AF15" i="3"/>
  <c r="AF71" i="3"/>
  <c r="AF99" i="3"/>
  <c r="V141" i="2"/>
  <c r="BD141" i="2" s="1"/>
  <c r="V134" i="2"/>
  <c r="BD134" i="2" s="1"/>
  <c r="V113" i="2" l="1"/>
  <c r="BD113" i="2" s="1"/>
  <c r="V106" i="2"/>
  <c r="BD106" i="2" s="1"/>
  <c r="V80" i="2"/>
  <c r="V84" i="2"/>
  <c r="V83" i="2"/>
  <c r="V82" i="2"/>
  <c r="V81" i="2"/>
  <c r="V77" i="2"/>
  <c r="V76" i="2"/>
  <c r="V75" i="2"/>
  <c r="V74" i="2"/>
  <c r="V73" i="2"/>
  <c r="AR81" i="2" l="1"/>
  <c r="BD81" i="2"/>
  <c r="AR82" i="2"/>
  <c r="BD82" i="2"/>
  <c r="AR83" i="2"/>
  <c r="BD83" i="2"/>
  <c r="AR80" i="2"/>
  <c r="BD80" i="2"/>
  <c r="AR76" i="2"/>
  <c r="BD76" i="2"/>
  <c r="AR77" i="2"/>
  <c r="BD77" i="2"/>
  <c r="AR73" i="2"/>
  <c r="AR78" i="2" s="1"/>
  <c r="BD73" i="2"/>
  <c r="AR84" i="2"/>
  <c r="BD84" i="2"/>
  <c r="AR74" i="2"/>
  <c r="BD74" i="2"/>
  <c r="AR75" i="2"/>
  <c r="BD75" i="2"/>
  <c r="V98" i="2"/>
  <c r="V97" i="2"/>
  <c r="V94" i="2"/>
  <c r="V96" i="2"/>
  <c r="V95" i="2"/>
  <c r="V85" i="2"/>
  <c r="BD85" i="2" s="1"/>
  <c r="V78" i="2"/>
  <c r="BD78" i="2" s="1"/>
  <c r="AR61" i="2"/>
  <c r="AR62" i="2"/>
  <c r="AR63" i="2"/>
  <c r="AR59" i="2"/>
  <c r="AR54" i="2"/>
  <c r="AR55" i="2"/>
  <c r="AR56" i="2"/>
  <c r="AR52" i="2"/>
  <c r="AR47" i="2"/>
  <c r="AR48" i="2"/>
  <c r="AR49" i="2"/>
  <c r="AR45" i="2"/>
  <c r="AR40" i="2"/>
  <c r="AR41" i="2"/>
  <c r="AR42" i="2"/>
  <c r="AR38" i="2"/>
  <c r="AR33" i="2"/>
  <c r="AR34" i="2"/>
  <c r="AR35" i="2"/>
  <c r="AR31" i="2"/>
  <c r="AR26" i="2"/>
  <c r="AR27" i="2"/>
  <c r="AR28" i="2"/>
  <c r="AR24" i="2"/>
  <c r="V67" i="2"/>
  <c r="BD67" i="2" s="1"/>
  <c r="V68" i="2"/>
  <c r="BD68" i="2" s="1"/>
  <c r="V69" i="2"/>
  <c r="BD69" i="2" s="1"/>
  <c r="V70" i="2"/>
  <c r="BD70" i="2" s="1"/>
  <c r="V66" i="2"/>
  <c r="BD66" i="2" s="1"/>
  <c r="V64" i="2"/>
  <c r="BD64" i="2" s="1"/>
  <c r="V57" i="2"/>
  <c r="BD57" i="2" s="1"/>
  <c r="V50" i="2"/>
  <c r="BD50" i="2" s="1"/>
  <c r="V14" i="2"/>
  <c r="V13" i="2"/>
  <c r="V12" i="2"/>
  <c r="V11" i="2"/>
  <c r="V10" i="2"/>
  <c r="AR85" i="2" l="1"/>
  <c r="V115" i="2"/>
  <c r="BD115" i="2" s="1"/>
  <c r="BD94" i="2"/>
  <c r="AR13" i="2"/>
  <c r="BD13" i="2"/>
  <c r="V118" i="2"/>
  <c r="BD118" i="2" s="1"/>
  <c r="BD97" i="2"/>
  <c r="AR14" i="2"/>
  <c r="BD14" i="2"/>
  <c r="V119" i="2"/>
  <c r="BD119" i="2" s="1"/>
  <c r="BD98" i="2"/>
  <c r="AR12" i="2"/>
  <c r="BD12" i="2"/>
  <c r="AR10" i="2"/>
  <c r="BD10" i="2"/>
  <c r="V116" i="2"/>
  <c r="BD116" i="2" s="1"/>
  <c r="BD95" i="2"/>
  <c r="AR11" i="2"/>
  <c r="BD11" i="2"/>
  <c r="V117" i="2"/>
  <c r="BD117" i="2" s="1"/>
  <c r="BD96" i="2"/>
  <c r="V71" i="2"/>
  <c r="BD71" i="2" s="1"/>
  <c r="AR57" i="2"/>
  <c r="AR50" i="2"/>
  <c r="AR43" i="2"/>
  <c r="AR29" i="2"/>
  <c r="AR64" i="2"/>
  <c r="AR36" i="2"/>
  <c r="V99" i="2"/>
  <c r="BD99" i="2" s="1"/>
  <c r="V21" i="2"/>
  <c r="BD21" i="2" s="1"/>
  <c r="V20" i="2"/>
  <c r="BD20" i="2" s="1"/>
  <c r="V19" i="2"/>
  <c r="BD19" i="2" s="1"/>
  <c r="V18" i="2"/>
  <c r="BD18" i="2" s="1"/>
  <c r="V17" i="2"/>
  <c r="BD17" i="2" s="1"/>
  <c r="V43" i="2"/>
  <c r="BD43" i="2" s="1"/>
  <c r="V15" i="2"/>
  <c r="BD15" i="2" s="1"/>
  <c r="V36" i="2"/>
  <c r="BD36" i="2" s="1"/>
  <c r="V29" i="2"/>
  <c r="BD29" i="2" s="1"/>
  <c r="AR15" i="2" l="1"/>
  <c r="V120" i="2"/>
  <c r="BD120" i="2" s="1"/>
  <c r="V22" i="2"/>
  <c r="BD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Q81" i="2"/>
  <c r="AQ82" i="2"/>
  <c r="AQ83" i="2"/>
  <c r="AQ84" i="2"/>
  <c r="AQ80" i="2"/>
  <c r="AP45" i="2"/>
  <c r="AQ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C95" i="2" s="1"/>
  <c r="U96" i="2"/>
  <c r="BC96" i="2" s="1"/>
  <c r="U97" i="2"/>
  <c r="BC97" i="2" s="1"/>
  <c r="U98" i="2"/>
  <c r="BC98" i="2" s="1"/>
  <c r="U94" i="2"/>
  <c r="BC94" i="2" s="1"/>
  <c r="U99" i="2" l="1"/>
  <c r="BC99" i="2" s="1"/>
  <c r="U77" i="2"/>
  <c r="BC77" i="2" s="1"/>
  <c r="U76" i="2"/>
  <c r="BC76" i="2" s="1"/>
  <c r="U75" i="2"/>
  <c r="BC75" i="2" s="1"/>
  <c r="U74" i="2"/>
  <c r="BC74" i="2" s="1"/>
  <c r="U73" i="2"/>
  <c r="BC73" i="2" s="1"/>
  <c r="U14" i="2" l="1"/>
  <c r="BC14" i="2" s="1"/>
  <c r="U13" i="2"/>
  <c r="BC13" i="2" s="1"/>
  <c r="U10" i="2"/>
  <c r="BC10" i="2" s="1"/>
  <c r="U12" i="2"/>
  <c r="BC12" i="2" s="1"/>
  <c r="U11" i="2"/>
  <c r="AQ11" i="2" l="1"/>
  <c r="BC11" i="2"/>
  <c r="U21" i="2"/>
  <c r="BC21" i="2" s="1"/>
  <c r="U20" i="2"/>
  <c r="BC20" i="2" s="1"/>
  <c r="U19" i="2"/>
  <c r="BC19" i="2" s="1"/>
  <c r="U18" i="2"/>
  <c r="BC18" i="2" s="1"/>
  <c r="U17" i="2"/>
  <c r="BC17" i="2" s="1"/>
  <c r="AA125" i="3" l="1"/>
  <c r="AA124" i="3"/>
  <c r="AA123" i="3"/>
  <c r="AA122" i="3"/>
  <c r="AA78" i="3"/>
  <c r="Z78" i="3"/>
  <c r="AA68" i="3"/>
  <c r="AA66" i="3"/>
  <c r="AA70" i="3"/>
  <c r="AA69" i="3"/>
  <c r="AA67" i="3"/>
  <c r="U85" i="2"/>
  <c r="BC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U64" i="2"/>
  <c r="BU63" i="2"/>
  <c r="BT64" i="2"/>
  <c r="BT63" i="2"/>
  <c r="T80" i="2"/>
  <c r="BB80" i="2" s="1"/>
  <c r="T82" i="2"/>
  <c r="BB82" i="2" s="1"/>
  <c r="T84" i="2"/>
  <c r="BB84" i="2" s="1"/>
  <c r="T83" i="2"/>
  <c r="BB83" i="2" s="1"/>
  <c r="T81" i="2"/>
  <c r="BB81" i="2" s="1"/>
  <c r="T77" i="2"/>
  <c r="BB77" i="2" s="1"/>
  <c r="T76" i="2"/>
  <c r="BB76" i="2" s="1"/>
  <c r="T75" i="2"/>
  <c r="BB75" i="2" s="1"/>
  <c r="T74" i="2"/>
  <c r="BB74" i="2" s="1"/>
  <c r="T73" i="2"/>
  <c r="BB73" i="2" s="1"/>
  <c r="BV63" i="2" l="1"/>
  <c r="BW63" i="2" s="1"/>
  <c r="BV64" i="2"/>
  <c r="BW64" i="2" s="1"/>
  <c r="T21" i="2"/>
  <c r="BB21" i="2" s="1"/>
  <c r="T20" i="2"/>
  <c r="BB20" i="2" s="1"/>
  <c r="T19" i="2"/>
  <c r="BB19" i="2" s="1"/>
  <c r="T18" i="2"/>
  <c r="BB18" i="2" s="1"/>
  <c r="T17" i="2"/>
  <c r="BB17" i="2" s="1"/>
  <c r="T14" i="2"/>
  <c r="BB14" i="2" s="1"/>
  <c r="T13" i="2"/>
  <c r="BB13" i="2" s="1"/>
  <c r="T12" i="2"/>
  <c r="BB12" i="2" s="1"/>
  <c r="T11" i="2"/>
  <c r="T10" i="2"/>
  <c r="BB10" i="2" s="1"/>
  <c r="AP11" i="2" l="1"/>
  <c r="BB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U60" i="2" l="1"/>
  <c r="BU59" i="2"/>
  <c r="BT60" i="2"/>
  <c r="BT59" i="2"/>
  <c r="BT56" i="2"/>
  <c r="S77" i="2"/>
  <c r="BA77" i="2" s="1"/>
  <c r="S76" i="2"/>
  <c r="BA76" i="2" s="1"/>
  <c r="S75" i="2"/>
  <c r="BA75" i="2" s="1"/>
  <c r="S73" i="2"/>
  <c r="BA73" i="2" s="1"/>
  <c r="S74" i="2"/>
  <c r="BA74" i="2" s="1"/>
  <c r="BV59" i="2" l="1"/>
  <c r="BW59" i="2" s="1"/>
  <c r="BV60" i="2"/>
  <c r="BW60" i="2" s="1"/>
  <c r="S84" i="2"/>
  <c r="BA84" i="2" s="1"/>
  <c r="S83" i="2"/>
  <c r="BA83" i="2" s="1"/>
  <c r="S82" i="2"/>
  <c r="BA82" i="2" s="1"/>
  <c r="S81" i="2"/>
  <c r="BA81" i="2" s="1"/>
  <c r="S80" i="2"/>
  <c r="BA80" i="2" s="1"/>
  <c r="S14" i="2"/>
  <c r="BA14" i="2" s="1"/>
  <c r="S13" i="2"/>
  <c r="BA13" i="2" s="1"/>
  <c r="S12" i="2"/>
  <c r="BA12" i="2" s="1"/>
  <c r="S11" i="2"/>
  <c r="S10" i="2"/>
  <c r="BA10" i="2" s="1"/>
  <c r="AO11" i="2" l="1"/>
  <c r="BA11" i="2"/>
  <c r="S21" i="2"/>
  <c r="BA21" i="2" s="1"/>
  <c r="S20" i="2"/>
  <c r="BA20" i="2" s="1"/>
  <c r="S19" i="2"/>
  <c r="BA19" i="2" s="1"/>
  <c r="S18" i="2"/>
  <c r="BA18" i="2" s="1"/>
  <c r="S17" i="2"/>
  <c r="BA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U56" i="2" l="1"/>
  <c r="BV56" i="2" s="1"/>
  <c r="BW56" i="2" s="1"/>
  <c r="BU55" i="2"/>
  <c r="BT55" i="2"/>
  <c r="BT51" i="2"/>
  <c r="R73" i="2"/>
  <c r="AZ73" i="2" s="1"/>
  <c r="R77" i="2"/>
  <c r="AZ77" i="2" s="1"/>
  <c r="R76" i="2"/>
  <c r="AZ76" i="2" s="1"/>
  <c r="R75" i="2"/>
  <c r="AZ75" i="2" s="1"/>
  <c r="R74" i="2"/>
  <c r="AZ74" i="2" s="1"/>
  <c r="BV55" i="2" l="1"/>
  <c r="BW55" i="2" s="1"/>
  <c r="R84" i="2"/>
  <c r="AZ84" i="2" s="1"/>
  <c r="R83" i="2"/>
  <c r="AZ83" i="2" s="1"/>
  <c r="R82" i="2"/>
  <c r="AZ82" i="2" s="1"/>
  <c r="R81" i="2"/>
  <c r="AZ81" i="2" s="1"/>
  <c r="R80" i="2"/>
  <c r="AZ80" i="2" s="1"/>
  <c r="R14" i="2"/>
  <c r="AZ14" i="2" s="1"/>
  <c r="R13" i="2"/>
  <c r="AZ13" i="2" s="1"/>
  <c r="R12" i="2"/>
  <c r="AZ12" i="2" s="1"/>
  <c r="R11" i="2"/>
  <c r="R10" i="2"/>
  <c r="AZ10" i="2" s="1"/>
  <c r="AN11" i="2" l="1"/>
  <c r="AZ11" i="2"/>
  <c r="R21" i="2"/>
  <c r="AZ21" i="2" s="1"/>
  <c r="R20" i="2"/>
  <c r="AZ20" i="2" s="1"/>
  <c r="R19" i="2"/>
  <c r="AZ19" i="2" s="1"/>
  <c r="R18" i="2"/>
  <c r="AZ18" i="2" s="1"/>
  <c r="R17" i="2"/>
  <c r="AZ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U52" i="2" l="1"/>
  <c r="BT52" i="2"/>
  <c r="BU51" i="2"/>
  <c r="BV51" i="2" s="1"/>
  <c r="BW51" i="2" s="1"/>
  <c r="BV52" i="2" l="1"/>
  <c r="BW52" i="2" s="1"/>
  <c r="J68" i="3" l="1"/>
  <c r="J67" i="3"/>
  <c r="J66" i="3"/>
  <c r="J70" i="3"/>
  <c r="J69" i="3"/>
  <c r="J14" i="3"/>
  <c r="J13" i="3"/>
  <c r="J12" i="3"/>
  <c r="J11" i="3"/>
  <c r="J10" i="3"/>
  <c r="Q14" i="2" l="1"/>
  <c r="AY14" i="2" s="1"/>
  <c r="Q13" i="2"/>
  <c r="AY13" i="2" s="1"/>
  <c r="Q12" i="2"/>
  <c r="AY12" i="2" s="1"/>
  <c r="Q11" i="2"/>
  <c r="Q10" i="2"/>
  <c r="AY10" i="2" s="1"/>
  <c r="AM11" i="2" l="1"/>
  <c r="AY11" i="2"/>
  <c r="Q21" i="2"/>
  <c r="AY21" i="2" s="1"/>
  <c r="Q20" i="2"/>
  <c r="AY20" i="2" s="1"/>
  <c r="Q19" i="2"/>
  <c r="AY19" i="2" s="1"/>
  <c r="Q18" i="2"/>
  <c r="AY18" i="2" s="1"/>
  <c r="Q17" i="2"/>
  <c r="AY17" i="2" s="1"/>
  <c r="Q77" i="2"/>
  <c r="AY77" i="2" s="1"/>
  <c r="Q76" i="2"/>
  <c r="AY76" i="2" s="1"/>
  <c r="Q75" i="2"/>
  <c r="AY75" i="2" s="1"/>
  <c r="Q74" i="2"/>
  <c r="AY74" i="2" s="1"/>
  <c r="Q73" i="2"/>
  <c r="AY73" i="2" s="1"/>
  <c r="Q84" i="2" l="1"/>
  <c r="AY84" i="2" s="1"/>
  <c r="Q83" i="2"/>
  <c r="AY83" i="2" s="1"/>
  <c r="Q82" i="2"/>
  <c r="AY82" i="2" s="1"/>
  <c r="Q81" i="2"/>
  <c r="AY81" i="2" s="1"/>
  <c r="Q80" i="2"/>
  <c r="AY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X84" i="2" s="1"/>
  <c r="P83" i="2"/>
  <c r="AX83" i="2" s="1"/>
  <c r="P82" i="2"/>
  <c r="AX82" i="2" s="1"/>
  <c r="P81" i="2"/>
  <c r="AX81" i="2" s="1"/>
  <c r="P80" i="2"/>
  <c r="AX80" i="2" s="1"/>
  <c r="P77" i="2" l="1"/>
  <c r="AX77" i="2" s="1"/>
  <c r="P76" i="2"/>
  <c r="AX76" i="2" s="1"/>
  <c r="P75" i="2"/>
  <c r="AX75" i="2" s="1"/>
  <c r="P74" i="2"/>
  <c r="AX74" i="2" s="1"/>
  <c r="P73" i="2"/>
  <c r="AX73" i="2" s="1"/>
  <c r="P20" i="2" l="1"/>
  <c r="AX20" i="2" s="1"/>
  <c r="P19" i="2"/>
  <c r="AX19" i="2" s="1"/>
  <c r="P18" i="2"/>
  <c r="AX18" i="2" s="1"/>
  <c r="P17" i="2"/>
  <c r="AX17" i="2" s="1"/>
  <c r="P21" i="2"/>
  <c r="AX21" i="2" s="1"/>
  <c r="P10" i="2"/>
  <c r="AX10" i="2" s="1"/>
  <c r="P12" i="2"/>
  <c r="AX12" i="2" s="1"/>
  <c r="P14" i="2"/>
  <c r="AX14" i="2" s="1"/>
  <c r="P13" i="2"/>
  <c r="AX13" i="2" s="1"/>
  <c r="P11" i="2"/>
  <c r="AL11" i="2" l="1"/>
  <c r="AX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T21" i="2" s="1"/>
  <c r="L20" i="2"/>
  <c r="AT20" i="2" s="1"/>
  <c r="L19" i="2"/>
  <c r="AT19" i="2" s="1"/>
  <c r="L18" i="2"/>
  <c r="AT18" i="2" s="1"/>
  <c r="L17" i="2"/>
  <c r="AT17" i="2" s="1"/>
  <c r="K21" i="2"/>
  <c r="AS21" i="2" s="1"/>
  <c r="K20" i="2"/>
  <c r="AS20" i="2" s="1"/>
  <c r="K19" i="2"/>
  <c r="AS19" i="2" s="1"/>
  <c r="K18" i="2"/>
  <c r="AS18" i="2" s="1"/>
  <c r="K17" i="2"/>
  <c r="AS17" i="2" s="1"/>
  <c r="J21" i="2"/>
  <c r="AR21" i="2" s="1"/>
  <c r="J20" i="2"/>
  <c r="AR20" i="2" s="1"/>
  <c r="J19" i="2"/>
  <c r="AR19" i="2" s="1"/>
  <c r="J18" i="2"/>
  <c r="AR18" i="2" s="1"/>
  <c r="J17" i="2"/>
  <c r="AR17" i="2" s="1"/>
  <c r="I21" i="2"/>
  <c r="I20" i="2"/>
  <c r="I19" i="2"/>
  <c r="I18" i="2"/>
  <c r="AQ18" i="2" s="1"/>
  <c r="I17" i="2"/>
  <c r="H21" i="2"/>
  <c r="H20" i="2"/>
  <c r="H19" i="2"/>
  <c r="H18" i="2"/>
  <c r="AP18" i="2" s="1"/>
  <c r="H17" i="2"/>
  <c r="G21" i="2"/>
  <c r="G20" i="2"/>
  <c r="G19" i="2"/>
  <c r="G18" i="2"/>
  <c r="AO18" i="2" s="1"/>
  <c r="G17" i="2"/>
  <c r="F21" i="2"/>
  <c r="F20" i="2"/>
  <c r="F19" i="2"/>
  <c r="F18" i="2"/>
  <c r="AN18" i="2" s="1"/>
  <c r="F17" i="2"/>
  <c r="E20" i="2"/>
  <c r="E19" i="2"/>
  <c r="E18" i="2"/>
  <c r="AM18" i="2" s="1"/>
  <c r="E17" i="2"/>
  <c r="E21" i="2"/>
  <c r="D21" i="2"/>
  <c r="D20" i="2"/>
  <c r="D19" i="2"/>
  <c r="D18" i="2"/>
  <c r="AL18" i="2" s="1"/>
  <c r="D17" i="2"/>
  <c r="C21" i="2"/>
  <c r="C20" i="2"/>
  <c r="C19" i="2"/>
  <c r="C18" i="2"/>
  <c r="C17" i="2"/>
  <c r="AT22" i="2" l="1"/>
  <c r="AS22" i="2"/>
  <c r="AR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W20" i="2" s="1"/>
  <c r="O19" i="2"/>
  <c r="O18" i="2"/>
  <c r="O17" i="2"/>
  <c r="N21" i="2"/>
  <c r="AV21" i="2" s="1"/>
  <c r="N20" i="2"/>
  <c r="AV20" i="2" s="1"/>
  <c r="N19" i="2"/>
  <c r="AV19" i="2" s="1"/>
  <c r="N18" i="2"/>
  <c r="AV18" i="2" s="1"/>
  <c r="N17" i="2"/>
  <c r="AV17" i="2" s="1"/>
  <c r="M21" i="2"/>
  <c r="AU21" i="2" s="1"/>
  <c r="M20" i="2"/>
  <c r="AU20" i="2" s="1"/>
  <c r="M19" i="2"/>
  <c r="AU19" i="2" s="1"/>
  <c r="M18" i="2"/>
  <c r="AU18" i="2" s="1"/>
  <c r="M17" i="2"/>
  <c r="AU17" i="2" s="1"/>
  <c r="AK21" i="2" l="1"/>
  <c r="AW21" i="2"/>
  <c r="AK20" i="2"/>
  <c r="AK17" i="2"/>
  <c r="AW17" i="2"/>
  <c r="AK18" i="2"/>
  <c r="AW18" i="2"/>
  <c r="AK19" i="2"/>
  <c r="AW19" i="2"/>
  <c r="G99" i="3"/>
  <c r="R99" i="3"/>
  <c r="E99" i="3"/>
  <c r="P99" i="3"/>
  <c r="F99" i="3"/>
  <c r="D99" i="3"/>
  <c r="H99" i="3"/>
  <c r="H67" i="2"/>
  <c r="G67" i="2"/>
  <c r="H66" i="2"/>
  <c r="AK22" i="2" l="1"/>
  <c r="U70" i="2"/>
  <c r="BC70" i="2" s="1"/>
  <c r="D70" i="2"/>
  <c r="E70" i="2"/>
  <c r="F70" i="2"/>
  <c r="G70" i="2"/>
  <c r="H70" i="2"/>
  <c r="I70" i="2"/>
  <c r="J70" i="2"/>
  <c r="AR70" i="2" s="1"/>
  <c r="K70" i="2"/>
  <c r="AS70" i="2" s="1"/>
  <c r="L70" i="2"/>
  <c r="AT70" i="2" s="1"/>
  <c r="M70" i="2"/>
  <c r="AU70" i="2" s="1"/>
  <c r="N70" i="2"/>
  <c r="AV70" i="2" s="1"/>
  <c r="O70" i="2"/>
  <c r="AW70" i="2" s="1"/>
  <c r="P70" i="2"/>
  <c r="AX70" i="2" s="1"/>
  <c r="Q70" i="2"/>
  <c r="AY70" i="2" s="1"/>
  <c r="R70" i="2"/>
  <c r="AZ70" i="2" s="1"/>
  <c r="S70" i="2"/>
  <c r="BA70" i="2" s="1"/>
  <c r="T70" i="2"/>
  <c r="BB70" i="2" s="1"/>
  <c r="D69" i="2"/>
  <c r="E69" i="2"/>
  <c r="F69" i="2"/>
  <c r="G69" i="2"/>
  <c r="H69" i="2"/>
  <c r="I69" i="2"/>
  <c r="J69" i="2"/>
  <c r="AR69" i="2" s="1"/>
  <c r="K69" i="2"/>
  <c r="AS69" i="2" s="1"/>
  <c r="L69" i="2"/>
  <c r="AT69" i="2" s="1"/>
  <c r="M69" i="2"/>
  <c r="AU69" i="2" s="1"/>
  <c r="N69" i="2"/>
  <c r="AV69" i="2" s="1"/>
  <c r="O69" i="2"/>
  <c r="AW69" i="2" s="1"/>
  <c r="P69" i="2"/>
  <c r="AX69" i="2" s="1"/>
  <c r="Q69" i="2"/>
  <c r="AY69" i="2" s="1"/>
  <c r="R69" i="2"/>
  <c r="AZ69" i="2" s="1"/>
  <c r="S69" i="2"/>
  <c r="BA69" i="2" s="1"/>
  <c r="T69" i="2"/>
  <c r="BB69" i="2" s="1"/>
  <c r="U69" i="2"/>
  <c r="BC69" i="2" s="1"/>
  <c r="D68" i="2"/>
  <c r="E68" i="2"/>
  <c r="F68" i="2"/>
  <c r="G68" i="2"/>
  <c r="H68" i="2"/>
  <c r="I68" i="2"/>
  <c r="J68" i="2"/>
  <c r="AR68" i="2" s="1"/>
  <c r="K68" i="2"/>
  <c r="AS68" i="2" s="1"/>
  <c r="L68" i="2"/>
  <c r="AT68" i="2" s="1"/>
  <c r="M68" i="2"/>
  <c r="AU68" i="2" s="1"/>
  <c r="N68" i="2"/>
  <c r="AV68" i="2" s="1"/>
  <c r="O68" i="2"/>
  <c r="P68" i="2"/>
  <c r="AX68" i="2" s="1"/>
  <c r="Q68" i="2"/>
  <c r="AY68" i="2" s="1"/>
  <c r="R68" i="2"/>
  <c r="AZ68" i="2" s="1"/>
  <c r="S68" i="2"/>
  <c r="BA68" i="2" s="1"/>
  <c r="T68" i="2"/>
  <c r="BB68" i="2" s="1"/>
  <c r="U68" i="2"/>
  <c r="BC68" i="2" s="1"/>
  <c r="C70" i="2"/>
  <c r="C69" i="2"/>
  <c r="C68" i="2"/>
  <c r="D67" i="2"/>
  <c r="E67" i="2"/>
  <c r="F67" i="2"/>
  <c r="I67" i="2"/>
  <c r="J67" i="2"/>
  <c r="AR67" i="2" s="1"/>
  <c r="K67" i="2"/>
  <c r="AS67" i="2" s="1"/>
  <c r="L67" i="2"/>
  <c r="AT67" i="2" s="1"/>
  <c r="M67" i="2"/>
  <c r="AU67" i="2" s="1"/>
  <c r="N67" i="2"/>
  <c r="AV67" i="2" s="1"/>
  <c r="O67" i="2"/>
  <c r="P67" i="2"/>
  <c r="AX67" i="2" s="1"/>
  <c r="Q67" i="2"/>
  <c r="AY67" i="2" s="1"/>
  <c r="R67" i="2"/>
  <c r="AZ67" i="2" s="1"/>
  <c r="S67" i="2"/>
  <c r="T67" i="2"/>
  <c r="U67" i="2"/>
  <c r="BC67" i="2" s="1"/>
  <c r="C67" i="2"/>
  <c r="D66" i="2"/>
  <c r="C66" i="2"/>
  <c r="F66" i="2"/>
  <c r="G66" i="2"/>
  <c r="I66" i="2"/>
  <c r="J66" i="2"/>
  <c r="AR66" i="2" s="1"/>
  <c r="K66" i="2"/>
  <c r="AS66" i="2" s="1"/>
  <c r="L66" i="2"/>
  <c r="AT66" i="2" s="1"/>
  <c r="M66" i="2"/>
  <c r="AU66" i="2" s="1"/>
  <c r="N66" i="2"/>
  <c r="AV66" i="2" s="1"/>
  <c r="O66" i="2"/>
  <c r="P66" i="2"/>
  <c r="AX66" i="2" s="1"/>
  <c r="Q66" i="2"/>
  <c r="AY66" i="2" s="1"/>
  <c r="R66" i="2"/>
  <c r="AZ66" i="2" s="1"/>
  <c r="S66" i="2"/>
  <c r="BA66" i="2" s="1"/>
  <c r="T66" i="2"/>
  <c r="BB66" i="2" s="1"/>
  <c r="U66" i="2"/>
  <c r="BC66" i="2" s="1"/>
  <c r="E66" i="2"/>
  <c r="AQ67" i="2" l="1"/>
  <c r="AP67" i="2"/>
  <c r="BB67" i="2"/>
  <c r="AO67" i="2"/>
  <c r="BA67" i="2"/>
  <c r="AR71" i="2"/>
  <c r="AK68" i="2"/>
  <c r="AW68" i="2"/>
  <c r="AK66" i="2"/>
  <c r="AW66" i="2"/>
  <c r="AK67" i="2"/>
  <c r="AW67" i="2"/>
  <c r="AT71" i="2"/>
  <c r="AN67" i="2"/>
  <c r="AM67" i="2"/>
  <c r="AL67" i="2"/>
  <c r="AS71" i="2"/>
  <c r="AK70" i="2"/>
  <c r="AK69" i="2"/>
  <c r="N78" i="2"/>
  <c r="AV78" i="2" s="1"/>
  <c r="M78" i="2"/>
  <c r="AU78" i="2" s="1"/>
  <c r="AK71" i="2" l="1"/>
  <c r="I78" i="2"/>
  <c r="D78" i="2" l="1"/>
  <c r="AL88" i="2" l="1"/>
  <c r="AM88" i="2"/>
  <c r="AN88" i="2"/>
  <c r="AO88" i="2"/>
  <c r="AP88" i="2"/>
  <c r="AQ88" i="2"/>
  <c r="AL89" i="2"/>
  <c r="AM89" i="2"/>
  <c r="AN89" i="2"/>
  <c r="AO89" i="2"/>
  <c r="AP89" i="2"/>
  <c r="AQ89" i="2"/>
  <c r="AL90" i="2"/>
  <c r="AM90" i="2"/>
  <c r="AN90" i="2"/>
  <c r="AO90" i="2"/>
  <c r="AP90" i="2"/>
  <c r="AQ90" i="2"/>
  <c r="AL91" i="2"/>
  <c r="AM91" i="2"/>
  <c r="AN91" i="2"/>
  <c r="AO91" i="2"/>
  <c r="AP91" i="2"/>
  <c r="AQ91" i="2"/>
  <c r="AQ87" i="2"/>
  <c r="AP87" i="2"/>
  <c r="AO87" i="2"/>
  <c r="AN87" i="2"/>
  <c r="AM87" i="2"/>
  <c r="AL87" i="2"/>
  <c r="AL81" i="2"/>
  <c r="AM81" i="2"/>
  <c r="AN81" i="2"/>
  <c r="AO81" i="2"/>
  <c r="AP81" i="2"/>
  <c r="AL82" i="2"/>
  <c r="AM82" i="2"/>
  <c r="AN82" i="2"/>
  <c r="AO82" i="2"/>
  <c r="AP82" i="2"/>
  <c r="AL83" i="2"/>
  <c r="AM83" i="2"/>
  <c r="AN83" i="2"/>
  <c r="AO83" i="2"/>
  <c r="AP83" i="2"/>
  <c r="AL84" i="2"/>
  <c r="AM84" i="2"/>
  <c r="AN84" i="2"/>
  <c r="AO84" i="2"/>
  <c r="AP84" i="2"/>
  <c r="AP80" i="2"/>
  <c r="AO80" i="2"/>
  <c r="AN80" i="2"/>
  <c r="AM80" i="2"/>
  <c r="AL80" i="2"/>
  <c r="AL74" i="2"/>
  <c r="AM74" i="2"/>
  <c r="AN74" i="2"/>
  <c r="AO74" i="2"/>
  <c r="AP74" i="2"/>
  <c r="AQ74" i="2"/>
  <c r="AL75" i="2"/>
  <c r="AM75" i="2"/>
  <c r="AN75" i="2"/>
  <c r="AO75" i="2"/>
  <c r="AP75" i="2"/>
  <c r="AQ75" i="2"/>
  <c r="AL76" i="2"/>
  <c r="AM76" i="2"/>
  <c r="AN76" i="2"/>
  <c r="AO76" i="2"/>
  <c r="AP76" i="2"/>
  <c r="AQ76" i="2"/>
  <c r="AL77" i="2"/>
  <c r="AM77" i="2"/>
  <c r="AN77" i="2"/>
  <c r="AO77" i="2"/>
  <c r="AP77" i="2"/>
  <c r="AQ77" i="2"/>
  <c r="AQ73" i="2"/>
  <c r="AP73" i="2"/>
  <c r="AO73" i="2"/>
  <c r="AN73" i="2"/>
  <c r="AM73" i="2"/>
  <c r="AL73" i="2"/>
  <c r="AL68" i="2"/>
  <c r="AM68" i="2"/>
  <c r="AN68" i="2"/>
  <c r="AO68" i="2"/>
  <c r="AP68" i="2"/>
  <c r="AQ68" i="2"/>
  <c r="AL69" i="2"/>
  <c r="AM69" i="2"/>
  <c r="AN69" i="2"/>
  <c r="AO69" i="2"/>
  <c r="AP69" i="2"/>
  <c r="AQ69" i="2"/>
  <c r="AL70" i="2"/>
  <c r="AM70" i="2"/>
  <c r="AN70" i="2"/>
  <c r="AO70" i="2"/>
  <c r="AP70" i="2"/>
  <c r="AQ70" i="2"/>
  <c r="AQ66" i="2"/>
  <c r="AP66" i="2"/>
  <c r="AO66" i="2"/>
  <c r="AN66" i="2"/>
  <c r="AM66" i="2"/>
  <c r="AL66" i="2"/>
  <c r="AL61" i="2"/>
  <c r="AM61" i="2"/>
  <c r="AN61" i="2"/>
  <c r="AO61" i="2"/>
  <c r="AP61" i="2"/>
  <c r="AQ61" i="2"/>
  <c r="AL62" i="2"/>
  <c r="AM62" i="2"/>
  <c r="AN62" i="2"/>
  <c r="AO62" i="2"/>
  <c r="AP62" i="2"/>
  <c r="AQ62" i="2"/>
  <c r="AL63" i="2"/>
  <c r="AM63" i="2"/>
  <c r="AN63" i="2"/>
  <c r="AO63" i="2"/>
  <c r="AP63" i="2"/>
  <c r="AQ63" i="2"/>
  <c r="AQ59" i="2"/>
  <c r="AP59" i="2"/>
  <c r="AO59" i="2"/>
  <c r="AN59" i="2"/>
  <c r="AM59" i="2"/>
  <c r="AL59" i="2"/>
  <c r="AL54" i="2"/>
  <c r="AM54" i="2"/>
  <c r="AN54" i="2"/>
  <c r="AO54" i="2"/>
  <c r="AP54" i="2"/>
  <c r="AQ54" i="2"/>
  <c r="AL55" i="2"/>
  <c r="AM55" i="2"/>
  <c r="AN55" i="2"/>
  <c r="AO55" i="2"/>
  <c r="AP55" i="2"/>
  <c r="AQ55" i="2"/>
  <c r="AL56" i="2"/>
  <c r="AM56" i="2"/>
  <c r="AN56" i="2"/>
  <c r="AO56" i="2"/>
  <c r="AP56" i="2"/>
  <c r="AQ56" i="2"/>
  <c r="AQ52" i="2"/>
  <c r="AP52" i="2"/>
  <c r="AO52" i="2"/>
  <c r="AN52" i="2"/>
  <c r="AM52" i="2"/>
  <c r="AL52" i="2"/>
  <c r="AL47" i="2"/>
  <c r="AM47" i="2"/>
  <c r="AN47" i="2"/>
  <c r="AO47" i="2"/>
  <c r="AP47" i="2"/>
  <c r="AQ47" i="2"/>
  <c r="AL48" i="2"/>
  <c r="AM48" i="2"/>
  <c r="AN48" i="2"/>
  <c r="AO48" i="2"/>
  <c r="AP48" i="2"/>
  <c r="AQ48" i="2"/>
  <c r="AL49" i="2"/>
  <c r="AM49" i="2"/>
  <c r="AN49" i="2"/>
  <c r="AO49" i="2"/>
  <c r="AP49" i="2"/>
  <c r="AQ49" i="2"/>
  <c r="AQ45" i="2"/>
  <c r="AO45" i="2"/>
  <c r="AN45" i="2"/>
  <c r="AM45" i="2"/>
  <c r="AL45" i="2"/>
  <c r="AL40" i="2"/>
  <c r="AM40" i="2"/>
  <c r="AN40" i="2"/>
  <c r="AO40" i="2"/>
  <c r="AP40" i="2"/>
  <c r="AQ40" i="2"/>
  <c r="AL41" i="2"/>
  <c r="AM41" i="2"/>
  <c r="AN41" i="2"/>
  <c r="AO41" i="2"/>
  <c r="AP41" i="2"/>
  <c r="AQ41" i="2"/>
  <c r="AL42" i="2"/>
  <c r="AM42" i="2"/>
  <c r="AN42" i="2"/>
  <c r="AO42" i="2"/>
  <c r="AP42" i="2"/>
  <c r="AQ42" i="2"/>
  <c r="AQ38" i="2"/>
  <c r="AP38" i="2"/>
  <c r="AO38" i="2"/>
  <c r="AN38" i="2"/>
  <c r="AM38" i="2"/>
  <c r="AL38" i="2"/>
  <c r="AL33" i="2"/>
  <c r="AM33" i="2"/>
  <c r="AN33" i="2"/>
  <c r="AO33" i="2"/>
  <c r="AP33" i="2"/>
  <c r="AQ33" i="2"/>
  <c r="AL34" i="2"/>
  <c r="AM34" i="2"/>
  <c r="AN34" i="2"/>
  <c r="AO34" i="2"/>
  <c r="AP34" i="2"/>
  <c r="AQ34" i="2"/>
  <c r="AL35" i="2"/>
  <c r="AM35" i="2"/>
  <c r="AN35" i="2"/>
  <c r="AO35" i="2"/>
  <c r="AP35" i="2"/>
  <c r="AQ35" i="2"/>
  <c r="AQ31" i="2"/>
  <c r="AP31" i="2"/>
  <c r="AO31" i="2"/>
  <c r="AN31" i="2"/>
  <c r="AM31" i="2"/>
  <c r="AL31" i="2"/>
  <c r="AL26" i="2"/>
  <c r="AM26" i="2"/>
  <c r="AN26" i="2"/>
  <c r="AO26" i="2"/>
  <c r="AP26" i="2"/>
  <c r="AQ26" i="2"/>
  <c r="AL27" i="2"/>
  <c r="AM27" i="2"/>
  <c r="AN27" i="2"/>
  <c r="AO27" i="2"/>
  <c r="AP27" i="2"/>
  <c r="AQ27" i="2"/>
  <c r="AL28" i="2"/>
  <c r="AM28" i="2"/>
  <c r="AN28" i="2"/>
  <c r="AO28" i="2"/>
  <c r="AP28" i="2"/>
  <c r="AQ28" i="2"/>
  <c r="AQ24" i="2"/>
  <c r="AP24" i="2"/>
  <c r="AO24" i="2"/>
  <c r="AN24" i="2"/>
  <c r="AM24" i="2"/>
  <c r="AL24" i="2"/>
  <c r="E29" i="2"/>
  <c r="F29" i="2"/>
  <c r="G29" i="2"/>
  <c r="H29" i="2"/>
  <c r="I29" i="2"/>
  <c r="J29" i="2"/>
  <c r="K29" i="2"/>
  <c r="L29" i="2"/>
  <c r="M29" i="2"/>
  <c r="AU29" i="2" s="1"/>
  <c r="N29" i="2"/>
  <c r="AV29" i="2" s="1"/>
  <c r="O29" i="2"/>
  <c r="AW29" i="2" s="1"/>
  <c r="P29" i="2"/>
  <c r="AX29" i="2" s="1"/>
  <c r="Q29" i="2"/>
  <c r="AY29" i="2" s="1"/>
  <c r="R29" i="2"/>
  <c r="AZ29" i="2" s="1"/>
  <c r="S29" i="2"/>
  <c r="BA29" i="2" s="1"/>
  <c r="T29" i="2"/>
  <c r="BB29" i="2" s="1"/>
  <c r="U29" i="2"/>
  <c r="BC29" i="2" s="1"/>
  <c r="E36" i="2"/>
  <c r="F36" i="2"/>
  <c r="G36" i="2"/>
  <c r="H36" i="2"/>
  <c r="I36" i="2"/>
  <c r="J36" i="2"/>
  <c r="K36" i="2"/>
  <c r="L36" i="2"/>
  <c r="M36" i="2"/>
  <c r="AU36" i="2" s="1"/>
  <c r="N36" i="2"/>
  <c r="AV36" i="2" s="1"/>
  <c r="O36" i="2"/>
  <c r="AW36" i="2" s="1"/>
  <c r="P36" i="2"/>
  <c r="AX36" i="2" s="1"/>
  <c r="Q36" i="2"/>
  <c r="AY36" i="2" s="1"/>
  <c r="R36" i="2"/>
  <c r="AZ36" i="2" s="1"/>
  <c r="S36" i="2"/>
  <c r="BA36" i="2" s="1"/>
  <c r="T36" i="2"/>
  <c r="BB36" i="2" s="1"/>
  <c r="U36" i="2"/>
  <c r="BC36" i="2" s="1"/>
  <c r="E43" i="2"/>
  <c r="F43" i="2"/>
  <c r="G43" i="2"/>
  <c r="H43" i="2"/>
  <c r="I43" i="2"/>
  <c r="J43" i="2"/>
  <c r="K43" i="2"/>
  <c r="L43" i="2"/>
  <c r="M43" i="2"/>
  <c r="AU43" i="2" s="1"/>
  <c r="N43" i="2"/>
  <c r="AV43" i="2" s="1"/>
  <c r="O43" i="2"/>
  <c r="AW43" i="2" s="1"/>
  <c r="P43" i="2"/>
  <c r="AX43" i="2" s="1"/>
  <c r="Q43" i="2"/>
  <c r="AY43" i="2" s="1"/>
  <c r="R43" i="2"/>
  <c r="AZ43" i="2" s="1"/>
  <c r="S43" i="2"/>
  <c r="BA43" i="2" s="1"/>
  <c r="T43" i="2"/>
  <c r="BB43" i="2" s="1"/>
  <c r="U43" i="2"/>
  <c r="BC43" i="2" s="1"/>
  <c r="E50" i="2"/>
  <c r="F50" i="2"/>
  <c r="G50" i="2"/>
  <c r="H50" i="2"/>
  <c r="H57" i="2" s="1"/>
  <c r="I50" i="2"/>
  <c r="J50" i="2"/>
  <c r="K50" i="2"/>
  <c r="L50" i="2"/>
  <c r="M50" i="2"/>
  <c r="AU50" i="2" s="1"/>
  <c r="N50" i="2"/>
  <c r="AV50" i="2" s="1"/>
  <c r="O50" i="2"/>
  <c r="AW50" i="2" s="1"/>
  <c r="P50" i="2"/>
  <c r="AX50" i="2" s="1"/>
  <c r="Q50" i="2"/>
  <c r="AY50" i="2" s="1"/>
  <c r="R50" i="2"/>
  <c r="AZ50" i="2" s="1"/>
  <c r="S50" i="2"/>
  <c r="BA50" i="2" s="1"/>
  <c r="T50" i="2"/>
  <c r="BB50" i="2" s="1"/>
  <c r="U50" i="2"/>
  <c r="BC50" i="2" s="1"/>
  <c r="E57" i="2"/>
  <c r="F57" i="2"/>
  <c r="G57" i="2"/>
  <c r="I57" i="2"/>
  <c r="J57" i="2"/>
  <c r="K57" i="2"/>
  <c r="L57" i="2"/>
  <c r="M57" i="2"/>
  <c r="AU57" i="2" s="1"/>
  <c r="N57" i="2"/>
  <c r="AV57" i="2" s="1"/>
  <c r="O57" i="2"/>
  <c r="AW57" i="2" s="1"/>
  <c r="P57" i="2"/>
  <c r="AX57" i="2" s="1"/>
  <c r="Q57" i="2"/>
  <c r="AY57" i="2" s="1"/>
  <c r="R57" i="2"/>
  <c r="AZ57" i="2" s="1"/>
  <c r="S57" i="2"/>
  <c r="BA57" i="2" s="1"/>
  <c r="T57" i="2"/>
  <c r="BB57" i="2" s="1"/>
  <c r="U57" i="2"/>
  <c r="BC57" i="2" s="1"/>
  <c r="E64" i="2"/>
  <c r="F64" i="2"/>
  <c r="G64" i="2"/>
  <c r="H64" i="2"/>
  <c r="I64" i="2"/>
  <c r="J64" i="2"/>
  <c r="K64" i="2"/>
  <c r="L64" i="2"/>
  <c r="M64" i="2"/>
  <c r="AU64" i="2" s="1"/>
  <c r="N64" i="2"/>
  <c r="AV64" i="2" s="1"/>
  <c r="O64" i="2"/>
  <c r="AW64" i="2" s="1"/>
  <c r="P64" i="2"/>
  <c r="AX64" i="2" s="1"/>
  <c r="Q64" i="2"/>
  <c r="AY64" i="2" s="1"/>
  <c r="R64" i="2"/>
  <c r="AZ64" i="2" s="1"/>
  <c r="S64" i="2"/>
  <c r="BA64" i="2" s="1"/>
  <c r="T64" i="2"/>
  <c r="BB64" i="2" s="1"/>
  <c r="U64" i="2"/>
  <c r="BC64" i="2" s="1"/>
  <c r="E71" i="2"/>
  <c r="F71" i="2"/>
  <c r="G71" i="2"/>
  <c r="H71" i="2"/>
  <c r="I71" i="2"/>
  <c r="J71" i="2"/>
  <c r="K71" i="2"/>
  <c r="L71" i="2"/>
  <c r="M71" i="2"/>
  <c r="AU71" i="2" s="1"/>
  <c r="N71" i="2"/>
  <c r="AV71" i="2" s="1"/>
  <c r="O71" i="2"/>
  <c r="AW71" i="2" s="1"/>
  <c r="P71" i="2"/>
  <c r="AX71" i="2" s="1"/>
  <c r="Q71" i="2"/>
  <c r="AY71" i="2" s="1"/>
  <c r="R71" i="2"/>
  <c r="AZ71" i="2" s="1"/>
  <c r="S71" i="2"/>
  <c r="BA71" i="2" s="1"/>
  <c r="T71" i="2"/>
  <c r="BB71" i="2" s="1"/>
  <c r="U71" i="2"/>
  <c r="BC71" i="2" s="1"/>
  <c r="E78" i="2"/>
  <c r="F78" i="2"/>
  <c r="G78" i="2"/>
  <c r="H78" i="2"/>
  <c r="J78" i="2"/>
  <c r="K78" i="2"/>
  <c r="L78" i="2"/>
  <c r="O78" i="2"/>
  <c r="AW78" i="2" s="1"/>
  <c r="P78" i="2"/>
  <c r="AX78" i="2" s="1"/>
  <c r="Q78" i="2"/>
  <c r="AY78" i="2" s="1"/>
  <c r="R78" i="2"/>
  <c r="AZ78" i="2" s="1"/>
  <c r="S78" i="2"/>
  <c r="BA78" i="2" s="1"/>
  <c r="T78" i="2"/>
  <c r="BB78" i="2" s="1"/>
  <c r="U78" i="2"/>
  <c r="BC78" i="2" s="1"/>
  <c r="E85" i="2"/>
  <c r="F85" i="2"/>
  <c r="G85" i="2"/>
  <c r="H85" i="2"/>
  <c r="I85" i="2"/>
  <c r="J85" i="2"/>
  <c r="K85" i="2"/>
  <c r="L85" i="2"/>
  <c r="M85" i="2"/>
  <c r="AU85" i="2" s="1"/>
  <c r="N85" i="2"/>
  <c r="AV85" i="2" s="1"/>
  <c r="O85" i="2"/>
  <c r="AW85" i="2" s="1"/>
  <c r="P85" i="2"/>
  <c r="AX85" i="2" s="1"/>
  <c r="Q85" i="2"/>
  <c r="AY85" i="2" s="1"/>
  <c r="R85" i="2"/>
  <c r="AZ85" i="2" s="1"/>
  <c r="S85" i="2"/>
  <c r="BA85" i="2" s="1"/>
  <c r="T85" i="2"/>
  <c r="BB85" i="2" s="1"/>
  <c r="E92" i="2"/>
  <c r="F92" i="2"/>
  <c r="G92" i="2"/>
  <c r="H92" i="2"/>
  <c r="I92" i="2"/>
  <c r="J92" i="2"/>
  <c r="AR92" i="2" s="1"/>
  <c r="K92" i="2"/>
  <c r="AS92" i="2" s="1"/>
  <c r="L92" i="2"/>
  <c r="AT92" i="2" s="1"/>
  <c r="M92" i="2"/>
  <c r="AU92" i="2" s="1"/>
  <c r="N92" i="2"/>
  <c r="AV92" i="2" s="1"/>
  <c r="O92" i="2"/>
  <c r="AW92" i="2" s="1"/>
  <c r="P92" i="2"/>
  <c r="AX92" i="2" s="1"/>
  <c r="Q92" i="2"/>
  <c r="AY92" i="2" s="1"/>
  <c r="R92" i="2"/>
  <c r="AZ92" i="2" s="1"/>
  <c r="S92" i="2"/>
  <c r="BA92" i="2" s="1"/>
  <c r="T92" i="2"/>
  <c r="BB92" i="2" s="1"/>
  <c r="U92" i="2"/>
  <c r="BC92" i="2" s="1"/>
  <c r="D29" i="2"/>
  <c r="D36" i="2"/>
  <c r="D43" i="2"/>
  <c r="D50" i="2"/>
  <c r="D57" i="2"/>
  <c r="D64" i="2"/>
  <c r="D71" i="2"/>
  <c r="D85" i="2"/>
  <c r="D92" i="2"/>
  <c r="C92" i="2"/>
  <c r="C85" i="2"/>
  <c r="C78" i="2"/>
  <c r="C71" i="2"/>
  <c r="C64" i="2"/>
  <c r="C57" i="2"/>
  <c r="C50" i="2"/>
  <c r="C43" i="2"/>
  <c r="C36" i="2"/>
  <c r="AM17" i="2"/>
  <c r="AN17" i="2"/>
  <c r="AO17" i="2"/>
  <c r="AP17" i="2"/>
  <c r="AQ17" i="2"/>
  <c r="AM19" i="2"/>
  <c r="AN19" i="2"/>
  <c r="AO19" i="2"/>
  <c r="AP19" i="2"/>
  <c r="AQ19" i="2"/>
  <c r="AM20" i="2"/>
  <c r="AN20" i="2"/>
  <c r="AO20" i="2"/>
  <c r="AP20" i="2"/>
  <c r="AQ20" i="2"/>
  <c r="AM21" i="2"/>
  <c r="AN21" i="2"/>
  <c r="AO21" i="2"/>
  <c r="AP21" i="2"/>
  <c r="AQ21" i="2"/>
  <c r="AL17" i="2"/>
  <c r="AL19" i="2"/>
  <c r="AL20" i="2"/>
  <c r="AL21" i="2"/>
  <c r="E22" i="2"/>
  <c r="F22" i="2"/>
  <c r="G22" i="2"/>
  <c r="H22" i="2"/>
  <c r="I22" i="2"/>
  <c r="J22" i="2"/>
  <c r="K22" i="2"/>
  <c r="L22" i="2"/>
  <c r="M22" i="2"/>
  <c r="AU22" i="2" s="1"/>
  <c r="N22" i="2"/>
  <c r="AV22" i="2" s="1"/>
  <c r="O22" i="2"/>
  <c r="AW22" i="2" s="1"/>
  <c r="P22" i="2"/>
  <c r="AX22" i="2" s="1"/>
  <c r="Q22" i="2"/>
  <c r="AY22" i="2" s="1"/>
  <c r="R22" i="2"/>
  <c r="AZ22" i="2" s="1"/>
  <c r="S22" i="2"/>
  <c r="BA22" i="2" s="1"/>
  <c r="T22" i="2"/>
  <c r="BB22" i="2" s="1"/>
  <c r="U22" i="2"/>
  <c r="BC22" i="2" s="1"/>
  <c r="D22" i="2"/>
  <c r="C22" i="2"/>
  <c r="AM10" i="2"/>
  <c r="AN10" i="2"/>
  <c r="AO10" i="2"/>
  <c r="AP10" i="2"/>
  <c r="AQ10" i="2"/>
  <c r="AM12" i="2"/>
  <c r="AN12" i="2"/>
  <c r="AO12" i="2"/>
  <c r="AP12" i="2"/>
  <c r="AQ12" i="2"/>
  <c r="AM13" i="2"/>
  <c r="AN13" i="2"/>
  <c r="AO13" i="2"/>
  <c r="AP13" i="2"/>
  <c r="AQ13" i="2"/>
  <c r="AM14" i="2"/>
  <c r="AN14" i="2"/>
  <c r="AO14" i="2"/>
  <c r="AP14" i="2"/>
  <c r="AQ14" i="2"/>
  <c r="AL10" i="2"/>
  <c r="AL12" i="2"/>
  <c r="AL13" i="2"/>
  <c r="AL14" i="2"/>
  <c r="M15" i="2"/>
  <c r="AU15" i="2" s="1"/>
  <c r="N15" i="2"/>
  <c r="AV15" i="2" s="1"/>
  <c r="O15" i="2"/>
  <c r="AW15" i="2" s="1"/>
  <c r="P15" i="2"/>
  <c r="AX15" i="2" s="1"/>
  <c r="Q15" i="2"/>
  <c r="AY15" i="2" s="1"/>
  <c r="R15" i="2"/>
  <c r="AZ15" i="2" s="1"/>
  <c r="S15" i="2"/>
  <c r="BA15" i="2" s="1"/>
  <c r="T15" i="2"/>
  <c r="BB15" i="2" s="1"/>
  <c r="U15" i="2"/>
  <c r="BC15" i="2" s="1"/>
  <c r="AM136" i="2"/>
  <c r="AN136" i="2"/>
  <c r="AO136" i="2"/>
  <c r="AP136" i="2"/>
  <c r="AQ136" i="2"/>
  <c r="AM138" i="2"/>
  <c r="AN138" i="2"/>
  <c r="AO138" i="2"/>
  <c r="AP138" i="2"/>
  <c r="AQ138" i="2"/>
  <c r="AM139" i="2"/>
  <c r="AN139" i="2"/>
  <c r="AO139" i="2"/>
  <c r="AP139" i="2"/>
  <c r="AQ139" i="2"/>
  <c r="AM140" i="2"/>
  <c r="AN140" i="2"/>
  <c r="AO140" i="2"/>
  <c r="AP140" i="2"/>
  <c r="AQ140" i="2"/>
  <c r="AL136" i="2"/>
  <c r="AL138" i="2"/>
  <c r="AL139" i="2"/>
  <c r="AL140" i="2"/>
  <c r="E141" i="2"/>
  <c r="F141" i="2"/>
  <c r="G141" i="2"/>
  <c r="H141" i="2"/>
  <c r="I141" i="2"/>
  <c r="J141" i="2"/>
  <c r="K141" i="2"/>
  <c r="L141" i="2"/>
  <c r="M141" i="2"/>
  <c r="AU141" i="2" s="1"/>
  <c r="N141" i="2"/>
  <c r="AV141" i="2" s="1"/>
  <c r="O141" i="2"/>
  <c r="AW141" i="2" s="1"/>
  <c r="P141" i="2"/>
  <c r="AX141" i="2" s="1"/>
  <c r="Q141" i="2"/>
  <c r="AY141" i="2" s="1"/>
  <c r="R141" i="2"/>
  <c r="AZ141" i="2" s="1"/>
  <c r="S141" i="2"/>
  <c r="BA141" i="2" s="1"/>
  <c r="T141" i="2"/>
  <c r="BB141" i="2" s="1"/>
  <c r="U141" i="2"/>
  <c r="BC141" i="2" s="1"/>
  <c r="D141" i="2"/>
  <c r="C141" i="2"/>
  <c r="AM129" i="2"/>
  <c r="AN129" i="2"/>
  <c r="AO129" i="2"/>
  <c r="AP129" i="2"/>
  <c r="AQ129" i="2"/>
  <c r="AM131" i="2"/>
  <c r="AN131" i="2"/>
  <c r="AO131" i="2"/>
  <c r="AP131" i="2"/>
  <c r="AQ131" i="2"/>
  <c r="AM132" i="2"/>
  <c r="AN132" i="2"/>
  <c r="AO132" i="2"/>
  <c r="AP132" i="2"/>
  <c r="AQ132" i="2"/>
  <c r="AM133" i="2"/>
  <c r="AN133" i="2"/>
  <c r="AO133" i="2"/>
  <c r="AP133" i="2"/>
  <c r="AQ133" i="2"/>
  <c r="AL129" i="2"/>
  <c r="AL131" i="2"/>
  <c r="AL132" i="2"/>
  <c r="AL133" i="2"/>
  <c r="E134" i="2"/>
  <c r="F134" i="2"/>
  <c r="G134" i="2"/>
  <c r="H134" i="2"/>
  <c r="I134" i="2"/>
  <c r="J134" i="2"/>
  <c r="K134" i="2"/>
  <c r="L134" i="2"/>
  <c r="M134" i="2"/>
  <c r="AU134" i="2" s="1"/>
  <c r="N134" i="2"/>
  <c r="AV134" i="2" s="1"/>
  <c r="O134" i="2"/>
  <c r="AW134" i="2" s="1"/>
  <c r="P134" i="2"/>
  <c r="AX134" i="2" s="1"/>
  <c r="Q134" i="2"/>
  <c r="AY134" i="2" s="1"/>
  <c r="R134" i="2"/>
  <c r="AZ134" i="2" s="1"/>
  <c r="S134" i="2"/>
  <c r="BA134" i="2" s="1"/>
  <c r="T134" i="2"/>
  <c r="BB134" i="2" s="1"/>
  <c r="U134" i="2"/>
  <c r="BC134" i="2" s="1"/>
  <c r="D134" i="2"/>
  <c r="C134" i="2"/>
  <c r="AM122" i="2"/>
  <c r="AN122" i="2"/>
  <c r="AO122" i="2"/>
  <c r="AP122" i="2"/>
  <c r="AQ122" i="2"/>
  <c r="AM124" i="2"/>
  <c r="AN124" i="2"/>
  <c r="AO124" i="2"/>
  <c r="AP124" i="2"/>
  <c r="AQ124" i="2"/>
  <c r="AM125" i="2"/>
  <c r="AN125" i="2"/>
  <c r="AO125" i="2"/>
  <c r="AP125" i="2"/>
  <c r="AQ125" i="2"/>
  <c r="AM126" i="2"/>
  <c r="AN126" i="2"/>
  <c r="AO126" i="2"/>
  <c r="AP126" i="2"/>
  <c r="AQ126" i="2"/>
  <c r="AL122" i="2"/>
  <c r="AL124" i="2"/>
  <c r="AL125" i="2"/>
  <c r="AL126" i="2"/>
  <c r="G127" i="2"/>
  <c r="H127" i="2"/>
  <c r="I127" i="2"/>
  <c r="J127" i="2"/>
  <c r="K127" i="2"/>
  <c r="L127" i="2"/>
  <c r="M127" i="2"/>
  <c r="AU127" i="2" s="1"/>
  <c r="N127" i="2"/>
  <c r="AV127" i="2" s="1"/>
  <c r="O127" i="2"/>
  <c r="AW127" i="2" s="1"/>
  <c r="P127" i="2"/>
  <c r="AX127" i="2" s="1"/>
  <c r="Q127" i="2"/>
  <c r="AY127" i="2" s="1"/>
  <c r="R127" i="2"/>
  <c r="AZ127" i="2" s="1"/>
  <c r="S127" i="2"/>
  <c r="BA127" i="2" s="1"/>
  <c r="T127" i="2"/>
  <c r="BB127" i="2" s="1"/>
  <c r="U127" i="2"/>
  <c r="BC127" i="2" s="1"/>
  <c r="E127" i="2"/>
  <c r="F127" i="2"/>
  <c r="D127" i="2"/>
  <c r="C127" i="2"/>
  <c r="AM108" i="2"/>
  <c r="AN108" i="2"/>
  <c r="AO108" i="2"/>
  <c r="AP108" i="2"/>
  <c r="AQ108" i="2"/>
  <c r="AM109" i="2"/>
  <c r="AN109" i="2"/>
  <c r="AO109" i="2"/>
  <c r="AP109" i="2"/>
  <c r="AQ109" i="2"/>
  <c r="AM110" i="2"/>
  <c r="AN110" i="2"/>
  <c r="AO110" i="2"/>
  <c r="AP110" i="2"/>
  <c r="AQ110" i="2"/>
  <c r="AM111" i="2"/>
  <c r="AN111" i="2"/>
  <c r="AO111" i="2"/>
  <c r="AP111" i="2"/>
  <c r="AQ111" i="2"/>
  <c r="AM112" i="2"/>
  <c r="AN112" i="2"/>
  <c r="AO112" i="2"/>
  <c r="AP112" i="2"/>
  <c r="AQ112" i="2"/>
  <c r="AL108" i="2"/>
  <c r="AL109" i="2"/>
  <c r="AL110" i="2"/>
  <c r="AL111" i="2"/>
  <c r="AL112" i="2"/>
  <c r="E113" i="2"/>
  <c r="F113" i="2"/>
  <c r="G113" i="2"/>
  <c r="H113" i="2"/>
  <c r="I113" i="2"/>
  <c r="J113" i="2"/>
  <c r="K113" i="2"/>
  <c r="L113" i="2"/>
  <c r="M113" i="2"/>
  <c r="AU113" i="2" s="1"/>
  <c r="N113" i="2"/>
  <c r="AV113" i="2" s="1"/>
  <c r="O113" i="2"/>
  <c r="AW113" i="2" s="1"/>
  <c r="P113" i="2"/>
  <c r="AX113" i="2" s="1"/>
  <c r="Q113" i="2"/>
  <c r="AY113" i="2" s="1"/>
  <c r="R113" i="2"/>
  <c r="AZ113" i="2" s="1"/>
  <c r="S113" i="2"/>
  <c r="BA113" i="2" s="1"/>
  <c r="T113" i="2"/>
  <c r="BB113" i="2" s="1"/>
  <c r="U113" i="2"/>
  <c r="BC113" i="2" s="1"/>
  <c r="D113" i="2"/>
  <c r="C113" i="2"/>
  <c r="AL101" i="2"/>
  <c r="AM101" i="2"/>
  <c r="AN101" i="2"/>
  <c r="AO101" i="2"/>
  <c r="AP101" i="2"/>
  <c r="AQ101" i="2"/>
  <c r="AL102" i="2"/>
  <c r="AM102" i="2"/>
  <c r="AN102" i="2"/>
  <c r="AO102" i="2"/>
  <c r="AP102" i="2"/>
  <c r="AQ102" i="2"/>
  <c r="AL103" i="2"/>
  <c r="AM103" i="2"/>
  <c r="AN103" i="2"/>
  <c r="AO103" i="2"/>
  <c r="AP103" i="2"/>
  <c r="AQ103" i="2"/>
  <c r="AL104" i="2"/>
  <c r="AM104" i="2"/>
  <c r="AN104" i="2"/>
  <c r="AO104" i="2"/>
  <c r="AP104" i="2"/>
  <c r="AQ104" i="2"/>
  <c r="AL105" i="2"/>
  <c r="AM105" i="2"/>
  <c r="AN105" i="2"/>
  <c r="AO105" i="2"/>
  <c r="AP105" i="2"/>
  <c r="AQ105" i="2"/>
  <c r="E106" i="2"/>
  <c r="F106" i="2"/>
  <c r="G106" i="2"/>
  <c r="H106" i="2"/>
  <c r="I106" i="2"/>
  <c r="J106" i="2"/>
  <c r="K106" i="2"/>
  <c r="L106" i="2"/>
  <c r="M106" i="2"/>
  <c r="AU106" i="2" s="1"/>
  <c r="N106" i="2"/>
  <c r="AV106" i="2" s="1"/>
  <c r="O106" i="2"/>
  <c r="AW106" i="2" s="1"/>
  <c r="P106" i="2"/>
  <c r="AX106" i="2" s="1"/>
  <c r="Q106" i="2"/>
  <c r="AY106" i="2" s="1"/>
  <c r="R106" i="2"/>
  <c r="AZ106" i="2" s="1"/>
  <c r="S106" i="2"/>
  <c r="BA106" i="2" s="1"/>
  <c r="T106" i="2"/>
  <c r="BB106" i="2" s="1"/>
  <c r="U106" i="2"/>
  <c r="BC106" i="2" s="1"/>
  <c r="C106" i="2"/>
  <c r="D94" i="2"/>
  <c r="D115" i="2" s="1"/>
  <c r="E94" i="2"/>
  <c r="E115" i="2" s="1"/>
  <c r="F94" i="2"/>
  <c r="F115" i="2" s="1"/>
  <c r="G94" i="2"/>
  <c r="G115" i="2" s="1"/>
  <c r="H94" i="2"/>
  <c r="I94" i="2"/>
  <c r="I115" i="2" s="1"/>
  <c r="J94" i="2"/>
  <c r="AR94" i="2" s="1"/>
  <c r="K94" i="2"/>
  <c r="L94" i="2"/>
  <c r="M94" i="2"/>
  <c r="N94" i="2"/>
  <c r="O94" i="2"/>
  <c r="AW94" i="2" s="1"/>
  <c r="P94" i="2"/>
  <c r="Q94" i="2"/>
  <c r="R94" i="2"/>
  <c r="AZ94" i="2" s="1"/>
  <c r="S94" i="2"/>
  <c r="T94" i="2"/>
  <c r="U115" i="2"/>
  <c r="BC115" i="2" s="1"/>
  <c r="D95" i="2"/>
  <c r="E95" i="2"/>
  <c r="E116" i="2" s="1"/>
  <c r="F95" i="2"/>
  <c r="G95" i="2"/>
  <c r="H95" i="2"/>
  <c r="H116" i="2" s="1"/>
  <c r="I95" i="2"/>
  <c r="I116" i="2" s="1"/>
  <c r="J95" i="2"/>
  <c r="K95" i="2"/>
  <c r="L95" i="2"/>
  <c r="M95" i="2"/>
  <c r="N95" i="2"/>
  <c r="O95" i="2"/>
  <c r="AW95" i="2" s="1"/>
  <c r="P95" i="2"/>
  <c r="Q95" i="2"/>
  <c r="R95" i="2"/>
  <c r="S95" i="2"/>
  <c r="T95" i="2"/>
  <c r="U116" i="2"/>
  <c r="BC116" i="2" s="1"/>
  <c r="D96" i="2"/>
  <c r="D117" i="2" s="1"/>
  <c r="E96" i="2"/>
  <c r="E117" i="2" s="1"/>
  <c r="F96" i="2"/>
  <c r="G96" i="2"/>
  <c r="G117" i="2" s="1"/>
  <c r="H96" i="2"/>
  <c r="H117" i="2" s="1"/>
  <c r="I96" i="2"/>
  <c r="AQ96" i="2" s="1"/>
  <c r="J96" i="2"/>
  <c r="K96" i="2"/>
  <c r="L96" i="2"/>
  <c r="AT96" i="2" s="1"/>
  <c r="M96" i="2"/>
  <c r="N96" i="2"/>
  <c r="O96" i="2"/>
  <c r="AW96" i="2" s="1"/>
  <c r="P96" i="2"/>
  <c r="Q96" i="2"/>
  <c r="R96" i="2"/>
  <c r="S96" i="2"/>
  <c r="T96" i="2"/>
  <c r="BB96" i="2" s="1"/>
  <c r="U117" i="2"/>
  <c r="BC117" i="2" s="1"/>
  <c r="D97" i="2"/>
  <c r="D118" i="2" s="1"/>
  <c r="E97" i="2"/>
  <c r="E118" i="2" s="1"/>
  <c r="F97" i="2"/>
  <c r="F118" i="2" s="1"/>
  <c r="G97" i="2"/>
  <c r="G118" i="2" s="1"/>
  <c r="H97" i="2"/>
  <c r="H118" i="2" s="1"/>
  <c r="I97" i="2"/>
  <c r="J97" i="2"/>
  <c r="K97" i="2"/>
  <c r="L97" i="2"/>
  <c r="M97" i="2"/>
  <c r="N97" i="2"/>
  <c r="O97" i="2"/>
  <c r="AW97" i="2" s="1"/>
  <c r="P97" i="2"/>
  <c r="Q97" i="2"/>
  <c r="R97" i="2"/>
  <c r="S97" i="2"/>
  <c r="T97" i="2"/>
  <c r="U118" i="2"/>
  <c r="BC118" i="2" s="1"/>
  <c r="D98" i="2"/>
  <c r="D119" i="2" s="1"/>
  <c r="E98" i="2"/>
  <c r="E119" i="2" s="1"/>
  <c r="F98" i="2"/>
  <c r="F119" i="2" s="1"/>
  <c r="G98" i="2"/>
  <c r="G119" i="2" s="1"/>
  <c r="H98" i="2"/>
  <c r="I98" i="2"/>
  <c r="I119" i="2" s="1"/>
  <c r="J98" i="2"/>
  <c r="K98" i="2"/>
  <c r="L98" i="2"/>
  <c r="M98" i="2"/>
  <c r="N98" i="2"/>
  <c r="O98" i="2"/>
  <c r="AW98" i="2" s="1"/>
  <c r="P98" i="2"/>
  <c r="AX98" i="2" s="1"/>
  <c r="Q98" i="2"/>
  <c r="R98" i="2"/>
  <c r="S98" i="2"/>
  <c r="T98" i="2"/>
  <c r="U119" i="2"/>
  <c r="BC119" i="2" s="1"/>
  <c r="C95" i="2"/>
  <c r="C116" i="2" s="1"/>
  <c r="C96" i="2"/>
  <c r="C97" i="2"/>
  <c r="C118" i="2" s="1"/>
  <c r="C98" i="2"/>
  <c r="C119" i="2" s="1"/>
  <c r="C94" i="2"/>
  <c r="C115" i="2" s="1"/>
  <c r="T118" i="2" l="1"/>
  <c r="BB118" i="2" s="1"/>
  <c r="BB97" i="2"/>
  <c r="T116" i="2"/>
  <c r="BB116" i="2" s="1"/>
  <c r="BB95" i="2"/>
  <c r="T119" i="2"/>
  <c r="BB119" i="2" s="1"/>
  <c r="BB98" i="2"/>
  <c r="T115" i="2"/>
  <c r="BB115" i="2" s="1"/>
  <c r="BB94" i="2"/>
  <c r="R119" i="2"/>
  <c r="AZ119" i="2" s="1"/>
  <c r="AZ98" i="2"/>
  <c r="Q115" i="2"/>
  <c r="AY115" i="2" s="1"/>
  <c r="AY94" i="2"/>
  <c r="Q119" i="2"/>
  <c r="AY119" i="2" s="1"/>
  <c r="AY98" i="2"/>
  <c r="R118" i="2"/>
  <c r="AZ118" i="2" s="1"/>
  <c r="AZ97" i="2"/>
  <c r="S118" i="2"/>
  <c r="BA118" i="2" s="1"/>
  <c r="BA97" i="2"/>
  <c r="Q118" i="2"/>
  <c r="AY118" i="2" s="1"/>
  <c r="AY97" i="2"/>
  <c r="S117" i="2"/>
  <c r="BA117" i="2" s="1"/>
  <c r="BA96" i="2"/>
  <c r="R117" i="2"/>
  <c r="AZ117" i="2" s="1"/>
  <c r="AZ96" i="2"/>
  <c r="Q117" i="2"/>
  <c r="AY117" i="2" s="1"/>
  <c r="AY96" i="2"/>
  <c r="S116" i="2"/>
  <c r="BA116" i="2" s="1"/>
  <c r="BA95" i="2"/>
  <c r="R116" i="2"/>
  <c r="AZ116" i="2" s="1"/>
  <c r="AZ95" i="2"/>
  <c r="S119" i="2"/>
  <c r="BA119" i="2" s="1"/>
  <c r="BA98" i="2"/>
  <c r="Q116" i="2"/>
  <c r="AY116" i="2" s="1"/>
  <c r="AY95" i="2"/>
  <c r="S115" i="2"/>
  <c r="BA115" i="2" s="1"/>
  <c r="BA94" i="2"/>
  <c r="P118" i="2"/>
  <c r="AX118" i="2" s="1"/>
  <c r="AX97" i="2"/>
  <c r="P116" i="2"/>
  <c r="AX116" i="2" s="1"/>
  <c r="AX95" i="2"/>
  <c r="P115" i="2"/>
  <c r="AX115" i="2" s="1"/>
  <c r="AX94" i="2"/>
  <c r="P117" i="2"/>
  <c r="AX117" i="2" s="1"/>
  <c r="AX96" i="2"/>
  <c r="N117" i="2"/>
  <c r="AV117" i="2" s="1"/>
  <c r="AV96" i="2"/>
  <c r="M117" i="2"/>
  <c r="AU117" i="2" s="1"/>
  <c r="AU96" i="2"/>
  <c r="N116" i="2"/>
  <c r="AV116" i="2" s="1"/>
  <c r="AV95" i="2"/>
  <c r="M118" i="2"/>
  <c r="AU118" i="2" s="1"/>
  <c r="AU97" i="2"/>
  <c r="M116" i="2"/>
  <c r="AU116" i="2" s="1"/>
  <c r="AU95" i="2"/>
  <c r="N119" i="2"/>
  <c r="AV119" i="2" s="1"/>
  <c r="AV98" i="2"/>
  <c r="N115" i="2"/>
  <c r="AV115" i="2" s="1"/>
  <c r="AV94" i="2"/>
  <c r="M115" i="2"/>
  <c r="AU115" i="2" s="1"/>
  <c r="AU94" i="2"/>
  <c r="M119" i="2"/>
  <c r="AU119" i="2" s="1"/>
  <c r="AU98" i="2"/>
  <c r="N118" i="2"/>
  <c r="AV118" i="2" s="1"/>
  <c r="AV97" i="2"/>
  <c r="AK96" i="2"/>
  <c r="L116" i="2"/>
  <c r="AT116" i="2" s="1"/>
  <c r="AT95" i="2"/>
  <c r="L119" i="2"/>
  <c r="AT119" i="2" s="1"/>
  <c r="AT98" i="2"/>
  <c r="L115" i="2"/>
  <c r="AT115" i="2" s="1"/>
  <c r="AT94" i="2"/>
  <c r="L118" i="2"/>
  <c r="AT118" i="2" s="1"/>
  <c r="AT97" i="2"/>
  <c r="K116" i="2"/>
  <c r="AS116" i="2" s="1"/>
  <c r="AS95" i="2"/>
  <c r="K118" i="2"/>
  <c r="AS118" i="2" s="1"/>
  <c r="AS97" i="2"/>
  <c r="K115" i="2"/>
  <c r="AS115" i="2" s="1"/>
  <c r="AS94" i="2"/>
  <c r="K117" i="2"/>
  <c r="AS117" i="2" s="1"/>
  <c r="AS96" i="2"/>
  <c r="K119" i="2"/>
  <c r="AS119" i="2" s="1"/>
  <c r="AS98" i="2"/>
  <c r="AK95" i="2"/>
  <c r="AK94" i="2"/>
  <c r="J118" i="2"/>
  <c r="AR118" i="2" s="1"/>
  <c r="AR97" i="2"/>
  <c r="AN95" i="2"/>
  <c r="O119" i="2"/>
  <c r="AK98" i="2"/>
  <c r="J117" i="2"/>
  <c r="AR117" i="2" s="1"/>
  <c r="AR96" i="2"/>
  <c r="AL92" i="2"/>
  <c r="O118" i="2"/>
  <c r="AK97" i="2"/>
  <c r="AN92" i="2"/>
  <c r="AM92" i="2"/>
  <c r="AQ92" i="2"/>
  <c r="AO92" i="2"/>
  <c r="AP92" i="2"/>
  <c r="J116" i="2"/>
  <c r="AR116" i="2" s="1"/>
  <c r="AR95" i="2"/>
  <c r="J119" i="2"/>
  <c r="AR119" i="2" s="1"/>
  <c r="AR98" i="2"/>
  <c r="AO78" i="2"/>
  <c r="AN36" i="2"/>
  <c r="AQ29" i="2"/>
  <c r="AL94" i="2"/>
  <c r="AN96" i="2"/>
  <c r="AN118" i="2"/>
  <c r="AQ97" i="2"/>
  <c r="AP94" i="2"/>
  <c r="AP97" i="2"/>
  <c r="AP85" i="2"/>
  <c r="T99" i="2"/>
  <c r="BB99" i="2" s="1"/>
  <c r="AP78" i="2"/>
  <c r="AP57" i="2"/>
  <c r="AO134" i="2"/>
  <c r="AO119" i="2"/>
  <c r="AO118" i="2"/>
  <c r="AO95" i="2"/>
  <c r="AO36" i="2"/>
  <c r="AO29" i="2"/>
  <c r="AN85" i="2"/>
  <c r="AN71" i="2"/>
  <c r="AN29" i="2"/>
  <c r="AM71" i="2"/>
  <c r="AM78" i="2"/>
  <c r="AM118" i="2"/>
  <c r="AM115" i="2"/>
  <c r="AL85" i="2"/>
  <c r="P99" i="2"/>
  <c r="AX99" i="2" s="1"/>
  <c r="AP113" i="2"/>
  <c r="AQ22" i="2"/>
  <c r="AM22" i="2"/>
  <c r="AN22" i="2"/>
  <c r="AL22" i="2"/>
  <c r="AP22" i="2"/>
  <c r="AO22" i="2"/>
  <c r="AN141" i="2"/>
  <c r="AO141" i="2"/>
  <c r="AP141" i="2"/>
  <c r="AM141" i="2"/>
  <c r="AQ64" i="2"/>
  <c r="AQ43" i="2"/>
  <c r="AQ71" i="2"/>
  <c r="AQ36" i="2"/>
  <c r="AQ57" i="2"/>
  <c r="AQ50" i="2"/>
  <c r="AP64" i="2"/>
  <c r="AP43" i="2"/>
  <c r="AP36" i="2"/>
  <c r="AP29" i="2"/>
  <c r="AP50" i="2"/>
  <c r="AO64" i="2"/>
  <c r="AO43" i="2"/>
  <c r="AO57" i="2"/>
  <c r="AO50" i="2"/>
  <c r="AO71" i="2"/>
  <c r="AP71" i="2"/>
  <c r="AL71" i="2"/>
  <c r="AN64" i="2"/>
  <c r="AN43" i="2"/>
  <c r="AN57" i="2"/>
  <c r="AN50" i="2"/>
  <c r="AM43" i="2"/>
  <c r="AM64" i="2"/>
  <c r="AM57" i="2"/>
  <c r="AL64" i="2"/>
  <c r="AL43" i="2"/>
  <c r="AL36" i="2"/>
  <c r="AL57" i="2"/>
  <c r="AL50" i="2"/>
  <c r="AQ113" i="2"/>
  <c r="AQ106" i="2"/>
  <c r="AP106" i="2"/>
  <c r="AO106" i="2"/>
  <c r="AO113" i="2"/>
  <c r="AN113" i="2"/>
  <c r="AN106" i="2"/>
  <c r="AM106" i="2"/>
  <c r="AM113" i="2"/>
  <c r="AL113" i="2"/>
  <c r="AL106" i="2"/>
  <c r="AQ141" i="2"/>
  <c r="AL141" i="2"/>
  <c r="AQ134" i="2"/>
  <c r="AP134" i="2"/>
  <c r="AN134" i="2"/>
  <c r="AM134" i="2"/>
  <c r="AL134" i="2"/>
  <c r="AP127" i="2"/>
  <c r="AO127" i="2"/>
  <c r="AQ127" i="2"/>
  <c r="AL127" i="2"/>
  <c r="AN127" i="2"/>
  <c r="AM127" i="2"/>
  <c r="AQ78" i="2"/>
  <c r="AN78" i="2"/>
  <c r="AL78" i="2"/>
  <c r="N99" i="2"/>
  <c r="AV99" i="2" s="1"/>
  <c r="L99" i="2"/>
  <c r="I118" i="2"/>
  <c r="AQ118" i="2" s="1"/>
  <c r="AQ15" i="2"/>
  <c r="H99" i="2"/>
  <c r="H115" i="2"/>
  <c r="AP115" i="2" s="1"/>
  <c r="AP15" i="2"/>
  <c r="AO98" i="2"/>
  <c r="AO85" i="2"/>
  <c r="AO94" i="2"/>
  <c r="AO15" i="2"/>
  <c r="AN98" i="2"/>
  <c r="F117" i="2"/>
  <c r="AN117" i="2" s="1"/>
  <c r="F99" i="2"/>
  <c r="AN15" i="2"/>
  <c r="AM95" i="2"/>
  <c r="AM85" i="2"/>
  <c r="AM15" i="2"/>
  <c r="AL15" i="2"/>
  <c r="C99" i="2"/>
  <c r="C117" i="2"/>
  <c r="AM50" i="2"/>
  <c r="AM36" i="2"/>
  <c r="AL29" i="2"/>
  <c r="AM29" i="2"/>
  <c r="AO115" i="2"/>
  <c r="U120" i="2"/>
  <c r="BC120" i="2" s="1"/>
  <c r="AP116" i="2"/>
  <c r="AQ116" i="2"/>
  <c r="AQ119" i="2"/>
  <c r="AM96" i="2"/>
  <c r="AO97" i="2"/>
  <c r="AQ95" i="2"/>
  <c r="AN94" i="2"/>
  <c r="F116" i="2"/>
  <c r="AN116" i="2" s="1"/>
  <c r="O115" i="2"/>
  <c r="M99" i="2"/>
  <c r="AU99" i="2" s="1"/>
  <c r="E99" i="2"/>
  <c r="O99" i="2"/>
  <c r="AW99" i="2" s="1"/>
  <c r="S99" i="2"/>
  <c r="BA99" i="2" s="1"/>
  <c r="K99" i="2"/>
  <c r="AQ98" i="2"/>
  <c r="AN97" i="2"/>
  <c r="AP95" i="2"/>
  <c r="AM94" i="2"/>
  <c r="AL117" i="2"/>
  <c r="T117" i="2"/>
  <c r="L117" i="2"/>
  <c r="O116" i="2"/>
  <c r="G116" i="2"/>
  <c r="AO116" i="2" s="1"/>
  <c r="AL118" i="2"/>
  <c r="R99" i="2"/>
  <c r="AZ99" i="2" s="1"/>
  <c r="J99" i="2"/>
  <c r="AP98" i="2"/>
  <c r="AM97" i="2"/>
  <c r="Q99" i="2"/>
  <c r="AY99" i="2" s="1"/>
  <c r="P119" i="2"/>
  <c r="H119" i="2"/>
  <c r="AP119" i="2" s="1"/>
  <c r="Q120" i="2"/>
  <c r="AY120" i="2" s="1"/>
  <c r="I117" i="2"/>
  <c r="AQ117" i="2" s="1"/>
  <c r="AP96" i="2"/>
  <c r="G99" i="2"/>
  <c r="AM98" i="2"/>
  <c r="AO96" i="2"/>
  <c r="AQ94" i="2"/>
  <c r="R115" i="2"/>
  <c r="J115" i="2"/>
  <c r="I99" i="2"/>
  <c r="AL95" i="2"/>
  <c r="O117" i="2"/>
  <c r="AW117" i="2" s="1"/>
  <c r="D99" i="2"/>
  <c r="D116" i="2"/>
  <c r="AL98" i="2"/>
  <c r="AL97" i="2"/>
  <c r="AL96" i="2"/>
  <c r="AQ115" i="2"/>
  <c r="E120" i="2"/>
  <c r="A16" i="2"/>
  <c r="S120" i="2" l="1"/>
  <c r="BA120" i="2" s="1"/>
  <c r="AL115" i="2"/>
  <c r="AP118" i="2"/>
  <c r="AN119" i="2"/>
  <c r="AM117" i="2"/>
  <c r="AM116" i="2"/>
  <c r="AO117" i="2"/>
  <c r="AM119" i="2"/>
  <c r="T120" i="2"/>
  <c r="BB120" i="2" s="1"/>
  <c r="BB117" i="2"/>
  <c r="R120" i="2"/>
  <c r="AZ120" i="2" s="1"/>
  <c r="AZ115" i="2"/>
  <c r="AL116" i="2"/>
  <c r="AL119" i="2"/>
  <c r="AL120" i="2" s="1"/>
  <c r="AX119" i="2"/>
  <c r="N120" i="2"/>
  <c r="AV120" i="2" s="1"/>
  <c r="AK119" i="2"/>
  <c r="AW119" i="2"/>
  <c r="AK115" i="2"/>
  <c r="AW115" i="2"/>
  <c r="AK118" i="2"/>
  <c r="AW118" i="2"/>
  <c r="AK116" i="2"/>
  <c r="AW116" i="2"/>
  <c r="M120" i="2"/>
  <c r="AU120" i="2" s="1"/>
  <c r="AT99" i="2"/>
  <c r="L120" i="2"/>
  <c r="AT117" i="2"/>
  <c r="AT120" i="2" s="1"/>
  <c r="AK99" i="2"/>
  <c r="AR99" i="2"/>
  <c r="AS120" i="2"/>
  <c r="AS99" i="2"/>
  <c r="K120" i="2"/>
  <c r="J120" i="2"/>
  <c r="AR115" i="2"/>
  <c r="AR120" i="2" s="1"/>
  <c r="C120" i="2"/>
  <c r="AK117" i="2"/>
  <c r="AP117" i="2"/>
  <c r="AP120" i="2" s="1"/>
  <c r="AO120" i="2"/>
  <c r="AM120" i="2"/>
  <c r="D120" i="2"/>
  <c r="AQ99" i="2"/>
  <c r="AP99" i="2"/>
  <c r="AO99" i="2"/>
  <c r="AN99" i="2"/>
  <c r="AL99" i="2"/>
  <c r="F120" i="2"/>
  <c r="O120" i="2"/>
  <c r="AW120" i="2" s="1"/>
  <c r="AN115" i="2"/>
  <c r="AN120" i="2" s="1"/>
  <c r="P120" i="2"/>
  <c r="AX120" i="2" s="1"/>
  <c r="AQ120" i="2"/>
  <c r="H120" i="2"/>
  <c r="I120" i="2"/>
  <c r="AM99" i="2"/>
  <c r="G120" i="2"/>
  <c r="A23" i="2"/>
  <c r="A30" i="2" s="1"/>
  <c r="A37" i="2" s="1"/>
  <c r="A44" i="2" s="1"/>
  <c r="A51" i="2" s="1"/>
  <c r="A58" i="2" s="1"/>
  <c r="A65" i="2" s="1"/>
  <c r="A72" i="2" s="1"/>
  <c r="A79" i="2" s="1"/>
  <c r="A86" i="2" s="1"/>
  <c r="A93" i="2" s="1"/>
  <c r="A100" i="2" s="1"/>
  <c r="A107" i="2" s="1"/>
  <c r="AK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<sst xmlns="http://schemas.openxmlformats.org/spreadsheetml/2006/main" count="687" uniqueCount="77">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</sst>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1">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848">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7" xfId="0" applyNumberFormat="1" applyFont="1" applyBorder="1" applyAlignment="1">
      <alignment horizontal="center"/>
    </xf>
    <xf numFmtId="38" fontId="0" fillId="0" borderId="36" xfId="0" applyNumberFormat="1" applyFont="1" applyBorder="1" applyAlignment="1">
      <alignment horizontal="center"/>
    </xf>
    <xf numFmtId="38" fontId="0" fillId="0" borderId="128" xfId="0" applyNumberFormat="1" applyFont="1" applyBorder="1" applyAlignment="1">
      <alignment horizontal="center"/>
    </xf>
    <xf numFmtId="0" fontId="7" fillId="0" borderId="129"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3" xfId="0" applyFont="1" applyBorder="1"/>
    <xf numFmtId="0" fontId="0" fillId="0" borderId="134" xfId="0" applyFont="1" applyBorder="1"/>
    <xf numFmtId="3" fontId="4" fillId="0" borderId="135" xfId="0" applyNumberFormat="1" applyFont="1" applyBorder="1" applyAlignment="1">
      <alignment horizontal="center"/>
    </xf>
    <xf numFmtId="3" fontId="0" fillId="0" borderId="136" xfId="0" applyNumberFormat="1" applyFont="1" applyBorder="1" applyAlignment="1">
      <alignment horizontal="center"/>
    </xf>
    <xf numFmtId="3" fontId="0" fillId="0" borderId="137"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8" xfId="0" applyNumberFormat="1" applyFont="1" applyBorder="1" applyAlignment="1">
      <alignment horizontal="center"/>
    </xf>
    <xf numFmtId="166" fontId="4" fillId="0" borderId="117" xfId="0" applyNumberFormat="1" applyFont="1" applyBorder="1" applyAlignment="1">
      <alignment horizontal="center"/>
    </xf>
    <xf numFmtId="0" fontId="0" fillId="0" borderId="140" xfId="0" applyFont="1" applyBorder="1"/>
    <xf numFmtId="8" fontId="4" fillId="0" borderId="138"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8" xfId="0" applyNumberFormat="1" applyFont="1" applyBorder="1" applyAlignment="1">
      <alignment horizontal="center"/>
    </xf>
    <xf numFmtId="6" fontId="4" fillId="0" borderId="117" xfId="0" applyNumberFormat="1" applyFont="1" applyBorder="1" applyAlignment="1">
      <alignment horizontal="center"/>
    </xf>
    <xf numFmtId="0" fontId="0" fillId="0" borderId="138" xfId="0" applyFont="1" applyBorder="1"/>
    <xf numFmtId="38" fontId="4" fillId="0" borderId="138" xfId="0" applyNumberFormat="1" applyFont="1" applyBorder="1" applyAlignment="1">
      <alignment horizontal="center"/>
    </xf>
    <xf numFmtId="0" fontId="0" fillId="0" borderId="141" xfId="0" applyFont="1" applyBorder="1" applyAlignment="1">
      <alignment horizontal="center"/>
    </xf>
    <xf numFmtId="3" fontId="0" fillId="0" borderId="86" xfId="0" applyNumberFormat="1" applyFont="1" applyBorder="1" applyAlignment="1">
      <alignment horizontal="center"/>
    </xf>
    <xf numFmtId="0" fontId="0" fillId="0" borderId="139" xfId="0" applyFont="1" applyBorder="1" applyAlignment="1">
      <alignment horizontal="center"/>
    </xf>
    <xf numFmtId="0" fontId="0" fillId="0" borderId="142" xfId="0" applyFont="1" applyBorder="1" applyAlignment="1">
      <alignment horizontal="center"/>
    </xf>
    <xf numFmtId="0" fontId="0" fillId="0" borderId="137" xfId="0" applyFont="1" applyBorder="1" applyAlignment="1">
      <alignment horizontal="center"/>
    </xf>
    <xf numFmtId="0" fontId="0" fillId="0" borderId="143" xfId="0" applyFont="1" applyBorder="1" applyAlignment="1">
      <alignment horizontal="center"/>
    </xf>
    <xf numFmtId="0" fontId="0" fillId="0" borderId="144"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5" xfId="0" applyFont="1" applyBorder="1" applyAlignment="1">
      <alignment horizontal="center"/>
    </xf>
    <xf numFmtId="0" fontId="0" fillId="0" borderId="146" xfId="0" applyFont="1" applyBorder="1"/>
    <xf numFmtId="0" fontId="0" fillId="0" borderId="147" xfId="0" applyFont="1" applyBorder="1" applyAlignment="1">
      <alignment horizontal="center"/>
    </xf>
    <xf numFmtId="0" fontId="0" fillId="0" borderId="135" xfId="0" applyFont="1" applyBorder="1" applyAlignment="1">
      <alignment horizontal="center"/>
    </xf>
    <xf numFmtId="0" fontId="0" fillId="0" borderId="148"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9" xfId="0" applyFont="1" applyBorder="1" applyAlignment="1" applyProtection="1">
      <alignment horizontal="center" vertical="center"/>
      <protection locked="0"/>
    </xf>
    <xf numFmtId="0" fontId="7" fillId="0" borderId="15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8"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2" fontId="4" fillId="0" borderId="2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5" xfId="0" applyFont="1" applyBorder="1" applyAlignment="1" applyProtection="1">
      <alignment horizontal="center"/>
    </xf>
    <xf numFmtId="0" fontId="5" fillId="0" borderId="55" xfId="0" applyFont="1" applyBorder="1" applyAlignment="1" applyProtection="1">
      <alignment horizontal="center"/>
    </xf>
    <xf numFmtId="0" fontId="5" fillId="0" borderId="126" xfId="0" applyFont="1" applyBorder="1" applyAlignment="1" applyProtection="1">
      <alignment horizontal="center"/>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51"/>
  <sheetViews>
    <sheetView tabSelected="1" workbookViewId="0">
      <pane xSplit="2" ySplit="8" topLeftCell="C105" activePane="bottomRight" state="frozen"/>
      <selection pane="topRight" activeCell="C1" sqref="C1"/>
      <selection pane="bottomLeft" activeCell="A9" sqref="A9"/>
      <selection pane="bottomRight" activeCell="C5" sqref="C5"/>
    </sheetView>
  </sheetViews>
  <sheetFormatPr defaultColWidth="9.140625" defaultRowHeight="15" x14ac:dyDescent="0.25"/>
  <cols>
    <col min="1" max="1" width="5.85546875" style="2" customWidth="1"/>
    <col min="2" max="2" width="24.710937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36" width="21" style="602" customWidth="1"/>
    <col min="37" max="37" width="10.85546875" style="2" bestFit="1" customWidth="1"/>
    <col min="38" max="46" width="11.5703125" style="2" bestFit="1" customWidth="1"/>
    <col min="47" max="56" width="11.5703125" style="2" customWidth="1"/>
    <col min="57" max="16384" width="9.140625" style="2"/>
  </cols>
  <sheetData>
    <row r="1" spans="1:58" ht="16.5" thickTop="1" thickBot="1" x14ac:dyDescent="0.3">
      <c r="B1" s="832" t="s">
        <v>19</v>
      </c>
      <c r="C1" s="833"/>
      <c r="D1" s="833"/>
      <c r="E1" s="833"/>
      <c r="F1" s="833"/>
      <c r="G1" s="833"/>
      <c r="H1" s="833"/>
      <c r="I1" s="833"/>
      <c r="J1" s="833"/>
      <c r="K1" s="833"/>
      <c r="L1" s="833"/>
      <c r="M1" s="833"/>
      <c r="N1" s="833"/>
      <c r="O1" s="833"/>
      <c r="P1" s="833"/>
      <c r="Q1" s="833"/>
      <c r="R1" s="833"/>
      <c r="S1" s="833"/>
      <c r="T1" s="833"/>
      <c r="U1" s="833"/>
      <c r="V1" s="833"/>
      <c r="W1" s="833"/>
      <c r="X1" s="834"/>
      <c r="Y1" s="833"/>
      <c r="Z1" s="833"/>
      <c r="AA1" s="833"/>
      <c r="AB1" s="833"/>
      <c r="AC1" s="834"/>
      <c r="AD1" s="834"/>
      <c r="AE1" s="834"/>
      <c r="AF1" s="834"/>
      <c r="AG1" s="834"/>
      <c r="AH1" s="834"/>
      <c r="AI1" s="834"/>
      <c r="AJ1" s="834"/>
      <c r="AK1" s="833"/>
      <c r="AL1" s="833"/>
      <c r="AM1" s="38"/>
      <c r="AN1" s="38"/>
      <c r="AO1" s="38"/>
      <c r="AP1" s="38"/>
      <c r="AQ1" s="39"/>
      <c r="AR1" s="312"/>
      <c r="AS1" s="312"/>
      <c r="AT1" s="312"/>
      <c r="AU1" s="312"/>
      <c r="AV1" s="312"/>
      <c r="AW1" s="312"/>
      <c r="AX1" s="312"/>
      <c r="AY1" s="312"/>
      <c r="AZ1" s="312"/>
      <c r="BA1" s="312"/>
      <c r="BB1" s="312"/>
      <c r="BC1" s="312"/>
      <c r="BD1" s="312"/>
    </row>
    <row r="2" spans="1:58" ht="27.6" customHeight="1" thickTop="1" thickBot="1" x14ac:dyDescent="0.3">
      <c r="B2" s="5" t="s">
        <v>0</v>
      </c>
      <c r="C2" s="835" t="s">
        <v>57</v>
      </c>
      <c r="D2" s="836"/>
      <c r="E2" s="836"/>
      <c r="F2" s="836"/>
      <c r="G2" s="836"/>
      <c r="H2" s="836"/>
      <c r="I2" s="836"/>
      <c r="J2" s="6"/>
      <c r="K2" s="7"/>
      <c r="L2" s="7"/>
      <c r="M2" s="835"/>
      <c r="N2" s="836"/>
      <c r="O2" s="836"/>
      <c r="P2" s="836"/>
      <c r="Q2" s="836"/>
      <c r="R2" s="836"/>
      <c r="S2" s="836"/>
      <c r="T2" s="7"/>
      <c r="U2" s="7"/>
      <c r="V2" s="7"/>
      <c r="W2" s="7"/>
      <c r="X2" s="7"/>
      <c r="Y2" s="7"/>
      <c r="Z2" s="7"/>
      <c r="AA2" s="7"/>
      <c r="AB2" s="7"/>
      <c r="AC2" s="7"/>
      <c r="AD2" s="7"/>
      <c r="AE2" s="7"/>
      <c r="AF2" s="7"/>
      <c r="AG2" s="7"/>
      <c r="AH2" s="7"/>
      <c r="AI2" s="7"/>
      <c r="AJ2" s="7"/>
      <c r="AK2" s="7"/>
      <c r="AL2" s="8"/>
    </row>
    <row r="3" spans="1:58" ht="27.6" customHeight="1" thickTop="1" thickBot="1" x14ac:dyDescent="0.3">
      <c r="B3" s="5" t="s">
        <v>1</v>
      </c>
      <c r="C3" s="835" t="s">
        <v>48</v>
      </c>
      <c r="D3" s="836"/>
      <c r="E3" s="836"/>
      <c r="F3" s="836"/>
      <c r="G3" s="836"/>
      <c r="H3" s="836"/>
      <c r="I3" s="836"/>
      <c r="J3" s="6"/>
      <c r="K3" s="9"/>
      <c r="L3" s="9"/>
      <c r="M3" s="835"/>
      <c r="N3" s="836"/>
      <c r="O3" s="836"/>
      <c r="P3" s="836"/>
      <c r="Q3" s="836"/>
      <c r="R3" s="836"/>
      <c r="S3" s="836"/>
      <c r="T3" s="9"/>
      <c r="U3" s="9"/>
      <c r="V3" s="9"/>
      <c r="W3" s="9"/>
      <c r="X3" s="6"/>
      <c r="Y3" s="9"/>
      <c r="Z3" s="9"/>
      <c r="AA3" s="9"/>
      <c r="AB3" s="9"/>
      <c r="AC3" s="6"/>
      <c r="AD3" s="6"/>
      <c r="AE3" s="6"/>
      <c r="AF3" s="6"/>
      <c r="AG3" s="6"/>
      <c r="AH3" s="6"/>
      <c r="AI3" s="6"/>
      <c r="AJ3" s="6"/>
      <c r="AK3" s="9"/>
      <c r="AL3" s="10"/>
    </row>
    <row r="4" spans="1:58" ht="27.6" customHeight="1" thickTop="1" thickBot="1" x14ac:dyDescent="0.3">
      <c r="B4" s="5" t="s">
        <v>2</v>
      </c>
      <c r="C4" s="837">
        <v>44572</v>
      </c>
      <c r="D4" s="838"/>
      <c r="E4" s="838"/>
      <c r="F4" s="838"/>
      <c r="G4" s="838"/>
      <c r="H4" s="838"/>
      <c r="I4" s="838"/>
      <c r="J4" s="6"/>
      <c r="K4" s="9"/>
      <c r="L4" s="9"/>
      <c r="M4" s="837"/>
      <c r="N4" s="838"/>
      <c r="O4" s="838"/>
      <c r="P4" s="838"/>
      <c r="Q4" s="838"/>
      <c r="R4" s="838"/>
      <c r="S4" s="838"/>
      <c r="T4" s="9"/>
      <c r="U4" s="9"/>
      <c r="V4" s="9"/>
      <c r="W4" s="9"/>
      <c r="X4" s="6"/>
      <c r="Y4" s="9"/>
      <c r="Z4" s="9"/>
      <c r="AA4" s="9"/>
      <c r="AB4" s="9"/>
      <c r="AC4" s="6"/>
      <c r="AD4" s="6"/>
      <c r="AE4" s="6"/>
      <c r="AF4" s="6"/>
      <c r="AG4" s="6"/>
      <c r="AH4" s="6"/>
      <c r="AI4" s="6"/>
      <c r="AJ4" s="6"/>
      <c r="AK4" s="9"/>
      <c r="AL4" s="11"/>
    </row>
    <row r="5" spans="1:58"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9"/>
      <c r="AL5" s="11"/>
    </row>
    <row r="6" spans="1:58" ht="15.75"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18"/>
      <c r="AL6" s="20"/>
    </row>
    <row r="7" spans="1:58"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202">
        <v>2021</v>
      </c>
      <c r="Z7" s="202"/>
      <c r="AA7" s="202"/>
      <c r="AB7" s="202"/>
      <c r="AC7" s="396"/>
      <c r="AD7" s="396"/>
      <c r="AE7" s="762"/>
      <c r="AF7" s="762"/>
      <c r="AG7" s="762"/>
      <c r="AH7" s="762"/>
      <c r="AI7" s="762"/>
      <c r="AJ7" s="762"/>
      <c r="AK7" s="25" t="s">
        <v>15</v>
      </c>
      <c r="AL7" s="23"/>
      <c r="AM7" s="23"/>
      <c r="AN7" s="23"/>
      <c r="AO7" s="23"/>
      <c r="AP7" s="23"/>
      <c r="AQ7" s="24"/>
      <c r="AR7" s="417"/>
      <c r="AS7" s="418"/>
      <c r="AT7" s="418"/>
      <c r="AU7" s="839" t="s">
        <v>63</v>
      </c>
      <c r="AV7" s="840"/>
      <c r="AW7" s="841"/>
    </row>
    <row r="8" spans="1:58"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318" t="s">
        <v>76</v>
      </c>
      <c r="AK8" s="30" t="s">
        <v>9</v>
      </c>
      <c r="AL8" s="29" t="s">
        <v>10</v>
      </c>
      <c r="AM8" s="29" t="s">
        <v>16</v>
      </c>
      <c r="AN8" s="29" t="s">
        <v>11</v>
      </c>
      <c r="AO8" s="29" t="s">
        <v>12</v>
      </c>
      <c r="AP8" s="29" t="s">
        <v>3</v>
      </c>
      <c r="AQ8" s="32" t="s">
        <v>13</v>
      </c>
      <c r="AR8" s="422" t="s">
        <v>4</v>
      </c>
      <c r="AS8" s="423" t="s">
        <v>5</v>
      </c>
      <c r="AT8" s="423" t="s">
        <v>6</v>
      </c>
      <c r="AU8" s="424" t="s">
        <v>7</v>
      </c>
      <c r="AV8" s="425" t="s">
        <v>8</v>
      </c>
      <c r="AW8" s="426" t="s">
        <v>9</v>
      </c>
      <c r="AX8" s="426" t="s">
        <v>10</v>
      </c>
      <c r="AY8" s="426" t="s">
        <v>16</v>
      </c>
      <c r="AZ8" s="426" t="s">
        <v>71</v>
      </c>
      <c r="BA8" s="426" t="s">
        <v>17</v>
      </c>
      <c r="BB8" s="426" t="s">
        <v>72</v>
      </c>
      <c r="BC8" s="426" t="s">
        <v>73</v>
      </c>
      <c r="BD8" s="426" t="s">
        <v>74</v>
      </c>
      <c r="BE8" s="426" t="s">
        <v>75</v>
      </c>
      <c r="BF8" s="426" t="s">
        <v>76</v>
      </c>
    </row>
    <row r="9" spans="1:58"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319"/>
      <c r="AK9" s="51"/>
      <c r="AL9" s="52"/>
      <c r="AM9" s="53"/>
      <c r="AN9" s="53"/>
      <c r="AO9" s="53"/>
      <c r="AP9" s="53"/>
      <c r="AQ9" s="54"/>
      <c r="AR9" s="230"/>
      <c r="AS9" s="230"/>
      <c r="AT9" s="400"/>
      <c r="AU9" s="419"/>
      <c r="AV9" s="420"/>
      <c r="AW9" s="421"/>
      <c r="AX9" s="421"/>
      <c r="AY9" s="421"/>
      <c r="AZ9" s="421"/>
      <c r="BA9" s="421"/>
      <c r="BB9" s="421"/>
      <c r="BC9" s="421"/>
      <c r="BD9" s="421"/>
      <c r="BE9" s="421"/>
      <c r="BF9" s="421"/>
    </row>
    <row r="10" spans="1:58"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338">
        <f>2465+41358+239</f>
        <v>44062</v>
      </c>
      <c r="AK10" s="58">
        <f t="shared" ref="AK10:AT14" si="0">C10-O10</f>
        <v>-317</v>
      </c>
      <c r="AL10" s="58">
        <f t="shared" si="0"/>
        <v>-896</v>
      </c>
      <c r="AM10" s="58">
        <f t="shared" si="0"/>
        <v>-1132</v>
      </c>
      <c r="AN10" s="58">
        <f t="shared" si="0"/>
        <v>-1470</v>
      </c>
      <c r="AO10" s="58">
        <f t="shared" si="0"/>
        <v>-1252</v>
      </c>
      <c r="AP10" s="58">
        <f t="shared" si="0"/>
        <v>-1395</v>
      </c>
      <c r="AQ10" s="70">
        <f t="shared" si="0"/>
        <v>-1281</v>
      </c>
      <c r="AR10" s="70">
        <f t="shared" si="0"/>
        <v>-1152</v>
      </c>
      <c r="AS10" s="70">
        <f t="shared" si="0"/>
        <v>-1137</v>
      </c>
      <c r="AT10" s="242">
        <f t="shared" si="0"/>
        <v>-929</v>
      </c>
      <c r="AU10" s="242">
        <f t="shared" ref="AU10:BD14" si="1">M10-Y10</f>
        <v>-1023</v>
      </c>
      <c r="AV10" s="242">
        <f t="shared" si="1"/>
        <v>-904</v>
      </c>
      <c r="AW10" s="242">
        <f t="shared" si="1"/>
        <v>-949</v>
      </c>
      <c r="AX10" s="242">
        <f t="shared" si="1"/>
        <v>-611</v>
      </c>
      <c r="AY10" s="242">
        <f t="shared" si="1"/>
        <v>-860</v>
      </c>
      <c r="AZ10" s="242">
        <f t="shared" si="1"/>
        <v>-1435</v>
      </c>
      <c r="BA10" s="242">
        <f t="shared" si="1"/>
        <v>-643</v>
      </c>
      <c r="BB10" s="242">
        <f t="shared" si="1"/>
        <v>-503</v>
      </c>
      <c r="BC10" s="242">
        <f t="shared" si="1"/>
        <v>-476</v>
      </c>
      <c r="BD10" s="242">
        <f t="shared" si="1"/>
        <v>-594</v>
      </c>
      <c r="BE10" s="242">
        <f t="shared" ref="BE10:BN14" si="2">W10-AI10</f>
        <v>-452</v>
      </c>
      <c r="BF10" s="242">
        <f t="shared" si="2"/>
        <v>-614</v>
      </c>
    </row>
    <row r="11" spans="1:58"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338">
        <f>267+10094</f>
        <v>10361</v>
      </c>
      <c r="AK11" s="58">
        <f t="shared" si="0"/>
        <v>27</v>
      </c>
      <c r="AL11" s="58">
        <f t="shared" si="0"/>
        <v>74</v>
      </c>
      <c r="AM11" s="58">
        <f t="shared" si="0"/>
        <v>90</v>
      </c>
      <c r="AN11" s="58">
        <f t="shared" si="0"/>
        <v>405</v>
      </c>
      <c r="AO11" s="58">
        <f t="shared" si="0"/>
        <v>-16</v>
      </c>
      <c r="AP11" s="58">
        <f t="shared" si="0"/>
        <v>-99</v>
      </c>
      <c r="AQ11" s="70">
        <f t="shared" si="0"/>
        <v>-285</v>
      </c>
      <c r="AR11" s="70">
        <f t="shared" si="0"/>
        <v>-348</v>
      </c>
      <c r="AS11" s="70">
        <f t="shared" si="0"/>
        <v>55</v>
      </c>
      <c r="AT11" s="242">
        <f t="shared" si="0"/>
        <v>56</v>
      </c>
      <c r="AU11" s="242">
        <f t="shared" si="1"/>
        <v>155</v>
      </c>
      <c r="AV11" s="242">
        <f t="shared" si="1"/>
        <v>35</v>
      </c>
      <c r="AW11" s="242">
        <f t="shared" si="1"/>
        <v>63</v>
      </c>
      <c r="AX11" s="242">
        <f t="shared" si="1"/>
        <v>-168</v>
      </c>
      <c r="AY11" s="242">
        <f t="shared" si="1"/>
        <v>-202</v>
      </c>
      <c r="AZ11" s="242">
        <f t="shared" si="1"/>
        <v>369</v>
      </c>
      <c r="BA11" s="242">
        <f t="shared" si="1"/>
        <v>-334</v>
      </c>
      <c r="BB11" s="242">
        <f t="shared" si="1"/>
        <v>-344</v>
      </c>
      <c r="BC11" s="242">
        <f t="shared" si="1"/>
        <v>-293</v>
      </c>
      <c r="BD11" s="242">
        <f t="shared" si="1"/>
        <v>-165</v>
      </c>
      <c r="BE11" s="242">
        <f t="shared" si="2"/>
        <v>-359</v>
      </c>
      <c r="BF11" s="242">
        <f t="shared" si="2"/>
        <v>-312</v>
      </c>
    </row>
    <row r="12" spans="1:58"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338">
        <f>3075+571+173+40</f>
        <v>3859</v>
      </c>
      <c r="AK12" s="58">
        <f t="shared" si="0"/>
        <v>-35</v>
      </c>
      <c r="AL12" s="58">
        <f t="shared" si="0"/>
        <v>-80</v>
      </c>
      <c r="AM12" s="58">
        <f t="shared" si="0"/>
        <v>-97</v>
      </c>
      <c r="AN12" s="58">
        <f t="shared" si="0"/>
        <v>-111</v>
      </c>
      <c r="AO12" s="58">
        <f t="shared" si="0"/>
        <v>-123</v>
      </c>
      <c r="AP12" s="58">
        <f t="shared" si="0"/>
        <v>-136</v>
      </c>
      <c r="AQ12" s="57">
        <f t="shared" si="0"/>
        <v>-109</v>
      </c>
      <c r="AR12" s="70">
        <f t="shared" si="0"/>
        <v>-82</v>
      </c>
      <c r="AS12" s="70">
        <f t="shared" si="0"/>
        <v>-39</v>
      </c>
      <c r="AT12" s="242">
        <f t="shared" si="0"/>
        <v>-17</v>
      </c>
      <c r="AU12" s="242">
        <f t="shared" si="1"/>
        <v>-18</v>
      </c>
      <c r="AV12" s="242">
        <f t="shared" si="1"/>
        <v>-31</v>
      </c>
      <c r="AW12" s="242">
        <f t="shared" si="1"/>
        <v>-35</v>
      </c>
      <c r="AX12" s="242">
        <f t="shared" si="1"/>
        <v>-14</v>
      </c>
      <c r="AY12" s="242">
        <f t="shared" si="1"/>
        <v>-27</v>
      </c>
      <c r="AZ12" s="242">
        <f t="shared" si="1"/>
        <v>-21</v>
      </c>
      <c r="BA12" s="242">
        <f t="shared" si="1"/>
        <v>-20</v>
      </c>
      <c r="BB12" s="242">
        <f t="shared" si="1"/>
        <v>-23</v>
      </c>
      <c r="BC12" s="242">
        <f t="shared" si="1"/>
        <v>-56</v>
      </c>
      <c r="BD12" s="242">
        <f t="shared" si="1"/>
        <v>-53</v>
      </c>
      <c r="BE12" s="242">
        <f t="shared" si="2"/>
        <v>-80</v>
      </c>
      <c r="BF12" s="242">
        <f t="shared" si="2"/>
        <v>-54</v>
      </c>
    </row>
    <row r="13" spans="1:58"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338">
        <f>222+111+144+67</f>
        <v>544</v>
      </c>
      <c r="AK13" s="58">
        <f t="shared" si="0"/>
        <v>1</v>
      </c>
      <c r="AL13" s="58">
        <f t="shared" si="0"/>
        <v>2</v>
      </c>
      <c r="AM13" s="58">
        <f t="shared" si="0"/>
        <v>-1</v>
      </c>
      <c r="AN13" s="58">
        <f t="shared" si="0"/>
        <v>-1</v>
      </c>
      <c r="AO13" s="58">
        <f t="shared" si="0"/>
        <v>-1</v>
      </c>
      <c r="AP13" s="58">
        <f t="shared" si="0"/>
        <v>-2</v>
      </c>
      <c r="AQ13" s="57">
        <f t="shared" si="0"/>
        <v>0</v>
      </c>
      <c r="AR13" s="70">
        <f t="shared" si="0"/>
        <v>-104</v>
      </c>
      <c r="AS13" s="70">
        <f t="shared" si="0"/>
        <v>-5</v>
      </c>
      <c r="AT13" s="242">
        <f t="shared" si="0"/>
        <v>-3</v>
      </c>
      <c r="AU13" s="242">
        <f t="shared" si="1"/>
        <v>1</v>
      </c>
      <c r="AV13" s="242">
        <f t="shared" si="1"/>
        <v>3</v>
      </c>
      <c r="AW13" s="242">
        <f t="shared" si="1"/>
        <v>3</v>
      </c>
      <c r="AX13" s="242">
        <f t="shared" si="1"/>
        <v>0</v>
      </c>
      <c r="AY13" s="242">
        <f t="shared" si="1"/>
        <v>1</v>
      </c>
      <c r="AZ13" s="242">
        <f t="shared" si="1"/>
        <v>-2</v>
      </c>
      <c r="BA13" s="242">
        <f t="shared" si="1"/>
        <v>0</v>
      </c>
      <c r="BB13" s="242">
        <f t="shared" si="1"/>
        <v>1</v>
      </c>
      <c r="BC13" s="242">
        <f t="shared" si="1"/>
        <v>-17</v>
      </c>
      <c r="BD13" s="242">
        <f t="shared" si="1"/>
        <v>-9</v>
      </c>
      <c r="BE13" s="242">
        <f t="shared" si="2"/>
        <v>-7</v>
      </c>
      <c r="BF13" s="242">
        <f t="shared" si="2"/>
        <v>-5</v>
      </c>
    </row>
    <row r="14" spans="1:58"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338">
        <f>3+4+13</f>
        <v>20</v>
      </c>
      <c r="AK14" s="58">
        <f t="shared" si="0"/>
        <v>-1</v>
      </c>
      <c r="AL14" s="58">
        <f t="shared" si="0"/>
        <v>-1</v>
      </c>
      <c r="AM14" s="58">
        <f t="shared" si="0"/>
        <v>-1</v>
      </c>
      <c r="AN14" s="58">
        <f t="shared" si="0"/>
        <v>-1</v>
      </c>
      <c r="AO14" s="58">
        <f t="shared" si="0"/>
        <v>-1</v>
      </c>
      <c r="AP14" s="58">
        <f t="shared" si="0"/>
        <v>-2</v>
      </c>
      <c r="AQ14" s="57">
        <f t="shared" si="0"/>
        <v>-3</v>
      </c>
      <c r="AR14" s="70">
        <f t="shared" si="0"/>
        <v>-2</v>
      </c>
      <c r="AS14" s="70">
        <f t="shared" si="0"/>
        <v>-2</v>
      </c>
      <c r="AT14" s="242">
        <f t="shared" si="0"/>
        <v>-2</v>
      </c>
      <c r="AU14" s="242">
        <f t="shared" si="1"/>
        <v>-1</v>
      </c>
      <c r="AV14" s="242">
        <f t="shared" si="1"/>
        <v>-1</v>
      </c>
      <c r="AW14" s="242">
        <f t="shared" si="1"/>
        <v>-2</v>
      </c>
      <c r="AX14" s="242">
        <f t="shared" si="1"/>
        <v>-1</v>
      </c>
      <c r="AY14" s="242">
        <f t="shared" si="1"/>
        <v>-2</v>
      </c>
      <c r="AZ14" s="242">
        <f t="shared" si="1"/>
        <v>-1</v>
      </c>
      <c r="BA14" s="242">
        <f t="shared" si="1"/>
        <v>-1</v>
      </c>
      <c r="BB14" s="242">
        <f t="shared" si="1"/>
        <v>0</v>
      </c>
      <c r="BC14" s="242">
        <f t="shared" si="1"/>
        <v>0</v>
      </c>
      <c r="BD14" s="242">
        <f t="shared" si="1"/>
        <v>-1</v>
      </c>
      <c r="BE14" s="242">
        <f t="shared" si="2"/>
        <v>0</v>
      </c>
      <c r="BF14" s="242">
        <f t="shared" si="2"/>
        <v>-1</v>
      </c>
    </row>
    <row r="15" spans="1:58"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59">
        <f t="shared" ref="AJ15" si="5">SUM(AJ10:AJ14)</f>
        <v>58846</v>
      </c>
      <c r="AK15" s="60">
        <f t="shared" ref="AK15:AT15" si="6">SUM(AK10:AK14)</f>
        <v>-325</v>
      </c>
      <c r="AL15" s="60">
        <f t="shared" si="6"/>
        <v>-901</v>
      </c>
      <c r="AM15" s="60">
        <f t="shared" si="6"/>
        <v>-1141</v>
      </c>
      <c r="AN15" s="60">
        <f t="shared" si="6"/>
        <v>-1178</v>
      </c>
      <c r="AO15" s="60">
        <f t="shared" si="6"/>
        <v>-1393</v>
      </c>
      <c r="AP15" s="60">
        <f t="shared" si="6"/>
        <v>-1634</v>
      </c>
      <c r="AQ15" s="59">
        <f t="shared" si="6"/>
        <v>-1678</v>
      </c>
      <c r="AR15" s="59">
        <f t="shared" si="6"/>
        <v>-1688</v>
      </c>
      <c r="AS15" s="59">
        <f t="shared" si="6"/>
        <v>-1128</v>
      </c>
      <c r="AT15" s="262">
        <f t="shared" si="6"/>
        <v>-895</v>
      </c>
      <c r="AU15" s="242">
        <f t="shared" ref="AU15:BF15" si="7">M15-Y15</f>
        <v>-886</v>
      </c>
      <c r="AV15" s="242">
        <f t="shared" si="7"/>
        <v>-898</v>
      </c>
      <c r="AW15" s="242">
        <f t="shared" si="7"/>
        <v>-920</v>
      </c>
      <c r="AX15" s="242">
        <f t="shared" si="7"/>
        <v>-794</v>
      </c>
      <c r="AY15" s="242">
        <f t="shared" si="7"/>
        <v>-1090</v>
      </c>
      <c r="AZ15" s="242">
        <f t="shared" si="7"/>
        <v>-1090</v>
      </c>
      <c r="BA15" s="242">
        <f t="shared" si="7"/>
        <v>-998</v>
      </c>
      <c r="BB15" s="242">
        <f t="shared" si="7"/>
        <v>-869</v>
      </c>
      <c r="BC15" s="242">
        <f t="shared" si="7"/>
        <v>-842</v>
      </c>
      <c r="BD15" s="242">
        <f t="shared" si="7"/>
        <v>-822</v>
      </c>
      <c r="BE15" s="242">
        <f t="shared" si="7"/>
        <v>-898</v>
      </c>
      <c r="BF15" s="242">
        <f t="shared" si="7"/>
        <v>-986</v>
      </c>
    </row>
    <row r="16" spans="1:58"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320"/>
      <c r="AK16" s="64"/>
      <c r="AL16" s="65"/>
      <c r="AM16" s="66"/>
      <c r="AN16" s="66"/>
      <c r="AO16" s="66"/>
      <c r="AP16" s="66"/>
      <c r="AQ16" s="67"/>
      <c r="AR16" s="231"/>
      <c r="AS16" s="231"/>
      <c r="AT16" s="231"/>
      <c r="AU16" s="404"/>
      <c r="AV16" s="212"/>
      <c r="AW16" s="410"/>
      <c r="AX16" s="410"/>
      <c r="AY16" s="410"/>
      <c r="AZ16" s="410"/>
      <c r="BA16" s="410"/>
      <c r="BB16" s="410"/>
      <c r="BC16" s="410"/>
      <c r="BD16" s="410"/>
      <c r="BE16" s="410"/>
      <c r="BF16" s="410"/>
    </row>
    <row r="17" spans="1:58"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251">
        <f>523+8693+9</f>
        <v>9225</v>
      </c>
      <c r="AK17" s="71">
        <f t="shared" ref="AK17:AT21" si="8">C17-O17</f>
        <v>-1651</v>
      </c>
      <c r="AL17" s="71">
        <f t="shared" si="8"/>
        <v>-1699</v>
      </c>
      <c r="AM17" s="71">
        <f t="shared" si="8"/>
        <v>-2099</v>
      </c>
      <c r="AN17" s="71">
        <f t="shared" si="8"/>
        <v>-1213</v>
      </c>
      <c r="AO17" s="71">
        <f t="shared" si="8"/>
        <v>-1263</v>
      </c>
      <c r="AP17" s="71">
        <f t="shared" si="8"/>
        <v>-1719</v>
      </c>
      <c r="AQ17" s="70">
        <f t="shared" si="8"/>
        <v>-2251</v>
      </c>
      <c r="AR17" s="70">
        <f t="shared" si="8"/>
        <v>-2503</v>
      </c>
      <c r="AS17" s="70">
        <f t="shared" si="8"/>
        <v>-3575</v>
      </c>
      <c r="AT17" s="242">
        <f t="shared" si="8"/>
        <v>-3650</v>
      </c>
      <c r="AU17" s="242">
        <f t="shared" ref="AU17:BD21" si="9">M17-Y17</f>
        <v>-3807</v>
      </c>
      <c r="AV17" s="242">
        <f t="shared" si="9"/>
        <v>-5066</v>
      </c>
      <c r="AW17" s="242">
        <f t="shared" si="9"/>
        <v>-2487</v>
      </c>
      <c r="AX17" s="242">
        <f t="shared" si="9"/>
        <v>-2167</v>
      </c>
      <c r="AY17" s="242">
        <f t="shared" si="9"/>
        <v>2522</v>
      </c>
      <c r="AZ17" s="242">
        <f t="shared" si="9"/>
        <v>1072</v>
      </c>
      <c r="BA17" s="242">
        <f t="shared" si="9"/>
        <v>6201</v>
      </c>
      <c r="BB17" s="242">
        <f t="shared" si="9"/>
        <v>11237</v>
      </c>
      <c r="BC17" s="242">
        <f t="shared" si="9"/>
        <v>11492</v>
      </c>
      <c r="BD17" s="242">
        <f t="shared" si="9"/>
        <v>10989</v>
      </c>
      <c r="BE17" s="242">
        <f t="shared" ref="BE17:BN21" si="10">W17-AI17</f>
        <v>12798</v>
      </c>
      <c r="BF17" s="242">
        <f t="shared" si="10"/>
        <v>12145</v>
      </c>
    </row>
    <row r="18" spans="1:58"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251">
        <f>94+2408</f>
        <v>2502</v>
      </c>
      <c r="AK18" s="71">
        <f t="shared" si="8"/>
        <v>755</v>
      </c>
      <c r="AL18" s="71">
        <f t="shared" si="8"/>
        <v>-157</v>
      </c>
      <c r="AM18" s="71">
        <f t="shared" si="8"/>
        <v>-730</v>
      </c>
      <c r="AN18" s="71">
        <f t="shared" si="8"/>
        <v>2431</v>
      </c>
      <c r="AO18" s="71">
        <f t="shared" si="8"/>
        <v>2588</v>
      </c>
      <c r="AP18" s="71">
        <f t="shared" si="8"/>
        <v>1955</v>
      </c>
      <c r="AQ18" s="70">
        <f t="shared" si="8"/>
        <v>1106</v>
      </c>
      <c r="AR18" s="70">
        <f t="shared" si="8"/>
        <v>1027</v>
      </c>
      <c r="AS18" s="70">
        <f t="shared" si="8"/>
        <v>-97</v>
      </c>
      <c r="AT18" s="242">
        <f t="shared" si="8"/>
        <v>-1776</v>
      </c>
      <c r="AU18" s="242">
        <f t="shared" si="9"/>
        <v>-3581</v>
      </c>
      <c r="AV18" s="242">
        <f t="shared" si="9"/>
        <v>-3889</v>
      </c>
      <c r="AW18" s="242">
        <f t="shared" si="9"/>
        <v>-2665</v>
      </c>
      <c r="AX18" s="242">
        <f t="shared" si="9"/>
        <v>-949</v>
      </c>
      <c r="AY18" s="242">
        <f t="shared" si="9"/>
        <v>4175</v>
      </c>
      <c r="AZ18" s="242">
        <f t="shared" si="9"/>
        <v>-3206</v>
      </c>
      <c r="BA18" s="242">
        <f t="shared" si="9"/>
        <v>2240</v>
      </c>
      <c r="BB18" s="242">
        <f t="shared" si="9"/>
        <v>3508</v>
      </c>
      <c r="BC18" s="242">
        <f t="shared" si="9"/>
        <v>4602</v>
      </c>
      <c r="BD18" s="242">
        <f t="shared" si="9"/>
        <v>4501</v>
      </c>
      <c r="BE18" s="242">
        <f t="shared" si="10"/>
        <v>7017</v>
      </c>
      <c r="BF18" s="242">
        <f t="shared" si="10"/>
        <v>7114</v>
      </c>
    </row>
    <row r="19" spans="1:58"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251">
        <v>371</v>
      </c>
      <c r="AK19" s="71">
        <f t="shared" si="8"/>
        <v>-78</v>
      </c>
      <c r="AL19" s="71">
        <f t="shared" si="8"/>
        <v>-371</v>
      </c>
      <c r="AM19" s="71">
        <f t="shared" si="8"/>
        <v>-585</v>
      </c>
      <c r="AN19" s="71">
        <f t="shared" si="8"/>
        <v>-182</v>
      </c>
      <c r="AO19" s="71">
        <f t="shared" si="8"/>
        <v>-68</v>
      </c>
      <c r="AP19" s="71">
        <f t="shared" si="8"/>
        <v>-8</v>
      </c>
      <c r="AQ19" s="70">
        <f t="shared" si="8"/>
        <v>-49</v>
      </c>
      <c r="AR19" s="70">
        <f t="shared" si="8"/>
        <v>-240</v>
      </c>
      <c r="AS19" s="70">
        <f t="shared" si="8"/>
        <v>-342</v>
      </c>
      <c r="AT19" s="242">
        <f t="shared" si="8"/>
        <v>-374</v>
      </c>
      <c r="AU19" s="242">
        <f t="shared" si="9"/>
        <v>-315</v>
      </c>
      <c r="AV19" s="242">
        <f t="shared" si="9"/>
        <v>-376</v>
      </c>
      <c r="AW19" s="242">
        <f t="shared" si="9"/>
        <v>-94</v>
      </c>
      <c r="AX19" s="242">
        <f t="shared" si="9"/>
        <v>279</v>
      </c>
      <c r="AY19" s="242">
        <f t="shared" si="9"/>
        <v>765</v>
      </c>
      <c r="AZ19" s="242">
        <f t="shared" si="9"/>
        <v>180</v>
      </c>
      <c r="BA19" s="242">
        <f t="shared" si="9"/>
        <v>163</v>
      </c>
      <c r="BB19" s="242">
        <f t="shared" si="9"/>
        <v>473</v>
      </c>
      <c r="BC19" s="242">
        <f t="shared" si="9"/>
        <v>460</v>
      </c>
      <c r="BD19" s="242">
        <f t="shared" si="9"/>
        <v>532</v>
      </c>
      <c r="BE19" s="242">
        <f t="shared" si="10"/>
        <v>705</v>
      </c>
      <c r="BF19" s="242">
        <f t="shared" si="10"/>
        <v>706</v>
      </c>
    </row>
    <row r="20" spans="1:58"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251">
        <v>28</v>
      </c>
      <c r="AK20" s="71">
        <f t="shared" si="8"/>
        <v>-17</v>
      </c>
      <c r="AL20" s="71">
        <f t="shared" si="8"/>
        <v>-75</v>
      </c>
      <c r="AM20" s="71">
        <f t="shared" si="8"/>
        <v>-86</v>
      </c>
      <c r="AN20" s="71">
        <f t="shared" si="8"/>
        <v>-59</v>
      </c>
      <c r="AO20" s="71">
        <f t="shared" si="8"/>
        <v>-54</v>
      </c>
      <c r="AP20" s="71">
        <f t="shared" si="8"/>
        <v>-29</v>
      </c>
      <c r="AQ20" s="70">
        <f t="shared" si="8"/>
        <v>-24</v>
      </c>
      <c r="AR20" s="70">
        <f t="shared" si="8"/>
        <v>-47</v>
      </c>
      <c r="AS20" s="70">
        <f t="shared" si="8"/>
        <v>-50</v>
      </c>
      <c r="AT20" s="242">
        <f t="shared" si="8"/>
        <v>-78</v>
      </c>
      <c r="AU20" s="242">
        <f t="shared" si="9"/>
        <v>-77</v>
      </c>
      <c r="AV20" s="242">
        <f t="shared" si="9"/>
        <v>-116</v>
      </c>
      <c r="AW20" s="242">
        <f t="shared" si="9"/>
        <v>-10</v>
      </c>
      <c r="AX20" s="242">
        <f t="shared" si="9"/>
        <v>58</v>
      </c>
      <c r="AY20" s="242">
        <f t="shared" si="9"/>
        <v>93</v>
      </c>
      <c r="AZ20" s="242">
        <f t="shared" si="9"/>
        <v>23</v>
      </c>
      <c r="BA20" s="242">
        <f t="shared" si="9"/>
        <v>55</v>
      </c>
      <c r="BB20" s="242">
        <f t="shared" si="9"/>
        <v>75</v>
      </c>
      <c r="BC20" s="242">
        <f t="shared" si="9"/>
        <v>65</v>
      </c>
      <c r="BD20" s="242">
        <f t="shared" si="9"/>
        <v>61</v>
      </c>
      <c r="BE20" s="242">
        <f t="shared" si="10"/>
        <v>89</v>
      </c>
      <c r="BF20" s="242">
        <f t="shared" si="10"/>
        <v>111</v>
      </c>
    </row>
    <row r="21" spans="1:58" x14ac:dyDescent="0.25">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251">
        <v>2</v>
      </c>
      <c r="AK21" s="71">
        <f t="shared" si="8"/>
        <v>0</v>
      </c>
      <c r="AL21" s="71">
        <f t="shared" si="8"/>
        <v>-2</v>
      </c>
      <c r="AM21" s="71">
        <f t="shared" si="8"/>
        <v>-8</v>
      </c>
      <c r="AN21" s="71">
        <f t="shared" si="8"/>
        <v>-7</v>
      </c>
      <c r="AO21" s="71">
        <f t="shared" si="8"/>
        <v>-4</v>
      </c>
      <c r="AP21" s="71">
        <f t="shared" si="8"/>
        <v>-5</v>
      </c>
      <c r="AQ21" s="70">
        <f t="shared" si="8"/>
        <v>-3</v>
      </c>
      <c r="AR21" s="70">
        <f t="shared" si="8"/>
        <v>-1</v>
      </c>
      <c r="AS21" s="70">
        <f t="shared" si="8"/>
        <v>-2</v>
      </c>
      <c r="AT21" s="242">
        <f t="shared" si="8"/>
        <v>-2</v>
      </c>
      <c r="AU21" s="242">
        <f t="shared" si="9"/>
        <v>-1</v>
      </c>
      <c r="AV21" s="242">
        <f t="shared" si="9"/>
        <v>-3</v>
      </c>
      <c r="AW21" s="242">
        <f t="shared" si="9"/>
        <v>-1</v>
      </c>
      <c r="AX21" s="242">
        <f t="shared" si="9"/>
        <v>1</v>
      </c>
      <c r="AY21" s="242">
        <f t="shared" si="9"/>
        <v>7</v>
      </c>
      <c r="AZ21" s="242">
        <f t="shared" si="9"/>
        <v>8</v>
      </c>
      <c r="BA21" s="242">
        <f t="shared" si="9"/>
        <v>1</v>
      </c>
      <c r="BB21" s="242">
        <f t="shared" si="9"/>
        <v>4</v>
      </c>
      <c r="BC21" s="242">
        <f t="shared" si="9"/>
        <v>3</v>
      </c>
      <c r="BD21" s="242">
        <f t="shared" si="9"/>
        <v>1</v>
      </c>
      <c r="BE21" s="242">
        <f t="shared" si="10"/>
        <v>3</v>
      </c>
      <c r="BF21" s="242">
        <f t="shared" si="10"/>
        <v>2</v>
      </c>
    </row>
    <row r="22" spans="1:58" x14ac:dyDescent="0.25">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69">
        <f t="shared" ref="AJ22" si="15">SUM(AJ17:AJ21)</f>
        <v>12128</v>
      </c>
      <c r="AK22" s="71">
        <f t="shared" ref="AK22:AT22" si="16">SUM(AK17:AK21)</f>
        <v>-991</v>
      </c>
      <c r="AL22" s="71">
        <f t="shared" si="16"/>
        <v>-2304</v>
      </c>
      <c r="AM22" s="71">
        <f t="shared" si="16"/>
        <v>-3508</v>
      </c>
      <c r="AN22" s="71">
        <f t="shared" si="16"/>
        <v>970</v>
      </c>
      <c r="AO22" s="71">
        <f t="shared" si="16"/>
        <v>1199</v>
      </c>
      <c r="AP22" s="71">
        <f t="shared" si="16"/>
        <v>194</v>
      </c>
      <c r="AQ22" s="70">
        <f t="shared" si="16"/>
        <v>-1221</v>
      </c>
      <c r="AR22" s="70">
        <f t="shared" si="16"/>
        <v>-1764</v>
      </c>
      <c r="AS22" s="70">
        <f t="shared" si="16"/>
        <v>-4066</v>
      </c>
      <c r="AT22" s="242">
        <f t="shared" si="16"/>
        <v>-5880</v>
      </c>
      <c r="AU22" s="242">
        <f t="shared" ref="AU22:BF22" si="17">M22-Y22</f>
        <v>-7781</v>
      </c>
      <c r="AV22" s="242">
        <f t="shared" si="17"/>
        <v>-9450</v>
      </c>
      <c r="AW22" s="242">
        <f t="shared" si="17"/>
        <v>-5257</v>
      </c>
      <c r="AX22" s="242">
        <f t="shared" si="17"/>
        <v>-2778</v>
      </c>
      <c r="AY22" s="242">
        <f t="shared" si="17"/>
        <v>7562</v>
      </c>
      <c r="AZ22" s="242">
        <f t="shared" si="17"/>
        <v>-1923</v>
      </c>
      <c r="BA22" s="242">
        <f t="shared" si="17"/>
        <v>8660</v>
      </c>
      <c r="BB22" s="242">
        <f t="shared" si="17"/>
        <v>15297</v>
      </c>
      <c r="BC22" s="242">
        <f t="shared" si="17"/>
        <v>16622</v>
      </c>
      <c r="BD22" s="242">
        <f t="shared" si="17"/>
        <v>16084</v>
      </c>
      <c r="BE22" s="242">
        <f t="shared" si="17"/>
        <v>20612</v>
      </c>
      <c r="BF22" s="242">
        <f t="shared" si="17"/>
        <v>20078</v>
      </c>
    </row>
    <row r="23" spans="1:58"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251"/>
      <c r="AK23" s="71"/>
      <c r="AL23" s="72"/>
      <c r="AM23" s="73"/>
      <c r="AN23" s="73"/>
      <c r="AO23" s="73"/>
      <c r="AP23" s="73"/>
      <c r="AQ23" s="74"/>
      <c r="AR23" s="230"/>
      <c r="AS23" s="230"/>
      <c r="AT23" s="230"/>
      <c r="AU23" s="402"/>
      <c r="AV23" s="73"/>
      <c r="AW23" s="409"/>
      <c r="AX23" s="409"/>
      <c r="AY23" s="409"/>
      <c r="AZ23" s="409"/>
      <c r="BA23" s="409"/>
      <c r="BB23" s="409"/>
      <c r="BC23" s="409"/>
      <c r="BD23" s="409"/>
      <c r="BE23" s="409"/>
      <c r="BF23" s="409"/>
    </row>
    <row r="24" spans="1:58"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63">
        <v>9428</v>
      </c>
      <c r="AG24" s="763">
        <f>505+9019+43</f>
        <v>9567</v>
      </c>
      <c r="AH24" s="763">
        <v>7751</v>
      </c>
      <c r="AI24" s="763">
        <f>463+7624+12</f>
        <v>8099</v>
      </c>
      <c r="AJ24" s="763">
        <f>509+7944+9</f>
        <v>8462</v>
      </c>
      <c r="AK24" s="71">
        <f t="shared" ref="AK24:AT28" si="18">C24-O24</f>
        <v>-447</v>
      </c>
      <c r="AL24" s="71">
        <f t="shared" si="18"/>
        <v>-215</v>
      </c>
      <c r="AM24" s="71">
        <f t="shared" si="18"/>
        <v>-615</v>
      </c>
      <c r="AN24" s="71">
        <f t="shared" si="18"/>
        <v>-457</v>
      </c>
      <c r="AO24" s="71">
        <f t="shared" si="18"/>
        <v>-611</v>
      </c>
      <c r="AP24" s="71">
        <f t="shared" si="18"/>
        <v>-873</v>
      </c>
      <c r="AQ24" s="70">
        <f t="shared" si="18"/>
        <v>-1139</v>
      </c>
      <c r="AR24" s="70">
        <f t="shared" si="18"/>
        <v>-1215</v>
      </c>
      <c r="AS24" s="70">
        <f t="shared" si="18"/>
        <v>-2087</v>
      </c>
      <c r="AT24" s="242">
        <f t="shared" si="18"/>
        <v>-1676</v>
      </c>
      <c r="AU24" s="242">
        <f t="shared" ref="AU24:BD28" si="19">M24-Y24</f>
        <v>-944</v>
      </c>
      <c r="AV24" s="242">
        <f t="shared" si="19"/>
        <v>-2414</v>
      </c>
      <c r="AW24" s="242">
        <f t="shared" si="19"/>
        <v>-234</v>
      </c>
      <c r="AX24" s="242">
        <f t="shared" si="19"/>
        <v>-395</v>
      </c>
      <c r="AY24" s="242">
        <f t="shared" si="19"/>
        <v>1494</v>
      </c>
      <c r="AZ24" s="242">
        <f t="shared" si="19"/>
        <v>3737</v>
      </c>
      <c r="BA24" s="242">
        <f t="shared" si="19"/>
        <v>1986</v>
      </c>
      <c r="BB24" s="242">
        <f t="shared" si="19"/>
        <v>2391</v>
      </c>
      <c r="BC24" s="242">
        <f t="shared" si="19"/>
        <v>2250</v>
      </c>
      <c r="BD24" s="242">
        <f t="shared" si="19"/>
        <v>3431</v>
      </c>
      <c r="BE24" s="242">
        <f t="shared" ref="BE24:BN28" si="20">W24-AI24</f>
        <v>4284</v>
      </c>
      <c r="BF24" s="242">
        <f t="shared" si="20"/>
        <v>3642</v>
      </c>
    </row>
    <row r="25" spans="1:58"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63">
        <v>3196</v>
      </c>
      <c r="AG25" s="763">
        <f>63+2755</f>
        <v>2818</v>
      </c>
      <c r="AH25" s="763">
        <v>3442</v>
      </c>
      <c r="AI25" s="763">
        <f>74+1896</f>
        <v>1970</v>
      </c>
      <c r="AJ25" s="763">
        <f>82+1920</f>
        <v>2002</v>
      </c>
      <c r="AK25" s="71">
        <f t="shared" si="18"/>
        <v>443</v>
      </c>
      <c r="AL25" s="71">
        <f t="shared" si="18"/>
        <v>-32</v>
      </c>
      <c r="AM25" s="71">
        <f t="shared" si="18"/>
        <v>-463</v>
      </c>
      <c r="AN25" s="71">
        <f t="shared" si="18"/>
        <v>1081</v>
      </c>
      <c r="AO25" s="71">
        <f t="shared" si="18"/>
        <v>1176</v>
      </c>
      <c r="AP25" s="71">
        <f t="shared" si="18"/>
        <v>679</v>
      </c>
      <c r="AQ25" s="70">
        <f t="shared" si="18"/>
        <v>375</v>
      </c>
      <c r="AR25" s="70">
        <f t="shared" si="18"/>
        <v>415</v>
      </c>
      <c r="AS25" s="70">
        <f t="shared" si="18"/>
        <v>-258</v>
      </c>
      <c r="AT25" s="242">
        <f t="shared" si="18"/>
        <v>-1046</v>
      </c>
      <c r="AU25" s="242">
        <f t="shared" si="19"/>
        <v>-2033</v>
      </c>
      <c r="AV25" s="242">
        <f t="shared" si="19"/>
        <v>-2521</v>
      </c>
      <c r="AW25" s="242">
        <f t="shared" si="19"/>
        <v>-1433</v>
      </c>
      <c r="AX25" s="242">
        <f t="shared" si="19"/>
        <v>-216</v>
      </c>
      <c r="AY25" s="242">
        <f t="shared" si="19"/>
        <v>1748</v>
      </c>
      <c r="AZ25" s="242">
        <f t="shared" si="19"/>
        <v>664</v>
      </c>
      <c r="BA25" s="242">
        <f t="shared" si="19"/>
        <v>-441</v>
      </c>
      <c r="BB25" s="242">
        <f t="shared" si="19"/>
        <v>1175</v>
      </c>
      <c r="BC25" s="242">
        <f t="shared" si="19"/>
        <v>1894</v>
      </c>
      <c r="BD25" s="242">
        <f t="shared" si="19"/>
        <v>1212</v>
      </c>
      <c r="BE25" s="242">
        <f t="shared" si="20"/>
        <v>3253</v>
      </c>
      <c r="BF25" s="242">
        <f t="shared" si="20"/>
        <v>3337</v>
      </c>
    </row>
    <row r="26" spans="1:58"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63">
        <v>430</v>
      </c>
      <c r="AG26" s="763">
        <v>413</v>
      </c>
      <c r="AH26" s="763">
        <v>325</v>
      </c>
      <c r="AI26" s="763">
        <f>309+62+3</f>
        <v>374</v>
      </c>
      <c r="AJ26" s="763">
        <v>369</v>
      </c>
      <c r="AK26" s="71">
        <f t="shared" si="18"/>
        <v>-32</v>
      </c>
      <c r="AL26" s="71">
        <f t="shared" si="18"/>
        <v>-218</v>
      </c>
      <c r="AM26" s="71">
        <f t="shared" si="18"/>
        <v>-344</v>
      </c>
      <c r="AN26" s="71">
        <f t="shared" si="18"/>
        <v>-90</v>
      </c>
      <c r="AO26" s="71">
        <f t="shared" si="18"/>
        <v>-31</v>
      </c>
      <c r="AP26" s="71">
        <f t="shared" si="18"/>
        <v>12</v>
      </c>
      <c r="AQ26" s="70">
        <f t="shared" si="18"/>
        <v>-39</v>
      </c>
      <c r="AR26" s="70">
        <f t="shared" si="18"/>
        <v>-168</v>
      </c>
      <c r="AS26" s="70">
        <f t="shared" si="18"/>
        <v>-197</v>
      </c>
      <c r="AT26" s="242">
        <f t="shared" si="18"/>
        <v>-220</v>
      </c>
      <c r="AU26" s="242">
        <f t="shared" si="19"/>
        <v>-173</v>
      </c>
      <c r="AV26" s="242">
        <f t="shared" si="19"/>
        <v>-282</v>
      </c>
      <c r="AW26" s="242">
        <f t="shared" si="19"/>
        <v>-10</v>
      </c>
      <c r="AX26" s="242">
        <f t="shared" si="19"/>
        <v>211</v>
      </c>
      <c r="AY26" s="242">
        <f t="shared" si="19"/>
        <v>453</v>
      </c>
      <c r="AZ26" s="242">
        <f t="shared" si="19"/>
        <v>204</v>
      </c>
      <c r="BA26" s="242">
        <f t="shared" si="19"/>
        <v>59</v>
      </c>
      <c r="BB26" s="242">
        <f t="shared" si="19"/>
        <v>131</v>
      </c>
      <c r="BC26" s="242">
        <f t="shared" si="19"/>
        <v>147</v>
      </c>
      <c r="BD26" s="242">
        <f t="shared" si="19"/>
        <v>262</v>
      </c>
      <c r="BE26" s="242">
        <f t="shared" si="20"/>
        <v>309</v>
      </c>
      <c r="BF26" s="242">
        <f t="shared" si="20"/>
        <v>311</v>
      </c>
    </row>
    <row r="27" spans="1:58"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63">
        <v>38</v>
      </c>
      <c r="AG27" s="763">
        <v>34</v>
      </c>
      <c r="AH27" s="763">
        <v>35</v>
      </c>
      <c r="AI27" s="763">
        <f>11+6+12+3</f>
        <v>32</v>
      </c>
      <c r="AJ27" s="763">
        <v>27</v>
      </c>
      <c r="AK27" s="71">
        <f t="shared" si="18"/>
        <v>-8</v>
      </c>
      <c r="AL27" s="71">
        <f t="shared" si="18"/>
        <v>-42</v>
      </c>
      <c r="AM27" s="71">
        <f t="shared" si="18"/>
        <v>-52</v>
      </c>
      <c r="AN27" s="71">
        <f t="shared" si="18"/>
        <v>-31</v>
      </c>
      <c r="AO27" s="71">
        <f t="shared" si="18"/>
        <v>-29</v>
      </c>
      <c r="AP27" s="71">
        <f t="shared" si="18"/>
        <v>-11</v>
      </c>
      <c r="AQ27" s="70">
        <f t="shared" si="18"/>
        <v>-6</v>
      </c>
      <c r="AR27" s="70">
        <f t="shared" si="18"/>
        <v>-29</v>
      </c>
      <c r="AS27" s="70">
        <f t="shared" si="18"/>
        <v>-35</v>
      </c>
      <c r="AT27" s="242">
        <f t="shared" si="18"/>
        <v>-59</v>
      </c>
      <c r="AU27" s="242">
        <f t="shared" si="19"/>
        <v>-53</v>
      </c>
      <c r="AV27" s="242">
        <f t="shared" si="19"/>
        <v>-92</v>
      </c>
      <c r="AW27" s="242">
        <f t="shared" si="19"/>
        <v>0</v>
      </c>
      <c r="AX27" s="242">
        <f t="shared" si="19"/>
        <v>39</v>
      </c>
      <c r="AY27" s="242">
        <f t="shared" si="19"/>
        <v>57</v>
      </c>
      <c r="AZ27" s="242">
        <f t="shared" si="19"/>
        <v>20</v>
      </c>
      <c r="BA27" s="242">
        <f t="shared" si="19"/>
        <v>39</v>
      </c>
      <c r="BB27" s="242">
        <f t="shared" si="19"/>
        <v>35</v>
      </c>
      <c r="BC27" s="242">
        <f t="shared" si="19"/>
        <v>29</v>
      </c>
      <c r="BD27" s="242">
        <f t="shared" si="19"/>
        <v>30</v>
      </c>
      <c r="BE27" s="242">
        <f t="shared" si="20"/>
        <v>53</v>
      </c>
      <c r="BF27" s="242">
        <f t="shared" si="20"/>
        <v>82</v>
      </c>
    </row>
    <row r="28" spans="1:58"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63">
        <v>3</v>
      </c>
      <c r="AG28" s="763">
        <v>2</v>
      </c>
      <c r="AH28" s="763">
        <v>1</v>
      </c>
      <c r="AI28" s="763">
        <f>2</f>
        <v>2</v>
      </c>
      <c r="AJ28" s="763">
        <v>2</v>
      </c>
      <c r="AK28" s="71">
        <f t="shared" si="18"/>
        <v>0</v>
      </c>
      <c r="AL28" s="71">
        <f t="shared" si="18"/>
        <v>-2</v>
      </c>
      <c r="AM28" s="71">
        <f t="shared" si="18"/>
        <v>-5</v>
      </c>
      <c r="AN28" s="71">
        <f t="shared" si="18"/>
        <v>-3</v>
      </c>
      <c r="AO28" s="71">
        <f t="shared" si="18"/>
        <v>-2</v>
      </c>
      <c r="AP28" s="71">
        <f t="shared" si="18"/>
        <v>-2</v>
      </c>
      <c r="AQ28" s="70">
        <f t="shared" si="18"/>
        <v>-3</v>
      </c>
      <c r="AR28" s="70">
        <f t="shared" si="18"/>
        <v>0</v>
      </c>
      <c r="AS28" s="70">
        <f t="shared" si="18"/>
        <v>-1</v>
      </c>
      <c r="AT28" s="242">
        <f t="shared" si="18"/>
        <v>-3</v>
      </c>
      <c r="AU28" s="242">
        <f t="shared" si="19"/>
        <v>-1</v>
      </c>
      <c r="AV28" s="242">
        <f t="shared" si="19"/>
        <v>-4</v>
      </c>
      <c r="AW28" s="242">
        <f t="shared" si="19"/>
        <v>-1</v>
      </c>
      <c r="AX28" s="242">
        <f t="shared" si="19"/>
        <v>1</v>
      </c>
      <c r="AY28" s="242">
        <f t="shared" si="19"/>
        <v>5</v>
      </c>
      <c r="AZ28" s="242">
        <f t="shared" si="19"/>
        <v>5</v>
      </c>
      <c r="BA28" s="242">
        <f t="shared" si="19"/>
        <v>0</v>
      </c>
      <c r="BB28" s="242">
        <f t="shared" si="19"/>
        <v>1</v>
      </c>
      <c r="BC28" s="242">
        <f t="shared" si="19"/>
        <v>2</v>
      </c>
      <c r="BD28" s="242">
        <f t="shared" si="19"/>
        <v>0</v>
      </c>
      <c r="BE28" s="242">
        <f t="shared" si="20"/>
        <v>1</v>
      </c>
      <c r="BF28" s="242">
        <f t="shared" si="20"/>
        <v>2</v>
      </c>
    </row>
    <row r="29" spans="1:58" x14ac:dyDescent="0.25">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SUM(AG24:AG28)</f>
        <v>12834</v>
      </c>
      <c r="AH29" s="251">
        <f>SUM(AH24:AH28)</f>
        <v>11554</v>
      </c>
      <c r="AI29" s="251">
        <f>SUM(AI24:AI28)</f>
        <v>10477</v>
      </c>
      <c r="AJ29" s="251">
        <f>SUM(AJ24:AJ28)</f>
        <v>10862</v>
      </c>
      <c r="AK29" s="71">
        <f t="shared" ref="AK29:AT29" si="22">SUM(AK24:AK28)</f>
        <v>-44</v>
      </c>
      <c r="AL29" s="71">
        <f t="shared" si="22"/>
        <v>-509</v>
      </c>
      <c r="AM29" s="71">
        <f t="shared" si="22"/>
        <v>-1479</v>
      </c>
      <c r="AN29" s="71">
        <f t="shared" si="22"/>
        <v>500</v>
      </c>
      <c r="AO29" s="71">
        <f t="shared" si="22"/>
        <v>503</v>
      </c>
      <c r="AP29" s="71">
        <f t="shared" si="22"/>
        <v>-195</v>
      </c>
      <c r="AQ29" s="70">
        <f t="shared" si="22"/>
        <v>-812</v>
      </c>
      <c r="AR29" s="70">
        <f t="shared" si="22"/>
        <v>-997</v>
      </c>
      <c r="AS29" s="70">
        <f t="shared" si="22"/>
        <v>-2578</v>
      </c>
      <c r="AT29" s="242">
        <f t="shared" si="22"/>
        <v>-3004</v>
      </c>
      <c r="AU29" s="242">
        <f t="shared" ref="AU29:BF29" si="23">M29-Y29</f>
        <v>-3204</v>
      </c>
      <c r="AV29" s="242">
        <f t="shared" si="23"/>
        <v>-5313</v>
      </c>
      <c r="AW29" s="242">
        <f t="shared" si="23"/>
        <v>-1678</v>
      </c>
      <c r="AX29" s="242">
        <f t="shared" si="23"/>
        <v>-360</v>
      </c>
      <c r="AY29" s="242">
        <f t="shared" si="23"/>
        <v>3757</v>
      </c>
      <c r="AZ29" s="242">
        <f t="shared" si="23"/>
        <v>4630</v>
      </c>
      <c r="BA29" s="242">
        <f t="shared" si="23"/>
        <v>1643</v>
      </c>
      <c r="BB29" s="242">
        <f t="shared" si="23"/>
        <v>3733</v>
      </c>
      <c r="BC29" s="242">
        <f t="shared" si="23"/>
        <v>4322</v>
      </c>
      <c r="BD29" s="242">
        <f t="shared" si="23"/>
        <v>4935</v>
      </c>
      <c r="BE29" s="242">
        <f t="shared" si="23"/>
        <v>7900</v>
      </c>
      <c r="BF29" s="242">
        <f t="shared" si="23"/>
        <v>7374</v>
      </c>
    </row>
    <row r="30" spans="1:58"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63"/>
      <c r="AG30" s="763"/>
      <c r="AH30" s="763"/>
      <c r="AI30" s="763"/>
      <c r="AJ30" s="763"/>
      <c r="AK30" s="71"/>
      <c r="AL30" s="71"/>
      <c r="AM30" s="71"/>
      <c r="AN30" s="71"/>
      <c r="AO30" s="71"/>
      <c r="AP30" s="71"/>
      <c r="AQ30" s="70"/>
      <c r="AR30" s="313"/>
      <c r="AS30" s="313"/>
      <c r="AT30" s="313"/>
      <c r="AU30" s="403"/>
      <c r="AV30" s="69"/>
      <c r="AW30" s="171"/>
      <c r="AX30" s="171"/>
      <c r="AY30" s="171"/>
      <c r="AZ30" s="171"/>
      <c r="BA30" s="171"/>
      <c r="BB30" s="171"/>
      <c r="BC30" s="171"/>
      <c r="BD30" s="171"/>
      <c r="BE30" s="171"/>
      <c r="BF30" s="171"/>
    </row>
    <row r="31" spans="1:58"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63">
        <v>7670</v>
      </c>
      <c r="AG31" s="763">
        <v>8773</v>
      </c>
      <c r="AH31" s="763">
        <v>7672</v>
      </c>
      <c r="AI31" s="763">
        <f>309+5819+8</f>
        <v>6136</v>
      </c>
      <c r="AJ31" s="763">
        <f>371+6244+6</f>
        <v>6621</v>
      </c>
      <c r="AK31" s="71">
        <f t="shared" ref="AK31:AT35" si="24">C31-O31</f>
        <v>-1709</v>
      </c>
      <c r="AL31" s="71">
        <f t="shared" si="24"/>
        <v>-1567</v>
      </c>
      <c r="AM31" s="71">
        <f t="shared" si="24"/>
        <v>-1824</v>
      </c>
      <c r="AN31" s="71">
        <f t="shared" si="24"/>
        <v>-941</v>
      </c>
      <c r="AO31" s="71">
        <f t="shared" si="24"/>
        <v>-1380</v>
      </c>
      <c r="AP31" s="71">
        <f t="shared" si="24"/>
        <v>-1047</v>
      </c>
      <c r="AQ31" s="70">
        <f t="shared" si="24"/>
        <v>-1317</v>
      </c>
      <c r="AR31" s="70">
        <f t="shared" si="24"/>
        <v>-1511</v>
      </c>
      <c r="AS31" s="70">
        <f t="shared" si="24"/>
        <v>-1411</v>
      </c>
      <c r="AT31" s="242">
        <f t="shared" si="24"/>
        <v>-1743</v>
      </c>
      <c r="AU31" s="242">
        <f t="shared" ref="AU31:BD35" si="25">M31-Y31</f>
        <v>-2275</v>
      </c>
      <c r="AV31" s="242">
        <f t="shared" si="25"/>
        <v>-1803</v>
      </c>
      <c r="AW31" s="242">
        <f t="shared" si="25"/>
        <v>-1440</v>
      </c>
      <c r="AX31" s="242">
        <f t="shared" si="25"/>
        <v>-797</v>
      </c>
      <c r="AY31" s="242">
        <f t="shared" si="25"/>
        <v>826</v>
      </c>
      <c r="AZ31" s="242">
        <f t="shared" si="25"/>
        <v>2442</v>
      </c>
      <c r="BA31" s="242">
        <f t="shared" si="25"/>
        <v>2886</v>
      </c>
      <c r="BB31" s="242">
        <f t="shared" si="25"/>
        <v>1060</v>
      </c>
      <c r="BC31" s="242">
        <f t="shared" si="25"/>
        <v>64</v>
      </c>
      <c r="BD31" s="242">
        <f t="shared" si="25"/>
        <v>794</v>
      </c>
      <c r="BE31" s="242">
        <f t="shared" ref="BE31:BN35" si="26">W31-AI31</f>
        <v>2216</v>
      </c>
      <c r="BF31" s="242">
        <f t="shared" si="26"/>
        <v>1630</v>
      </c>
    </row>
    <row r="32" spans="1:58"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63">
        <v>3903</v>
      </c>
      <c r="AG32" s="763">
        <v>3020</v>
      </c>
      <c r="AH32" s="763">
        <v>2512</v>
      </c>
      <c r="AI32" s="763">
        <f>50+1624</f>
        <v>1674</v>
      </c>
      <c r="AJ32" s="763">
        <f>66+1705</f>
        <v>1771</v>
      </c>
      <c r="AK32" s="71">
        <f t="shared" si="24"/>
        <v>-148</v>
      </c>
      <c r="AL32" s="71">
        <f t="shared" si="24"/>
        <v>-211</v>
      </c>
      <c r="AM32" s="71">
        <f t="shared" si="24"/>
        <v>-417</v>
      </c>
      <c r="AN32" s="71">
        <f t="shared" si="24"/>
        <v>1188</v>
      </c>
      <c r="AO32" s="71">
        <f t="shared" si="24"/>
        <v>1171</v>
      </c>
      <c r="AP32" s="71">
        <f t="shared" si="24"/>
        <v>1078</v>
      </c>
      <c r="AQ32" s="70">
        <f t="shared" si="24"/>
        <v>498</v>
      </c>
      <c r="AR32" s="70">
        <f t="shared" si="24"/>
        <v>399</v>
      </c>
      <c r="AS32" s="70">
        <f t="shared" si="24"/>
        <v>4</v>
      </c>
      <c r="AT32" s="242">
        <f t="shared" si="24"/>
        <v>-830</v>
      </c>
      <c r="AU32" s="242">
        <f t="shared" si="25"/>
        <v>-1537</v>
      </c>
      <c r="AV32" s="242">
        <f t="shared" si="25"/>
        <v>-1182</v>
      </c>
      <c r="AW32" s="242">
        <f t="shared" si="25"/>
        <v>-1138</v>
      </c>
      <c r="AX32" s="242">
        <f t="shared" si="25"/>
        <v>-566</v>
      </c>
      <c r="AY32" s="242">
        <f t="shared" si="25"/>
        <v>1111</v>
      </c>
      <c r="AZ32" s="242">
        <f t="shared" si="25"/>
        <v>-1227</v>
      </c>
      <c r="BA32" s="242">
        <f t="shared" si="25"/>
        <v>455</v>
      </c>
      <c r="BB32" s="242">
        <f t="shared" si="25"/>
        <v>-669</v>
      </c>
      <c r="BC32" s="242">
        <f t="shared" si="25"/>
        <v>798</v>
      </c>
      <c r="BD32" s="242">
        <f t="shared" si="25"/>
        <v>1385</v>
      </c>
      <c r="BE32" s="242">
        <f t="shared" si="26"/>
        <v>2412</v>
      </c>
      <c r="BF32" s="242">
        <f t="shared" si="26"/>
        <v>2335</v>
      </c>
    </row>
    <row r="33" spans="1:58"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63">
        <v>347</v>
      </c>
      <c r="AG33" s="763">
        <v>294</v>
      </c>
      <c r="AH33" s="763">
        <v>313</v>
      </c>
      <c r="AI33" s="763">
        <f>206+36+2</f>
        <v>244</v>
      </c>
      <c r="AJ33" s="763">
        <v>263</v>
      </c>
      <c r="AK33" s="71">
        <f t="shared" si="24"/>
        <v>-32</v>
      </c>
      <c r="AL33" s="71">
        <f t="shared" si="24"/>
        <v>-149</v>
      </c>
      <c r="AM33" s="71">
        <f t="shared" si="24"/>
        <v>-233</v>
      </c>
      <c r="AN33" s="71">
        <f t="shared" si="24"/>
        <v>-105</v>
      </c>
      <c r="AO33" s="71">
        <f t="shared" si="24"/>
        <v>-65</v>
      </c>
      <c r="AP33" s="71">
        <f t="shared" si="24"/>
        <v>-40</v>
      </c>
      <c r="AQ33" s="70">
        <f t="shared" si="24"/>
        <v>-21</v>
      </c>
      <c r="AR33" s="70">
        <f t="shared" si="24"/>
        <v>-73</v>
      </c>
      <c r="AS33" s="70">
        <f t="shared" si="24"/>
        <v>-123</v>
      </c>
      <c r="AT33" s="242">
        <f t="shared" si="24"/>
        <v>-107</v>
      </c>
      <c r="AU33" s="242">
        <f t="shared" si="25"/>
        <v>-118</v>
      </c>
      <c r="AV33" s="242">
        <f t="shared" si="25"/>
        <v>-76</v>
      </c>
      <c r="AW33" s="242">
        <f t="shared" si="25"/>
        <v>-49</v>
      </c>
      <c r="AX33" s="242">
        <f t="shared" si="25"/>
        <v>106</v>
      </c>
      <c r="AY33" s="242">
        <f t="shared" si="25"/>
        <v>276</v>
      </c>
      <c r="AZ33" s="242">
        <f t="shared" si="25"/>
        <v>116</v>
      </c>
      <c r="BA33" s="242">
        <f t="shared" si="25"/>
        <v>121</v>
      </c>
      <c r="BB33" s="242">
        <f t="shared" si="25"/>
        <v>-18</v>
      </c>
      <c r="BC33" s="242">
        <f t="shared" si="25"/>
        <v>-2</v>
      </c>
      <c r="BD33" s="242">
        <f t="shared" si="25"/>
        <v>-11</v>
      </c>
      <c r="BE33" s="242">
        <f t="shared" si="26"/>
        <v>108</v>
      </c>
      <c r="BF33" s="242">
        <f t="shared" si="26"/>
        <v>66</v>
      </c>
    </row>
    <row r="34" spans="1:58"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63">
        <v>26</v>
      </c>
      <c r="AG34" s="763">
        <v>23</v>
      </c>
      <c r="AH34" s="763">
        <v>23</v>
      </c>
      <c r="AI34" s="763">
        <f>6+5+6+2</f>
        <v>19</v>
      </c>
      <c r="AJ34" s="763">
        <v>18</v>
      </c>
      <c r="AK34" s="71">
        <f t="shared" si="24"/>
        <v>-12</v>
      </c>
      <c r="AL34" s="71">
        <f t="shared" si="24"/>
        <v>-35</v>
      </c>
      <c r="AM34" s="71">
        <f t="shared" si="24"/>
        <v>-36</v>
      </c>
      <c r="AN34" s="71">
        <f t="shared" si="24"/>
        <v>-26</v>
      </c>
      <c r="AO34" s="71">
        <f t="shared" si="24"/>
        <v>-20</v>
      </c>
      <c r="AP34" s="71">
        <f t="shared" si="24"/>
        <v>-17</v>
      </c>
      <c r="AQ34" s="70">
        <f t="shared" si="24"/>
        <v>-19</v>
      </c>
      <c r="AR34" s="70">
        <f t="shared" si="24"/>
        <v>-16</v>
      </c>
      <c r="AS34" s="70">
        <f t="shared" si="24"/>
        <v>-12</v>
      </c>
      <c r="AT34" s="242">
        <f t="shared" si="24"/>
        <v>-16</v>
      </c>
      <c r="AU34" s="242">
        <f t="shared" si="25"/>
        <v>-21</v>
      </c>
      <c r="AV34" s="242">
        <f t="shared" si="25"/>
        <v>-24</v>
      </c>
      <c r="AW34" s="242">
        <f t="shared" si="25"/>
        <v>-8</v>
      </c>
      <c r="AX34" s="242">
        <f t="shared" si="25"/>
        <v>20</v>
      </c>
      <c r="AY34" s="242">
        <f t="shared" si="25"/>
        <v>34</v>
      </c>
      <c r="AZ34" s="242">
        <f t="shared" si="25"/>
        <v>13</v>
      </c>
      <c r="BA34" s="242">
        <f t="shared" si="25"/>
        <v>21</v>
      </c>
      <c r="BB34" s="242">
        <f t="shared" si="25"/>
        <v>14</v>
      </c>
      <c r="BC34" s="242">
        <f t="shared" si="25"/>
        <v>14</v>
      </c>
      <c r="BD34" s="242">
        <f t="shared" si="25"/>
        <v>10</v>
      </c>
      <c r="BE34" s="242">
        <f t="shared" si="26"/>
        <v>15</v>
      </c>
      <c r="BF34" s="242">
        <f t="shared" si="26"/>
        <v>9</v>
      </c>
    </row>
    <row r="35" spans="1:58"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63">
        <v>1</v>
      </c>
      <c r="AG35" s="763">
        <v>2</v>
      </c>
      <c r="AH35" s="763">
        <v>1</v>
      </c>
      <c r="AI35" s="763">
        <f>1</f>
        <v>1</v>
      </c>
      <c r="AJ35" s="763">
        <v>1</v>
      </c>
      <c r="AK35" s="71">
        <f t="shared" si="24"/>
        <v>0</v>
      </c>
      <c r="AL35" s="71">
        <f t="shared" si="24"/>
        <v>0</v>
      </c>
      <c r="AM35" s="71">
        <f t="shared" si="24"/>
        <v>-3</v>
      </c>
      <c r="AN35" s="71">
        <f t="shared" si="24"/>
        <v>-4</v>
      </c>
      <c r="AO35" s="71">
        <f t="shared" si="24"/>
        <v>-1</v>
      </c>
      <c r="AP35" s="71">
        <f t="shared" si="24"/>
        <v>-2</v>
      </c>
      <c r="AQ35" s="70">
        <f t="shared" si="24"/>
        <v>0</v>
      </c>
      <c r="AR35" s="70">
        <f t="shared" si="24"/>
        <v>-1</v>
      </c>
      <c r="AS35" s="70">
        <f t="shared" si="24"/>
        <v>0</v>
      </c>
      <c r="AT35" s="242">
        <f t="shared" si="24"/>
        <v>0</v>
      </c>
      <c r="AU35" s="242">
        <f t="shared" si="25"/>
        <v>0</v>
      </c>
      <c r="AV35" s="242">
        <f t="shared" si="25"/>
        <v>1</v>
      </c>
      <c r="AW35" s="242">
        <f t="shared" si="25"/>
        <v>0</v>
      </c>
      <c r="AX35" s="242">
        <f t="shared" si="25"/>
        <v>0</v>
      </c>
      <c r="AY35" s="242">
        <f t="shared" si="25"/>
        <v>2</v>
      </c>
      <c r="AZ35" s="242">
        <f t="shared" si="25"/>
        <v>3</v>
      </c>
      <c r="BA35" s="242">
        <f t="shared" si="25"/>
        <v>0</v>
      </c>
      <c r="BB35" s="242">
        <f t="shared" si="25"/>
        <v>1</v>
      </c>
      <c r="BC35" s="242">
        <f t="shared" si="25"/>
        <v>-1</v>
      </c>
      <c r="BD35" s="242">
        <f t="shared" si="25"/>
        <v>0</v>
      </c>
      <c r="BE35" s="242">
        <f t="shared" si="26"/>
        <v>0</v>
      </c>
      <c r="BF35" s="242">
        <f t="shared" si="26"/>
        <v>-1</v>
      </c>
    </row>
    <row r="36" spans="1:58" x14ac:dyDescent="0.25">
      <c r="A36" s="4"/>
      <c r="B36" s="35" t="s">
        <v>41</v>
      </c>
      <c r="C36" s="131">
        <f t="shared" ref="C36:AF36" si="27">SUM(C31:C35)</f>
        <v>7919</v>
      </c>
      <c r="D36" s="71">
        <f t="shared" si="27"/>
        <v>9129</v>
      </c>
      <c r="E36" s="71">
        <f t="shared" si="27"/>
        <v>9359</v>
      </c>
      <c r="F36" s="71">
        <f t="shared" si="27"/>
        <v>11166</v>
      </c>
      <c r="G36" s="71">
        <f t="shared" si="27"/>
        <v>12015</v>
      </c>
      <c r="H36" s="71">
        <f t="shared" si="27"/>
        <v>12307</v>
      </c>
      <c r="I36" s="71">
        <f t="shared" si="27"/>
        <v>12126</v>
      </c>
      <c r="J36" s="71">
        <f t="shared" si="27"/>
        <v>11497</v>
      </c>
      <c r="K36" s="71">
        <f t="shared" si="27"/>
        <v>11283</v>
      </c>
      <c r="L36" s="162">
        <f t="shared" si="27"/>
        <v>10017</v>
      </c>
      <c r="M36" s="71">
        <f t="shared" si="27"/>
        <v>8779</v>
      </c>
      <c r="N36" s="71">
        <f t="shared" si="27"/>
        <v>8825</v>
      </c>
      <c r="O36" s="71">
        <f t="shared" si="27"/>
        <v>9820</v>
      </c>
      <c r="P36" s="71">
        <f t="shared" si="27"/>
        <v>11091</v>
      </c>
      <c r="Q36" s="71">
        <f t="shared" si="27"/>
        <v>11872</v>
      </c>
      <c r="R36" s="71">
        <f t="shared" si="27"/>
        <v>11054</v>
      </c>
      <c r="S36" s="71">
        <f t="shared" si="27"/>
        <v>12310</v>
      </c>
      <c r="T36" s="71">
        <f t="shared" si="27"/>
        <v>12335</v>
      </c>
      <c r="U36" s="172">
        <f t="shared" si="27"/>
        <v>12985</v>
      </c>
      <c r="V36" s="172">
        <f t="shared" si="27"/>
        <v>12699</v>
      </c>
      <c r="W36" s="172">
        <f t="shared" si="27"/>
        <v>12825</v>
      </c>
      <c r="X36" s="162">
        <f t="shared" si="27"/>
        <v>12713</v>
      </c>
      <c r="Y36" s="162">
        <f t="shared" si="27"/>
        <v>12730</v>
      </c>
      <c r="Z36" s="162">
        <f t="shared" si="27"/>
        <v>11909</v>
      </c>
      <c r="AA36" s="162">
        <f t="shared" si="27"/>
        <v>12455</v>
      </c>
      <c r="AB36" s="162">
        <f t="shared" si="27"/>
        <v>12328</v>
      </c>
      <c r="AC36" s="162">
        <f t="shared" si="27"/>
        <v>9623</v>
      </c>
      <c r="AD36" s="251">
        <f t="shared" si="27"/>
        <v>9707</v>
      </c>
      <c r="AE36" s="251">
        <f t="shared" si="27"/>
        <v>8827</v>
      </c>
      <c r="AF36" s="251">
        <f t="shared" si="27"/>
        <v>11947</v>
      </c>
      <c r="AG36" s="251">
        <f>SUM(AG31:AG35)</f>
        <v>12112</v>
      </c>
      <c r="AH36" s="251">
        <f>SUM(AH31:AH35)</f>
        <v>10521</v>
      </c>
      <c r="AI36" s="251">
        <f>SUM(AI31:AI35)</f>
        <v>8074</v>
      </c>
      <c r="AJ36" s="251">
        <f>SUM(AJ31:AJ35)</f>
        <v>8674</v>
      </c>
      <c r="AK36" s="71">
        <f t="shared" ref="AK36:AT36" si="28">SUM(AK31:AK35)</f>
        <v>-1901</v>
      </c>
      <c r="AL36" s="71">
        <f t="shared" si="28"/>
        <v>-1962</v>
      </c>
      <c r="AM36" s="71">
        <f t="shared" si="28"/>
        <v>-2513</v>
      </c>
      <c r="AN36" s="71">
        <f t="shared" si="28"/>
        <v>112</v>
      </c>
      <c r="AO36" s="71">
        <f t="shared" si="28"/>
        <v>-295</v>
      </c>
      <c r="AP36" s="71">
        <f t="shared" si="28"/>
        <v>-28</v>
      </c>
      <c r="AQ36" s="70">
        <f t="shared" si="28"/>
        <v>-859</v>
      </c>
      <c r="AR36" s="70">
        <f t="shared" si="28"/>
        <v>-1202</v>
      </c>
      <c r="AS36" s="70">
        <f t="shared" si="28"/>
        <v>-1542</v>
      </c>
      <c r="AT36" s="242">
        <f t="shared" si="28"/>
        <v>-2696</v>
      </c>
      <c r="AU36" s="242">
        <f t="shared" ref="AU36:BF36" si="29">M36-Y36</f>
        <v>-3951</v>
      </c>
      <c r="AV36" s="242">
        <f t="shared" si="29"/>
        <v>-3084</v>
      </c>
      <c r="AW36" s="242">
        <f t="shared" si="29"/>
        <v>-2635</v>
      </c>
      <c r="AX36" s="242">
        <f t="shared" si="29"/>
        <v>-1237</v>
      </c>
      <c r="AY36" s="242">
        <f t="shared" si="29"/>
        <v>2249</v>
      </c>
      <c r="AZ36" s="242">
        <f t="shared" si="29"/>
        <v>1347</v>
      </c>
      <c r="BA36" s="242">
        <f t="shared" si="29"/>
        <v>3483</v>
      </c>
      <c r="BB36" s="242">
        <f t="shared" si="29"/>
        <v>388</v>
      </c>
      <c r="BC36" s="242">
        <f t="shared" si="29"/>
        <v>873</v>
      </c>
      <c r="BD36" s="242">
        <f t="shared" si="29"/>
        <v>2178</v>
      </c>
      <c r="BE36" s="242">
        <f t="shared" si="29"/>
        <v>4751</v>
      </c>
      <c r="BF36" s="242">
        <f t="shared" si="29"/>
        <v>4039</v>
      </c>
    </row>
    <row r="37" spans="1:58"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63"/>
      <c r="AG37" s="763"/>
      <c r="AH37" s="763"/>
      <c r="AI37" s="763"/>
      <c r="AJ37" s="763"/>
      <c r="AK37" s="71"/>
      <c r="AL37" s="71"/>
      <c r="AM37" s="71"/>
      <c r="AN37" s="71"/>
      <c r="AO37" s="71"/>
      <c r="AP37" s="71"/>
      <c r="AQ37" s="70"/>
      <c r="AR37" s="313"/>
      <c r="AS37" s="313"/>
      <c r="AT37" s="313"/>
      <c r="AU37" s="403"/>
      <c r="AV37" s="69"/>
      <c r="AW37" s="171"/>
      <c r="AX37" s="171"/>
      <c r="AY37" s="171"/>
      <c r="AZ37" s="171"/>
      <c r="BA37" s="171"/>
      <c r="BB37" s="171"/>
      <c r="BC37" s="171"/>
      <c r="BD37" s="171"/>
      <c r="BE37" s="171"/>
      <c r="BF37" s="171"/>
    </row>
    <row r="38" spans="1:58"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63">
        <v>6426</v>
      </c>
      <c r="AG38" s="763">
        <f>325+5952+8</f>
        <v>6285</v>
      </c>
      <c r="AH38" s="763">
        <v>6614</v>
      </c>
      <c r="AI38" s="763">
        <f>303+6144+6</f>
        <v>6453</v>
      </c>
      <c r="AJ38" s="763">
        <f>310+6047+5</f>
        <v>6362</v>
      </c>
      <c r="AK38" s="71">
        <f t="shared" ref="AK38:AT39" si="30">C38-O38</f>
        <v>-224</v>
      </c>
      <c r="AL38" s="71">
        <f t="shared" si="30"/>
        <v>-1509</v>
      </c>
      <c r="AM38" s="71">
        <f t="shared" si="30"/>
        <v>-2029</v>
      </c>
      <c r="AN38" s="71">
        <f t="shared" si="30"/>
        <v>-2018</v>
      </c>
      <c r="AO38" s="71">
        <f t="shared" si="30"/>
        <v>-1127</v>
      </c>
      <c r="AP38" s="71">
        <f t="shared" si="30"/>
        <v>-1430</v>
      </c>
      <c r="AQ38" s="70">
        <f t="shared" si="30"/>
        <v>-1438</v>
      </c>
      <c r="AR38" s="70">
        <f t="shared" si="30"/>
        <v>-1439</v>
      </c>
      <c r="AS38" s="70">
        <f t="shared" si="30"/>
        <v>-1703</v>
      </c>
      <c r="AT38" s="242">
        <f t="shared" si="30"/>
        <v>-1829</v>
      </c>
      <c r="AU38" s="242">
        <f t="shared" ref="AU38:BD39" si="31">M38-Y38</f>
        <v>-2663</v>
      </c>
      <c r="AV38" s="242">
        <f t="shared" si="31"/>
        <v>-3462</v>
      </c>
      <c r="AW38" s="242">
        <f t="shared" si="31"/>
        <v>-3077</v>
      </c>
      <c r="AX38" s="242">
        <f t="shared" si="31"/>
        <v>-2431</v>
      </c>
      <c r="AY38" s="242">
        <f t="shared" si="31"/>
        <v>-332</v>
      </c>
      <c r="AZ38" s="242">
        <f t="shared" si="31"/>
        <v>1423</v>
      </c>
      <c r="BA38" s="242">
        <f t="shared" si="31"/>
        <v>650</v>
      </c>
      <c r="BB38" s="242">
        <f t="shared" si="31"/>
        <v>1335</v>
      </c>
      <c r="BC38" s="242">
        <f t="shared" si="31"/>
        <v>1317</v>
      </c>
      <c r="BD38" s="242">
        <f t="shared" si="31"/>
        <v>693</v>
      </c>
      <c r="BE38" s="242">
        <f t="shared" ref="BE38:BN39" si="32">W38-AI38</f>
        <v>959</v>
      </c>
      <c r="BF38" s="242">
        <f t="shared" si="32"/>
        <v>870</v>
      </c>
    </row>
    <row r="39" spans="1:58"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63">
        <v>2651</v>
      </c>
      <c r="AG39" s="763">
        <f>53+3421</f>
        <v>3474</v>
      </c>
      <c r="AH39" s="763">
        <v>2556</v>
      </c>
      <c r="AI39" s="763">
        <f>47+1860</f>
        <v>1907</v>
      </c>
      <c r="AJ39" s="763">
        <f>59+1956</f>
        <v>2015</v>
      </c>
      <c r="AK39" s="71">
        <f t="shared" si="30"/>
        <v>251</v>
      </c>
      <c r="AL39" s="71">
        <f t="shared" si="30"/>
        <v>-352</v>
      </c>
      <c r="AM39" s="71">
        <f t="shared" si="30"/>
        <v>-656</v>
      </c>
      <c r="AN39" s="71">
        <f t="shared" si="30"/>
        <v>902</v>
      </c>
      <c r="AO39" s="71">
        <f t="shared" si="30"/>
        <v>1379</v>
      </c>
      <c r="AP39" s="71">
        <f t="shared" si="30"/>
        <v>1187</v>
      </c>
      <c r="AQ39" s="70">
        <f t="shared" si="30"/>
        <v>903</v>
      </c>
      <c r="AR39" s="70">
        <f t="shared" si="30"/>
        <v>603</v>
      </c>
      <c r="AS39" s="70">
        <f t="shared" si="30"/>
        <v>117</v>
      </c>
      <c r="AT39" s="242">
        <f t="shared" si="30"/>
        <v>-515</v>
      </c>
      <c r="AU39" s="242">
        <f t="shared" si="31"/>
        <v>-1271</v>
      </c>
      <c r="AV39" s="242">
        <f t="shared" si="31"/>
        <v>-1413</v>
      </c>
      <c r="AW39" s="242">
        <f t="shared" si="31"/>
        <v>-1099</v>
      </c>
      <c r="AX39" s="242">
        <f t="shared" si="31"/>
        <v>-708</v>
      </c>
      <c r="AY39" s="242">
        <f t="shared" si="31"/>
        <v>777</v>
      </c>
      <c r="AZ39" s="242">
        <f t="shared" si="31"/>
        <v>-1500</v>
      </c>
      <c r="BA39" s="242">
        <f t="shared" si="31"/>
        <v>-1467</v>
      </c>
      <c r="BB39" s="242">
        <f t="shared" si="31"/>
        <v>70</v>
      </c>
      <c r="BC39" s="242">
        <f t="shared" si="31"/>
        <v>-399</v>
      </c>
      <c r="BD39" s="242">
        <f t="shared" si="31"/>
        <v>775</v>
      </c>
      <c r="BE39" s="242">
        <f t="shared" si="32"/>
        <v>1740</v>
      </c>
      <c r="BF39" s="242">
        <f t="shared" si="32"/>
        <v>1513</v>
      </c>
    </row>
    <row r="40" spans="1:58"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63">
        <v>247</v>
      </c>
      <c r="AG40" s="763">
        <v>263</v>
      </c>
      <c r="AH40" s="763">
        <v>248</v>
      </c>
      <c r="AI40" s="763">
        <f>201+34+2</f>
        <v>237</v>
      </c>
      <c r="AJ40" s="763">
        <v>220</v>
      </c>
      <c r="AK40" s="71">
        <f>C26-O40</f>
        <v>419</v>
      </c>
      <c r="AL40" s="71">
        <f t="shared" ref="AL40:AU42" si="33">D40-P40</f>
        <v>-75</v>
      </c>
      <c r="AM40" s="71">
        <f t="shared" si="33"/>
        <v>-111</v>
      </c>
      <c r="AN40" s="71">
        <f t="shared" si="33"/>
        <v>-118</v>
      </c>
      <c r="AO40" s="71">
        <f t="shared" si="33"/>
        <v>-91</v>
      </c>
      <c r="AP40" s="71">
        <f t="shared" si="33"/>
        <v>-44</v>
      </c>
      <c r="AQ40" s="70">
        <f t="shared" si="33"/>
        <v>-14</v>
      </c>
      <c r="AR40" s="70">
        <f t="shared" si="33"/>
        <v>-59</v>
      </c>
      <c r="AS40" s="70">
        <f t="shared" si="33"/>
        <v>-87</v>
      </c>
      <c r="AT40" s="242">
        <f t="shared" si="33"/>
        <v>-121</v>
      </c>
      <c r="AU40" s="242">
        <f t="shared" si="33"/>
        <v>-100</v>
      </c>
      <c r="AV40" s="242">
        <f t="shared" ref="AV40:BE42" si="34">N40-Z40</f>
        <v>-107</v>
      </c>
      <c r="AW40" s="242">
        <f t="shared" si="34"/>
        <v>-73</v>
      </c>
      <c r="AX40" s="242">
        <f t="shared" si="34"/>
        <v>-38</v>
      </c>
      <c r="AY40" s="242">
        <f t="shared" si="34"/>
        <v>106</v>
      </c>
      <c r="AZ40" s="242">
        <f t="shared" si="34"/>
        <v>105</v>
      </c>
      <c r="BA40" s="242">
        <f t="shared" si="34"/>
        <v>34</v>
      </c>
      <c r="BB40" s="242">
        <f t="shared" si="34"/>
        <v>2</v>
      </c>
      <c r="BC40" s="242">
        <f t="shared" si="34"/>
        <v>-46</v>
      </c>
      <c r="BD40" s="242">
        <f t="shared" si="34"/>
        <v>-36</v>
      </c>
      <c r="BE40" s="242">
        <f t="shared" si="34"/>
        <v>10</v>
      </c>
      <c r="BF40" s="242">
        <f t="shared" ref="BF40:BO42" si="35">X40-AJ40</f>
        <v>54</v>
      </c>
    </row>
    <row r="41" spans="1:58"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63">
        <v>19</v>
      </c>
      <c r="AG41" s="763">
        <v>18</v>
      </c>
      <c r="AH41" s="763">
        <v>24</v>
      </c>
      <c r="AI41" s="763">
        <f>6+4+5</f>
        <v>15</v>
      </c>
      <c r="AJ41" s="763">
        <v>15</v>
      </c>
      <c r="AK41" s="71">
        <f>C27-O41</f>
        <v>61</v>
      </c>
      <c r="AL41" s="71">
        <f t="shared" si="33"/>
        <v>-10</v>
      </c>
      <c r="AM41" s="71">
        <f t="shared" si="33"/>
        <v>-22</v>
      </c>
      <c r="AN41" s="71">
        <f t="shared" si="33"/>
        <v>-25</v>
      </c>
      <c r="AO41" s="71">
        <f t="shared" si="33"/>
        <v>-26</v>
      </c>
      <c r="AP41" s="71">
        <f t="shared" si="33"/>
        <v>-18</v>
      </c>
      <c r="AQ41" s="70">
        <f t="shared" si="33"/>
        <v>-17</v>
      </c>
      <c r="AR41" s="70">
        <f t="shared" si="33"/>
        <v>-16</v>
      </c>
      <c r="AS41" s="70">
        <f t="shared" si="33"/>
        <v>-12</v>
      </c>
      <c r="AT41" s="242">
        <f t="shared" si="33"/>
        <v>-12</v>
      </c>
      <c r="AU41" s="242">
        <f t="shared" si="33"/>
        <v>-14</v>
      </c>
      <c r="AV41" s="242">
        <f t="shared" si="34"/>
        <v>-14</v>
      </c>
      <c r="AW41" s="242">
        <f t="shared" si="34"/>
        <v>-10</v>
      </c>
      <c r="AX41" s="242">
        <f t="shared" si="34"/>
        <v>4</v>
      </c>
      <c r="AY41" s="242">
        <f t="shared" si="34"/>
        <v>19</v>
      </c>
      <c r="AZ41" s="242">
        <f t="shared" si="34"/>
        <v>18</v>
      </c>
      <c r="BA41" s="242">
        <f t="shared" si="34"/>
        <v>24</v>
      </c>
      <c r="BB41" s="242">
        <f t="shared" si="34"/>
        <v>14</v>
      </c>
      <c r="BC41" s="242">
        <f t="shared" si="34"/>
        <v>13</v>
      </c>
      <c r="BD41" s="242">
        <f t="shared" si="34"/>
        <v>4</v>
      </c>
      <c r="BE41" s="242">
        <f t="shared" si="34"/>
        <v>9</v>
      </c>
      <c r="BF41" s="242">
        <f t="shared" si="35"/>
        <v>3</v>
      </c>
    </row>
    <row r="42" spans="1:58"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63">
        <v>1</v>
      </c>
      <c r="AG42" s="763">
        <v>1</v>
      </c>
      <c r="AH42" s="763">
        <v>1</v>
      </c>
      <c r="AI42" s="763">
        <v>1</v>
      </c>
      <c r="AJ42" s="763">
        <v>0</v>
      </c>
      <c r="AK42" s="71">
        <f>C42-O42</f>
        <v>0</v>
      </c>
      <c r="AL42" s="71">
        <f t="shared" si="33"/>
        <v>0</v>
      </c>
      <c r="AM42" s="71">
        <f t="shared" si="33"/>
        <v>0</v>
      </c>
      <c r="AN42" s="71">
        <f t="shared" si="33"/>
        <v>-2</v>
      </c>
      <c r="AO42" s="71">
        <f t="shared" si="33"/>
        <v>-2</v>
      </c>
      <c r="AP42" s="71">
        <f t="shared" si="33"/>
        <v>-1</v>
      </c>
      <c r="AQ42" s="70">
        <f t="shared" si="33"/>
        <v>-1</v>
      </c>
      <c r="AR42" s="70">
        <f t="shared" si="33"/>
        <v>-1</v>
      </c>
      <c r="AS42" s="70">
        <f t="shared" si="33"/>
        <v>-1</v>
      </c>
      <c r="AT42" s="242">
        <f t="shared" si="33"/>
        <v>1</v>
      </c>
      <c r="AU42" s="242">
        <f t="shared" si="33"/>
        <v>1</v>
      </c>
      <c r="AV42" s="242">
        <f t="shared" si="34"/>
        <v>1</v>
      </c>
      <c r="AW42" s="242">
        <f t="shared" si="34"/>
        <v>0</v>
      </c>
      <c r="AX42" s="242">
        <f t="shared" si="34"/>
        <v>0</v>
      </c>
      <c r="AY42" s="242">
        <f t="shared" si="34"/>
        <v>0</v>
      </c>
      <c r="AZ42" s="242">
        <f t="shared" si="34"/>
        <v>2</v>
      </c>
      <c r="BA42" s="242">
        <f t="shared" si="34"/>
        <v>1</v>
      </c>
      <c r="BB42" s="242">
        <f t="shared" si="34"/>
        <v>0</v>
      </c>
      <c r="BC42" s="242">
        <f t="shared" si="34"/>
        <v>0</v>
      </c>
      <c r="BD42" s="242">
        <f t="shared" si="34"/>
        <v>0</v>
      </c>
      <c r="BE42" s="242">
        <f t="shared" si="34"/>
        <v>0</v>
      </c>
      <c r="BF42" s="242">
        <f t="shared" si="35"/>
        <v>0</v>
      </c>
    </row>
    <row r="43" spans="1:58" ht="15.75" thickBot="1" x14ac:dyDescent="0.3">
      <c r="A43" s="4"/>
      <c r="B43" s="37" t="s">
        <v>41</v>
      </c>
      <c r="C43" s="122">
        <f t="shared" ref="C43:AD43" si="36">SUM(C38:C42)</f>
        <v>6139</v>
      </c>
      <c r="D43" s="60">
        <f t="shared" si="36"/>
        <v>5571</v>
      </c>
      <c r="E43" s="60">
        <f t="shared" si="36"/>
        <v>5764</v>
      </c>
      <c r="F43" s="60">
        <f t="shared" si="36"/>
        <v>7309</v>
      </c>
      <c r="G43" s="60">
        <f t="shared" si="36"/>
        <v>8758</v>
      </c>
      <c r="H43" s="60">
        <f t="shared" si="36"/>
        <v>10459</v>
      </c>
      <c r="I43" s="60">
        <f t="shared" si="36"/>
        <v>10359</v>
      </c>
      <c r="J43" s="60">
        <f t="shared" si="36"/>
        <v>9967</v>
      </c>
      <c r="K43" s="60">
        <f t="shared" si="36"/>
        <v>9645</v>
      </c>
      <c r="L43" s="163">
        <f t="shared" si="36"/>
        <v>8576</v>
      </c>
      <c r="M43" s="60">
        <f t="shared" si="36"/>
        <v>7143</v>
      </c>
      <c r="N43" s="60">
        <f t="shared" si="36"/>
        <v>6113</v>
      </c>
      <c r="O43" s="60">
        <f t="shared" si="36"/>
        <v>6143</v>
      </c>
      <c r="P43" s="60">
        <f t="shared" si="36"/>
        <v>7517</v>
      </c>
      <c r="Q43" s="60">
        <f t="shared" si="36"/>
        <v>8582</v>
      </c>
      <c r="R43" s="60">
        <f t="shared" si="36"/>
        <v>8570</v>
      </c>
      <c r="S43" s="60">
        <f t="shared" si="36"/>
        <v>8625</v>
      </c>
      <c r="T43" s="60">
        <f t="shared" si="36"/>
        <v>10765</v>
      </c>
      <c r="U43" s="173">
        <f t="shared" si="36"/>
        <v>10926</v>
      </c>
      <c r="V43" s="173">
        <f t="shared" si="36"/>
        <v>10879</v>
      </c>
      <c r="W43" s="173">
        <f t="shared" si="36"/>
        <v>11331</v>
      </c>
      <c r="X43" s="163">
        <f t="shared" si="36"/>
        <v>11052</v>
      </c>
      <c r="Y43" s="163">
        <f t="shared" si="36"/>
        <v>11190</v>
      </c>
      <c r="Z43" s="163">
        <f t="shared" si="36"/>
        <v>11108</v>
      </c>
      <c r="AA43" s="163">
        <f t="shared" si="36"/>
        <v>10402</v>
      </c>
      <c r="AB43" s="163">
        <f t="shared" si="36"/>
        <v>10690</v>
      </c>
      <c r="AC43" s="163">
        <f t="shared" si="36"/>
        <v>8012</v>
      </c>
      <c r="AD43" s="252">
        <f t="shared" si="36"/>
        <v>8522</v>
      </c>
      <c r="AE43" s="252">
        <f t="shared" ref="AE43:AJ43" si="37">SUM(AE38:AE42)</f>
        <v>9383</v>
      </c>
      <c r="AF43" s="252">
        <f t="shared" si="37"/>
        <v>9344</v>
      </c>
      <c r="AG43" s="252">
        <f t="shared" si="37"/>
        <v>10041</v>
      </c>
      <c r="AH43" s="252">
        <f t="shared" si="37"/>
        <v>9443</v>
      </c>
      <c r="AI43" s="252">
        <f t="shared" si="37"/>
        <v>8613</v>
      </c>
      <c r="AJ43" s="252">
        <f t="shared" si="37"/>
        <v>8612</v>
      </c>
      <c r="AK43" s="60">
        <f t="shared" ref="AK43:AT43" si="38">SUM(AK38:AK42)</f>
        <v>507</v>
      </c>
      <c r="AL43" s="60">
        <f t="shared" si="38"/>
        <v>-1946</v>
      </c>
      <c r="AM43" s="60">
        <f t="shared" si="38"/>
        <v>-2818</v>
      </c>
      <c r="AN43" s="60">
        <f t="shared" si="38"/>
        <v>-1261</v>
      </c>
      <c r="AO43" s="60">
        <f t="shared" si="38"/>
        <v>133</v>
      </c>
      <c r="AP43" s="60">
        <f t="shared" si="38"/>
        <v>-306</v>
      </c>
      <c r="AQ43" s="59">
        <f t="shared" si="38"/>
        <v>-567</v>
      </c>
      <c r="AR43" s="59">
        <f t="shared" si="38"/>
        <v>-912</v>
      </c>
      <c r="AS43" s="59">
        <f t="shared" si="38"/>
        <v>-1686</v>
      </c>
      <c r="AT43" s="262">
        <f t="shared" si="38"/>
        <v>-2476</v>
      </c>
      <c r="AU43" s="242">
        <f t="shared" ref="AU43:BF43" si="39">M43-Y43</f>
        <v>-4047</v>
      </c>
      <c r="AV43" s="242">
        <f t="shared" si="39"/>
        <v>-4995</v>
      </c>
      <c r="AW43" s="242">
        <f t="shared" si="39"/>
        <v>-4259</v>
      </c>
      <c r="AX43" s="242">
        <f t="shared" si="39"/>
        <v>-3173</v>
      </c>
      <c r="AY43" s="242">
        <f t="shared" si="39"/>
        <v>570</v>
      </c>
      <c r="AZ43" s="242">
        <f t="shared" si="39"/>
        <v>48</v>
      </c>
      <c r="BA43" s="242">
        <f t="shared" si="39"/>
        <v>-758</v>
      </c>
      <c r="BB43" s="242">
        <f t="shared" si="39"/>
        <v>1421</v>
      </c>
      <c r="BC43" s="242">
        <f t="shared" si="39"/>
        <v>885</v>
      </c>
      <c r="BD43" s="242">
        <f t="shared" si="39"/>
        <v>1436</v>
      </c>
      <c r="BE43" s="242">
        <f t="shared" si="39"/>
        <v>2718</v>
      </c>
      <c r="BF43" s="242">
        <f t="shared" si="39"/>
        <v>2440</v>
      </c>
    </row>
    <row r="44" spans="1:58"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265"/>
      <c r="AK44" s="76"/>
      <c r="AL44" s="76"/>
      <c r="AM44" s="76"/>
      <c r="AN44" s="76"/>
      <c r="AO44" s="76"/>
      <c r="AP44" s="76"/>
      <c r="AQ44" s="75"/>
      <c r="AR44" s="314"/>
      <c r="AS44" s="314"/>
      <c r="AT44" s="314"/>
      <c r="AU44" s="405"/>
      <c r="AV44" s="77"/>
      <c r="AW44" s="189"/>
      <c r="AX44" s="189"/>
      <c r="AY44" s="189"/>
      <c r="AZ44" s="189"/>
      <c r="BA44" s="189"/>
      <c r="BB44" s="189"/>
      <c r="BC44" s="189"/>
      <c r="BD44" s="189"/>
      <c r="BE44" s="189"/>
      <c r="BF44" s="189"/>
    </row>
    <row r="45" spans="1:58"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96">
        <v>1394594</v>
      </c>
      <c r="AD45" s="333">
        <f>13964.41+821055.56+15818.39</f>
        <v>850838.3600000001</v>
      </c>
      <c r="AE45" s="764">
        <v>678380.57</v>
      </c>
      <c r="AF45" s="764">
        <v>336512.8</v>
      </c>
      <c r="AG45" s="764">
        <f>10480.01+253405.27+950.37</f>
        <v>264835.64999999997</v>
      </c>
      <c r="AH45" s="764">
        <v>248562.76</v>
      </c>
      <c r="AI45" s="764">
        <f>9567.49+219826.03+370.55</f>
        <v>229764.06999999998</v>
      </c>
      <c r="AJ45" s="764">
        <f>12323.79+268466.52+257.17</f>
        <v>281047.48</v>
      </c>
      <c r="AK45" s="79">
        <f t="shared" ref="AK45:AT49" si="40">C45-O45</f>
        <v>192265.6100000001</v>
      </c>
      <c r="AL45" s="79">
        <f t="shared" si="40"/>
        <v>152870.93999999994</v>
      </c>
      <c r="AM45" s="79">
        <f t="shared" si="40"/>
        <v>-149594.23999999999</v>
      </c>
      <c r="AN45" s="79">
        <f t="shared" si="40"/>
        <v>-299389.70000000007</v>
      </c>
      <c r="AO45" s="79">
        <f t="shared" si="40"/>
        <v>-11836.330000000016</v>
      </c>
      <c r="AP45" s="79">
        <f t="shared" si="40"/>
        <v>-25652.410000000033</v>
      </c>
      <c r="AQ45" s="78">
        <f t="shared" si="40"/>
        <v>-74679.840000000026</v>
      </c>
      <c r="AR45" s="78">
        <f t="shared" si="40"/>
        <v>-37618.700000000012</v>
      </c>
      <c r="AS45" s="78">
        <f t="shared" si="40"/>
        <v>-102439.18</v>
      </c>
      <c r="AT45" s="254">
        <f t="shared" si="40"/>
        <v>-34893.329999999958</v>
      </c>
      <c r="AU45" s="254">
        <f t="shared" ref="AU45:BD49" si="41">M45-Y45</f>
        <v>-5420.339999999851</v>
      </c>
      <c r="AV45" s="254">
        <f t="shared" si="41"/>
        <v>-513477.94999999972</v>
      </c>
      <c r="AW45" s="254">
        <f t="shared" si="41"/>
        <v>-261844.78000000003</v>
      </c>
      <c r="AX45" s="254">
        <f t="shared" si="41"/>
        <v>-264349.49</v>
      </c>
      <c r="AY45" s="254">
        <f t="shared" si="41"/>
        <v>-68336.080000000075</v>
      </c>
      <c r="AZ45" s="254">
        <f t="shared" si="41"/>
        <v>118068.67999999993</v>
      </c>
      <c r="BA45" s="254">
        <f t="shared" si="41"/>
        <v>-285746.23999999993</v>
      </c>
      <c r="BB45" s="254">
        <f t="shared" si="41"/>
        <v>-15506.909999999974</v>
      </c>
      <c r="BC45" s="254">
        <f t="shared" si="41"/>
        <v>66840.680000000051</v>
      </c>
      <c r="BD45" s="254">
        <f t="shared" si="41"/>
        <v>41117.06</v>
      </c>
      <c r="BE45" s="254">
        <f t="shared" ref="BE45:BN49" si="42">W45-AI45</f>
        <v>152895.18000000002</v>
      </c>
      <c r="BF45" s="254">
        <f t="shared" si="42"/>
        <v>391603.4</v>
      </c>
    </row>
    <row r="46" spans="1:58"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96">
        <v>287826.59999999998</v>
      </c>
      <c r="AD46" s="333">
        <f>2102.14+366711.51</f>
        <v>368813.65</v>
      </c>
      <c r="AE46" s="764">
        <v>208173.56</v>
      </c>
      <c r="AF46" s="764">
        <v>92424.52</v>
      </c>
      <c r="AG46" s="764">
        <f>1004.49+80448.88</f>
        <v>81453.37000000001</v>
      </c>
      <c r="AH46" s="764">
        <v>124892.89</v>
      </c>
      <c r="AI46" s="764">
        <f>1360.14+83116.61</f>
        <v>84476.75</v>
      </c>
      <c r="AJ46" s="764">
        <f>1568.5+75019.6</f>
        <v>76588.100000000006</v>
      </c>
      <c r="AK46" s="79">
        <f t="shared" si="40"/>
        <v>225562.05000000005</v>
      </c>
      <c r="AL46" s="79">
        <f t="shared" si="40"/>
        <v>95126.950000000012</v>
      </c>
      <c r="AM46" s="79">
        <f t="shared" si="40"/>
        <v>-20369.649999999965</v>
      </c>
      <c r="AN46" s="79">
        <f t="shared" si="40"/>
        <v>7799.1600000000035</v>
      </c>
      <c r="AO46" s="79">
        <f t="shared" si="40"/>
        <v>20599.270000000004</v>
      </c>
      <c r="AP46" s="79">
        <f t="shared" si="40"/>
        <v>-68924.680000000008</v>
      </c>
      <c r="AQ46" s="78">
        <f t="shared" si="40"/>
        <v>-209762.34000000003</v>
      </c>
      <c r="AR46" s="78">
        <f t="shared" si="40"/>
        <v>-235538.11000000002</v>
      </c>
      <c r="AS46" s="78">
        <f t="shared" si="40"/>
        <v>-158793.87999999998</v>
      </c>
      <c r="AT46" s="254">
        <f t="shared" si="40"/>
        <v>-25332.729999999981</v>
      </c>
      <c r="AU46" s="254">
        <f t="shared" si="41"/>
        <v>-203978.89</v>
      </c>
      <c r="AV46" s="254">
        <f t="shared" si="41"/>
        <v>-494665.99000000005</v>
      </c>
      <c r="AW46" s="254">
        <f t="shared" si="41"/>
        <v>-266413.48</v>
      </c>
      <c r="AX46" s="254">
        <f t="shared" si="41"/>
        <v>-101879.88999999996</v>
      </c>
      <c r="AY46" s="254">
        <f t="shared" si="41"/>
        <v>66417.5</v>
      </c>
      <c r="AZ46" s="254">
        <f t="shared" si="41"/>
        <v>-164628.52000000002</v>
      </c>
      <c r="BA46" s="254">
        <f t="shared" si="41"/>
        <v>-78257.67</v>
      </c>
      <c r="BB46" s="254">
        <f t="shared" si="41"/>
        <v>94413.680000000008</v>
      </c>
      <c r="BC46" s="254">
        <f t="shared" si="41"/>
        <v>241057.76</v>
      </c>
      <c r="BD46" s="254">
        <f t="shared" si="41"/>
        <v>228611.75</v>
      </c>
      <c r="BE46" s="254">
        <f t="shared" si="42"/>
        <v>204091.21999999997</v>
      </c>
      <c r="BF46" s="254">
        <f t="shared" si="42"/>
        <v>217117.94999999998</v>
      </c>
    </row>
    <row r="47" spans="1:58"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96">
        <v>95867.69</v>
      </c>
      <c r="AD47" s="333">
        <f>46555.42+10194.37+20836.07+3357.77</f>
        <v>80943.63</v>
      </c>
      <c r="AE47" s="764">
        <v>48823.11</v>
      </c>
      <c r="AF47" s="764">
        <v>23180.98</v>
      </c>
      <c r="AG47" s="764">
        <v>16556.2</v>
      </c>
      <c r="AH47" s="764">
        <v>15540.91</v>
      </c>
      <c r="AI47" s="764">
        <f>11986.91+5159.4+130.26+59.88</f>
        <v>17336.449999999997</v>
      </c>
      <c r="AJ47" s="764">
        <v>19272.38</v>
      </c>
      <c r="AK47" s="79">
        <f t="shared" si="40"/>
        <v>159688.47000000003</v>
      </c>
      <c r="AL47" s="79">
        <f t="shared" si="40"/>
        <v>-69686.669999999984</v>
      </c>
      <c r="AM47" s="79">
        <f t="shared" si="40"/>
        <v>-123603.19</v>
      </c>
      <c r="AN47" s="79">
        <f t="shared" si="40"/>
        <v>-38087.17</v>
      </c>
      <c r="AO47" s="79">
        <f t="shared" si="40"/>
        <v>-13032.282000000003</v>
      </c>
      <c r="AP47" s="79">
        <f t="shared" si="40"/>
        <v>-165397.36000000002</v>
      </c>
      <c r="AQ47" s="78">
        <f t="shared" si="40"/>
        <v>-24.31000000000131</v>
      </c>
      <c r="AR47" s="78">
        <f t="shared" si="40"/>
        <v>-3732.1899999999987</v>
      </c>
      <c r="AS47" s="78">
        <f t="shared" si="40"/>
        <v>-9778.6699999999983</v>
      </c>
      <c r="AT47" s="254">
        <f t="shared" si="40"/>
        <v>-16863.22</v>
      </c>
      <c r="AU47" s="254">
        <f t="shared" si="41"/>
        <v>-29915.090000000011</v>
      </c>
      <c r="AV47" s="254">
        <f t="shared" si="41"/>
        <v>-46058.369999999995</v>
      </c>
      <c r="AW47" s="254">
        <f t="shared" si="41"/>
        <v>-13074.559999999998</v>
      </c>
      <c r="AX47" s="254">
        <f t="shared" si="41"/>
        <v>47320.109999999986</v>
      </c>
      <c r="AY47" s="254">
        <f t="shared" si="41"/>
        <v>115872.72</v>
      </c>
      <c r="AZ47" s="254">
        <f t="shared" si="41"/>
        <v>6354.0899999999965</v>
      </c>
      <c r="BA47" s="254">
        <f t="shared" si="41"/>
        <v>-9103.8099999999977</v>
      </c>
      <c r="BB47" s="254">
        <f t="shared" si="41"/>
        <v>164667.91</v>
      </c>
      <c r="BC47" s="254">
        <f t="shared" si="41"/>
        <v>5407.68</v>
      </c>
      <c r="BD47" s="254">
        <f t="shared" si="41"/>
        <v>5975.2599999999984</v>
      </c>
      <c r="BE47" s="254">
        <f t="shared" si="42"/>
        <v>15167.080000000002</v>
      </c>
      <c r="BF47" s="254">
        <f t="shared" si="42"/>
        <v>39774.559999999998</v>
      </c>
    </row>
    <row r="48" spans="1:58"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96">
        <v>182295.4</v>
      </c>
      <c r="AD48" s="333">
        <f>55390.95+10830.84+109713.7+10174.39</f>
        <v>186109.88</v>
      </c>
      <c r="AE48" s="764">
        <v>53729.62</v>
      </c>
      <c r="AF48" s="764">
        <v>23242.59</v>
      </c>
      <c r="AG48" s="764">
        <v>28628.04</v>
      </c>
      <c r="AH48" s="764">
        <v>23713.13</v>
      </c>
      <c r="AI48" s="764">
        <f>15427.23+3292.14+2273.55+5606.71</f>
        <v>26599.629999999997</v>
      </c>
      <c r="AJ48" s="764">
        <v>38955.99</v>
      </c>
      <c r="AK48" s="79">
        <f t="shared" si="40"/>
        <v>7130.1100000000151</v>
      </c>
      <c r="AL48" s="79">
        <f t="shared" si="40"/>
        <v>-90326.390000000014</v>
      </c>
      <c r="AM48" s="79">
        <f t="shared" si="40"/>
        <v>-91006.000000000015</v>
      </c>
      <c r="AN48" s="79">
        <f t="shared" si="40"/>
        <v>-52902.180000000008</v>
      </c>
      <c r="AO48" s="79">
        <f t="shared" si="40"/>
        <v>-20594.210000000003</v>
      </c>
      <c r="AP48" s="79">
        <f t="shared" si="40"/>
        <v>-25983.989999999998</v>
      </c>
      <c r="AQ48" s="78">
        <f t="shared" si="40"/>
        <v>-7171.6499999999978</v>
      </c>
      <c r="AR48" s="78">
        <f t="shared" si="40"/>
        <v>-63036.679999999993</v>
      </c>
      <c r="AS48" s="78">
        <f t="shared" si="40"/>
        <v>-23046.739999999998</v>
      </c>
      <c r="AT48" s="254">
        <f t="shared" si="40"/>
        <v>-66153.36</v>
      </c>
      <c r="AU48" s="254">
        <f t="shared" si="41"/>
        <v>-146507.46000000002</v>
      </c>
      <c r="AV48" s="254">
        <f t="shared" si="41"/>
        <v>-326491.15000000002</v>
      </c>
      <c r="AW48" s="254">
        <f t="shared" si="41"/>
        <v>-11874.579999999987</v>
      </c>
      <c r="AX48" s="254">
        <f t="shared" si="41"/>
        <v>37973.97</v>
      </c>
      <c r="AY48" s="254">
        <f t="shared" si="41"/>
        <v>5791.2700000000186</v>
      </c>
      <c r="AZ48" s="254">
        <f t="shared" si="41"/>
        <v>-75584.06</v>
      </c>
      <c r="BA48" s="254">
        <f t="shared" si="41"/>
        <v>-14063.720000000001</v>
      </c>
      <c r="BB48" s="254">
        <f t="shared" si="41"/>
        <v>23766.87</v>
      </c>
      <c r="BC48" s="254">
        <f t="shared" si="41"/>
        <v>-4449.5300000000025</v>
      </c>
      <c r="BD48" s="254">
        <f t="shared" si="41"/>
        <v>49714.819999999992</v>
      </c>
      <c r="BE48" s="254">
        <f t="shared" si="42"/>
        <v>21864.93</v>
      </c>
      <c r="BF48" s="254">
        <f t="shared" si="42"/>
        <v>73297.540000000008</v>
      </c>
    </row>
    <row r="49" spans="1:75"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96">
        <v>11265.42</v>
      </c>
      <c r="AD49" s="333">
        <v>11265.42</v>
      </c>
      <c r="AE49" s="764">
        <v>21938.73</v>
      </c>
      <c r="AF49" s="764">
        <v>5560.35</v>
      </c>
      <c r="AG49" s="764">
        <v>4099.0200000000004</v>
      </c>
      <c r="AH49" s="764">
        <v>5995.23</v>
      </c>
      <c r="AI49" s="764">
        <f>926.05+7148.41</f>
        <v>8074.46</v>
      </c>
      <c r="AJ49" s="764">
        <v>7114.47</v>
      </c>
      <c r="AK49" s="79">
        <f t="shared" si="40"/>
        <v>0</v>
      </c>
      <c r="AL49" s="79">
        <f t="shared" si="40"/>
        <v>-46412.270000000004</v>
      </c>
      <c r="AM49" s="79">
        <f t="shared" si="40"/>
        <v>-136975.71</v>
      </c>
      <c r="AN49" s="79">
        <f t="shared" si="40"/>
        <v>-25301.66</v>
      </c>
      <c r="AO49" s="79">
        <f t="shared" si="40"/>
        <v>-31567.600000000002</v>
      </c>
      <c r="AP49" s="79">
        <f t="shared" si="40"/>
        <v>-24424.350000000002</v>
      </c>
      <c r="AQ49" s="78">
        <f t="shared" si="40"/>
        <v>-7246.97</v>
      </c>
      <c r="AR49" s="78">
        <f t="shared" si="40"/>
        <v>-597.63</v>
      </c>
      <c r="AS49" s="78">
        <f t="shared" si="40"/>
        <v>-38501.659999999996</v>
      </c>
      <c r="AT49" s="254">
        <f t="shared" si="40"/>
        <v>-16229.500000000002</v>
      </c>
      <c r="AU49" s="254">
        <f t="shared" si="41"/>
        <v>-21075.280000000002</v>
      </c>
      <c r="AV49" s="254">
        <f t="shared" si="41"/>
        <v>-68616.600000000006</v>
      </c>
      <c r="AW49" s="254">
        <f t="shared" si="41"/>
        <v>-446.98</v>
      </c>
      <c r="AX49" s="254">
        <f t="shared" si="41"/>
        <v>10402.970000000001</v>
      </c>
      <c r="AY49" s="254">
        <f t="shared" si="41"/>
        <v>125725.61</v>
      </c>
      <c r="AZ49" s="254">
        <f t="shared" si="41"/>
        <v>30935.050000000003</v>
      </c>
      <c r="BA49" s="254">
        <f t="shared" si="41"/>
        <v>9675.380000000001</v>
      </c>
      <c r="BB49" s="254">
        <f t="shared" si="41"/>
        <v>19814.14</v>
      </c>
      <c r="BC49" s="254">
        <f t="shared" si="41"/>
        <v>4075.5299999999997</v>
      </c>
      <c r="BD49" s="254">
        <f t="shared" si="41"/>
        <v>-5388.41</v>
      </c>
      <c r="BE49" s="254">
        <f t="shared" si="42"/>
        <v>31980.61</v>
      </c>
      <c r="BF49" s="254">
        <f t="shared" si="42"/>
        <v>9312.34</v>
      </c>
    </row>
    <row r="50" spans="1:75" x14ac:dyDescent="0.25">
      <c r="A50" s="4"/>
      <c r="B50" s="35" t="s">
        <v>41</v>
      </c>
      <c r="C50" s="108">
        <f t="shared" ref="C50:AC50" si="43">SUM(C45:C49)</f>
        <v>2912107.69</v>
      </c>
      <c r="D50" s="79">
        <f t="shared" si="43"/>
        <v>2474927.7999999998</v>
      </c>
      <c r="E50" s="79">
        <f t="shared" si="43"/>
        <v>1695771.3399999999</v>
      </c>
      <c r="F50" s="79">
        <f t="shared" si="43"/>
        <v>1005234.6300000001</v>
      </c>
      <c r="G50" s="79">
        <f t="shared" si="43"/>
        <v>577118.37800000003</v>
      </c>
      <c r="H50" s="79">
        <f t="shared" si="43"/>
        <v>457694.14</v>
      </c>
      <c r="I50" s="79">
        <f t="shared" si="43"/>
        <v>409619.29</v>
      </c>
      <c r="J50" s="79">
        <f t="shared" si="43"/>
        <v>398212.09</v>
      </c>
      <c r="K50" s="79">
        <f t="shared" si="43"/>
        <v>459690.25</v>
      </c>
      <c r="L50" s="110">
        <f t="shared" si="43"/>
        <v>994612.07000000018</v>
      </c>
      <c r="M50" s="79">
        <f t="shared" si="43"/>
        <v>1837328.5600000003</v>
      </c>
      <c r="N50" s="79">
        <f t="shared" si="43"/>
        <v>2492447.9500000002</v>
      </c>
      <c r="O50" s="79">
        <f t="shared" si="43"/>
        <v>2327461.4499999997</v>
      </c>
      <c r="P50" s="79">
        <f t="shared" si="43"/>
        <v>2433355.2400000002</v>
      </c>
      <c r="Q50" s="79">
        <f t="shared" si="43"/>
        <v>2217320.13</v>
      </c>
      <c r="R50" s="79">
        <f t="shared" si="43"/>
        <v>1413116.18</v>
      </c>
      <c r="S50" s="79">
        <f t="shared" si="43"/>
        <v>633549.53</v>
      </c>
      <c r="T50" s="79">
        <f t="shared" si="43"/>
        <v>768076.92999999993</v>
      </c>
      <c r="U50" s="175">
        <f t="shared" si="43"/>
        <v>708504.4</v>
      </c>
      <c r="V50" s="175">
        <f t="shared" si="43"/>
        <v>738735.39999999991</v>
      </c>
      <c r="W50" s="175">
        <f t="shared" si="43"/>
        <v>792250.38</v>
      </c>
      <c r="X50" s="110">
        <f t="shared" si="43"/>
        <v>1154084.21</v>
      </c>
      <c r="Y50" s="110">
        <f t="shared" si="43"/>
        <v>2244225.62</v>
      </c>
      <c r="Z50" s="110">
        <f t="shared" si="43"/>
        <v>3941758.0100000002</v>
      </c>
      <c r="AA50" s="110">
        <f t="shared" si="43"/>
        <v>2881115.83</v>
      </c>
      <c r="AB50" s="110">
        <f t="shared" si="43"/>
        <v>2703887.5700000003</v>
      </c>
      <c r="AC50" s="110">
        <f t="shared" si="43"/>
        <v>1971849.1099999999</v>
      </c>
      <c r="AD50" s="334">
        <f t="shared" ref="AD50:AI50" si="44">SUM(AD45:AD49)</f>
        <v>1497970.94</v>
      </c>
      <c r="AE50" s="334">
        <f t="shared" si="44"/>
        <v>1011045.5899999999</v>
      </c>
      <c r="AF50" s="334">
        <f t="shared" si="44"/>
        <v>480921.24</v>
      </c>
      <c r="AG50" s="334">
        <f t="shared" si="44"/>
        <v>395572.27999999997</v>
      </c>
      <c r="AH50" s="334">
        <f t="shared" si="44"/>
        <v>418704.92</v>
      </c>
      <c r="AI50" s="334">
        <f t="shared" si="44"/>
        <v>366251.36</v>
      </c>
      <c r="AJ50" s="334">
        <f t="shared" ref="AJ50" si="45">SUM(AJ45:AJ49)</f>
        <v>422978.41999999993</v>
      </c>
      <c r="AK50" s="79">
        <f t="shared" ref="AK50:AT50" si="46">SUM(AK45:AK49)</f>
        <v>584646.24000000011</v>
      </c>
      <c r="AL50" s="79">
        <f t="shared" si="46"/>
        <v>41572.559999999954</v>
      </c>
      <c r="AM50" s="79">
        <f t="shared" si="46"/>
        <v>-521548.78999999992</v>
      </c>
      <c r="AN50" s="79">
        <f t="shared" si="46"/>
        <v>-407881.55</v>
      </c>
      <c r="AO50" s="79">
        <f t="shared" si="46"/>
        <v>-56431.152000000016</v>
      </c>
      <c r="AP50" s="79">
        <f t="shared" si="46"/>
        <v>-310382.79000000004</v>
      </c>
      <c r="AQ50" s="78">
        <f t="shared" si="46"/>
        <v>-298885.11000000004</v>
      </c>
      <c r="AR50" s="78">
        <f t="shared" si="46"/>
        <v>-340523.31000000006</v>
      </c>
      <c r="AS50" s="78">
        <f t="shared" si="46"/>
        <v>-332560.12999999995</v>
      </c>
      <c r="AT50" s="254">
        <f t="shared" si="46"/>
        <v>-159472.13999999996</v>
      </c>
      <c r="AU50" s="254">
        <f t="shared" ref="AU50:BF50" si="47">M50-Y50</f>
        <v>-406897.05999999982</v>
      </c>
      <c r="AV50" s="254">
        <f t="shared" si="47"/>
        <v>-1449310.06</v>
      </c>
      <c r="AW50" s="254">
        <f t="shared" si="47"/>
        <v>-553654.38000000035</v>
      </c>
      <c r="AX50" s="254">
        <f t="shared" si="47"/>
        <v>-270532.33000000007</v>
      </c>
      <c r="AY50" s="254">
        <f t="shared" si="47"/>
        <v>245471.02000000002</v>
      </c>
      <c r="AZ50" s="254">
        <f t="shared" si="47"/>
        <v>-84854.760000000009</v>
      </c>
      <c r="BA50" s="254">
        <f t="shared" si="47"/>
        <v>-377496.05999999982</v>
      </c>
      <c r="BB50" s="254">
        <f t="shared" si="47"/>
        <v>287155.68999999994</v>
      </c>
      <c r="BC50" s="254">
        <f t="shared" si="47"/>
        <v>312932.12000000005</v>
      </c>
      <c r="BD50" s="254">
        <f t="shared" si="47"/>
        <v>320030.47999999992</v>
      </c>
      <c r="BE50" s="254">
        <f t="shared" si="47"/>
        <v>425999.02</v>
      </c>
      <c r="BF50" s="254">
        <f t="shared" si="47"/>
        <v>731105.79</v>
      </c>
      <c r="BT50" s="239">
        <v>43970</v>
      </c>
      <c r="BU50" s="239">
        <v>43971</v>
      </c>
    </row>
    <row r="51" spans="1:75"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64"/>
      <c r="AF51" s="764"/>
      <c r="AG51" s="764"/>
      <c r="AH51" s="764"/>
      <c r="AI51" s="764"/>
      <c r="AJ51" s="764"/>
      <c r="AK51" s="79"/>
      <c r="AL51" s="79"/>
      <c r="AM51" s="79"/>
      <c r="AN51" s="79"/>
      <c r="AO51" s="79"/>
      <c r="AP51" s="79"/>
      <c r="AQ51" s="78"/>
      <c r="AR51" s="314"/>
      <c r="AS51" s="314"/>
      <c r="AT51" s="314"/>
      <c r="AU51" s="405"/>
      <c r="AV51" s="77"/>
      <c r="AW51" s="189"/>
      <c r="AX51" s="189"/>
      <c r="AY51" s="189"/>
      <c r="AZ51" s="189"/>
      <c r="BA51" s="189"/>
      <c r="BB51" s="189"/>
      <c r="BC51" s="189"/>
      <c r="BD51" s="189"/>
      <c r="BE51" s="189"/>
      <c r="BF51" s="189"/>
      <c r="BS51" s="2" t="s">
        <v>49</v>
      </c>
      <c r="BT51" s="238">
        <f>SUM(E45+E46+E52+E53+E59+E60)</f>
        <v>4024345.31</v>
      </c>
      <c r="BU51" s="238">
        <f>SUM(Q45+Q46+Q52+Q53+Q59+Q60)</f>
        <v>5924166.9000000004</v>
      </c>
      <c r="BV51" s="238">
        <f>BU51-BT51</f>
        <v>1899821.5900000003</v>
      </c>
      <c r="BW51" s="2">
        <f>((BV51/BT51)/2)*100</f>
        <v>23.60410754612904</v>
      </c>
    </row>
    <row r="52" spans="1:75"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96">
        <v>1141169.3999999999</v>
      </c>
      <c r="AD52" s="333">
        <f>12301.14+868795.93+2319.21</f>
        <v>883416.28</v>
      </c>
      <c r="AE52" s="764">
        <v>532763.78</v>
      </c>
      <c r="AF52" s="764">
        <v>512255.17</v>
      </c>
      <c r="AG52" s="764">
        <f>8375.04+249798.51+406.51</f>
        <v>258580.06000000003</v>
      </c>
      <c r="AH52" s="764">
        <v>216073.34</v>
      </c>
      <c r="AI52" s="764">
        <f>6797.22+189566.6+188.36</f>
        <v>196552.18</v>
      </c>
      <c r="AJ52" s="764">
        <f>7867.05+180697.69+209.38</f>
        <v>188774.12</v>
      </c>
      <c r="AK52" s="79">
        <f t="shared" ref="AK52:AO56" si="48">C52-O52</f>
        <v>-336250.93999999994</v>
      </c>
      <c r="AL52" s="79">
        <f t="shared" si="48"/>
        <v>-209293.25</v>
      </c>
      <c r="AM52" s="79">
        <f t="shared" si="48"/>
        <v>-239866.5</v>
      </c>
      <c r="AN52" s="79">
        <f t="shared" si="48"/>
        <v>-189896.33000000007</v>
      </c>
      <c r="AO52" s="79">
        <f t="shared" si="48"/>
        <v>-298701.28000000003</v>
      </c>
      <c r="AP52" s="79">
        <f>H45-T52</f>
        <v>6354.539999999979</v>
      </c>
      <c r="AQ52" s="78">
        <f t="shared" ref="AQ52:BF56" si="49">I52-U52</f>
        <v>-39851.660000000003</v>
      </c>
      <c r="AR52" s="78">
        <f t="shared" si="49"/>
        <v>-81055.859999999986</v>
      </c>
      <c r="AS52" s="78">
        <f t="shared" si="49"/>
        <v>-63964.94</v>
      </c>
      <c r="AT52" s="254">
        <f t="shared" si="49"/>
        <v>-86189.460000000021</v>
      </c>
      <c r="AU52" s="254">
        <f t="shared" si="49"/>
        <v>-120427.72000000003</v>
      </c>
      <c r="AV52" s="254">
        <f t="shared" si="49"/>
        <v>-196393.21000000008</v>
      </c>
      <c r="AW52" s="254">
        <f t="shared" si="49"/>
        <v>-366420.02999999991</v>
      </c>
      <c r="AX52" s="254">
        <f t="shared" si="49"/>
        <v>-303290.82999999996</v>
      </c>
      <c r="AY52" s="254">
        <f t="shared" si="49"/>
        <v>-137990.29999999993</v>
      </c>
      <c r="AZ52" s="254">
        <f t="shared" si="49"/>
        <v>21756.390000000014</v>
      </c>
      <c r="BA52" s="254">
        <f t="shared" si="49"/>
        <v>138072.5</v>
      </c>
      <c r="BB52" s="254">
        <f t="shared" si="49"/>
        <v>-223256.22999999998</v>
      </c>
      <c r="BC52" s="254">
        <f t="shared" si="49"/>
        <v>-23773.890000000014</v>
      </c>
      <c r="BD52" s="254">
        <f t="shared" si="49"/>
        <v>25318.399999999994</v>
      </c>
      <c r="BE52" s="254">
        <f t="shared" si="49"/>
        <v>37089.080000000016</v>
      </c>
      <c r="BF52" s="254">
        <f t="shared" si="49"/>
        <v>70712.640000000014</v>
      </c>
      <c r="BS52" s="2" t="s">
        <v>50</v>
      </c>
      <c r="BT52" s="238">
        <f>SUM(E47+E48+E49+E54+E55+E56+E61+E62+E63)</f>
        <v>335201.68000000005</v>
      </c>
      <c r="BU52" s="238">
        <f>SUM(Q47+Q48+Q49+Q54+Q55+Q56+Q61+Q62+Q63)</f>
        <v>1039671.3</v>
      </c>
      <c r="BV52" s="238">
        <f>BU52-BT52</f>
        <v>704469.62</v>
      </c>
      <c r="BW52" s="2">
        <f>((BV52/BT52)/2)*100</f>
        <v>105.08145722897331</v>
      </c>
    </row>
    <row r="53" spans="1:75"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96">
        <v>266788.14</v>
      </c>
      <c r="AD53" s="333">
        <f>2069.49+377821.22</f>
        <v>379890.70999999996</v>
      </c>
      <c r="AE53" s="764">
        <v>279505.63</v>
      </c>
      <c r="AF53" s="764">
        <v>182182.97</v>
      </c>
      <c r="AG53" s="764">
        <f>711.45+788292.15</f>
        <v>789003.6</v>
      </c>
      <c r="AH53" s="764">
        <v>71645.73</v>
      </c>
      <c r="AI53" s="764">
        <f>1114.65+75695.6</f>
        <v>76810.25</v>
      </c>
      <c r="AJ53" s="764">
        <f>1191.75+74597.6</f>
        <v>75789.350000000006</v>
      </c>
      <c r="AK53" s="79">
        <f t="shared" si="48"/>
        <v>-29482.820000000007</v>
      </c>
      <c r="AL53" s="79">
        <f t="shared" si="48"/>
        <v>46057.859999999986</v>
      </c>
      <c r="AM53" s="79">
        <f t="shared" si="48"/>
        <v>-16723.569999999949</v>
      </c>
      <c r="AN53" s="79">
        <f t="shared" si="48"/>
        <v>121481.37</v>
      </c>
      <c r="AO53" s="79">
        <f t="shared" si="48"/>
        <v>36049.739999999991</v>
      </c>
      <c r="AP53" s="79">
        <f>H46-T53</f>
        <v>8831.2300000000105</v>
      </c>
      <c r="AQ53" s="78">
        <f t="shared" si="49"/>
        <v>-71953.469999999987</v>
      </c>
      <c r="AR53" s="78">
        <f t="shared" si="49"/>
        <v>-186620.11</v>
      </c>
      <c r="AS53" s="78">
        <f t="shared" si="49"/>
        <v>-219555.29</v>
      </c>
      <c r="AT53" s="254">
        <f t="shared" si="49"/>
        <v>-162652.98000000001</v>
      </c>
      <c r="AU53" s="254">
        <f t="shared" si="49"/>
        <v>-73655.840000000026</v>
      </c>
      <c r="AV53" s="254">
        <f t="shared" si="49"/>
        <v>-122254.81</v>
      </c>
      <c r="AW53" s="254">
        <f t="shared" si="49"/>
        <v>-314400.46000000002</v>
      </c>
      <c r="AX53" s="254">
        <f t="shared" si="49"/>
        <v>-152711.12</v>
      </c>
      <c r="AY53" s="254">
        <f t="shared" si="49"/>
        <v>45172.01999999996</v>
      </c>
      <c r="AZ53" s="254">
        <f t="shared" si="49"/>
        <v>-238277.25999999995</v>
      </c>
      <c r="BA53" s="254">
        <f t="shared" si="49"/>
        <v>-146526.62</v>
      </c>
      <c r="BB53" s="254">
        <f t="shared" si="49"/>
        <v>-73100.680000000008</v>
      </c>
      <c r="BC53" s="254">
        <f t="shared" si="49"/>
        <v>-618440.74</v>
      </c>
      <c r="BD53" s="254">
        <f t="shared" si="49"/>
        <v>206351.06</v>
      </c>
      <c r="BE53" s="254">
        <f t="shared" si="49"/>
        <v>239298.19</v>
      </c>
      <c r="BF53" s="254">
        <f t="shared" si="49"/>
        <v>174851.5</v>
      </c>
    </row>
    <row r="54" spans="1:75"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96">
        <v>43262.39</v>
      </c>
      <c r="AD54" s="333">
        <f>43728.15+5229.55+7864.13+589.33</f>
        <v>57411.16</v>
      </c>
      <c r="AE54" s="764">
        <v>29689.75</v>
      </c>
      <c r="AF54" s="764">
        <v>30648.27</v>
      </c>
      <c r="AG54" s="764">
        <v>13867.55</v>
      </c>
      <c r="AH54" s="764">
        <v>12334.75</v>
      </c>
      <c r="AI54" s="764">
        <f>8017.1+3114.62+58.47</f>
        <v>11190.19</v>
      </c>
      <c r="AJ54" s="764">
        <v>12131.57</v>
      </c>
      <c r="AK54" s="79">
        <f t="shared" si="48"/>
        <v>-72749.97</v>
      </c>
      <c r="AL54" s="79">
        <f t="shared" si="48"/>
        <v>-40359.090000000004</v>
      </c>
      <c r="AM54" s="79">
        <f t="shared" si="48"/>
        <v>-68352.41</v>
      </c>
      <c r="AN54" s="79">
        <f t="shared" si="48"/>
        <v>-32861.14</v>
      </c>
      <c r="AO54" s="79">
        <f t="shared" si="48"/>
        <v>-30244.670000000002</v>
      </c>
      <c r="AP54" s="79">
        <f>H54-T54</f>
        <v>-15120.640000000001</v>
      </c>
      <c r="AQ54" s="78">
        <f t="shared" si="49"/>
        <v>-15.280000000000655</v>
      </c>
      <c r="AR54" s="78">
        <f t="shared" si="49"/>
        <v>-2587.7099999999991</v>
      </c>
      <c r="AS54" s="78">
        <f t="shared" si="49"/>
        <v>-3545.3199999999997</v>
      </c>
      <c r="AT54" s="254">
        <f t="shared" si="49"/>
        <v>-4845.41</v>
      </c>
      <c r="AU54" s="254">
        <f t="shared" si="49"/>
        <v>-6439.8899999999976</v>
      </c>
      <c r="AV54" s="254">
        <f t="shared" si="49"/>
        <v>-14241.839999999997</v>
      </c>
      <c r="AW54" s="254">
        <f t="shared" si="49"/>
        <v>43140.849999999991</v>
      </c>
      <c r="AX54" s="254">
        <f t="shared" si="49"/>
        <v>23633.090000000004</v>
      </c>
      <c r="AY54" s="254">
        <f t="shared" si="49"/>
        <v>63571.899999999994</v>
      </c>
      <c r="AZ54" s="254">
        <f t="shared" si="49"/>
        <v>10013.589999999997</v>
      </c>
      <c r="BA54" s="254">
        <f t="shared" si="49"/>
        <v>17613.410000000003</v>
      </c>
      <c r="BB54" s="254">
        <f t="shared" si="49"/>
        <v>-3390.5699999999997</v>
      </c>
      <c r="BC54" s="254">
        <f t="shared" si="49"/>
        <v>-4623.2099999999991</v>
      </c>
      <c r="BD54" s="254">
        <f t="shared" si="49"/>
        <v>-2331.3700000000008</v>
      </c>
      <c r="BE54" s="254">
        <f t="shared" si="49"/>
        <v>1077.9799999999996</v>
      </c>
      <c r="BF54" s="254">
        <f t="shared" si="49"/>
        <v>2497.3899999999994</v>
      </c>
      <c r="BT54" s="239">
        <v>44001</v>
      </c>
      <c r="BU54" s="239">
        <v>44002</v>
      </c>
    </row>
    <row r="55" spans="1:75"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96">
        <v>69451.600000000006</v>
      </c>
      <c r="AD55" s="333">
        <f>33867.58+6458.94+81173.86</f>
        <v>121500.38</v>
      </c>
      <c r="AE55" s="764">
        <v>34219.89</v>
      </c>
      <c r="AF55" s="764">
        <v>36261.919999999998</v>
      </c>
      <c r="AG55" s="764">
        <v>18296.150000000001</v>
      </c>
      <c r="AH55" s="764">
        <v>22432.75</v>
      </c>
      <c r="AI55" s="764">
        <f>3969.94+3291.61+702.58+3289.3</f>
        <v>11253.43</v>
      </c>
      <c r="AJ55" s="764">
        <v>12660.62</v>
      </c>
      <c r="AK55" s="79">
        <f t="shared" si="48"/>
        <v>-35243.200000000004</v>
      </c>
      <c r="AL55" s="79">
        <f t="shared" si="48"/>
        <v>-73083.400000000009</v>
      </c>
      <c r="AM55" s="79">
        <f t="shared" si="48"/>
        <v>-120136.39000000001</v>
      </c>
      <c r="AN55" s="79">
        <f t="shared" si="48"/>
        <v>-56972.09</v>
      </c>
      <c r="AO55" s="79">
        <f t="shared" si="48"/>
        <v>-45610.039999999994</v>
      </c>
      <c r="AP55" s="79">
        <f>H55-T55</f>
        <v>-18782.46</v>
      </c>
      <c r="AQ55" s="78">
        <f t="shared" si="49"/>
        <v>-6762.7000000000007</v>
      </c>
      <c r="AR55" s="78">
        <f t="shared" si="49"/>
        <v>-12283.44</v>
      </c>
      <c r="AS55" s="78">
        <f t="shared" si="49"/>
        <v>-2033.7400000000007</v>
      </c>
      <c r="AT55" s="254">
        <f t="shared" si="49"/>
        <v>-4453.6500000000005</v>
      </c>
      <c r="AU55" s="254">
        <f t="shared" si="49"/>
        <v>-18814.54</v>
      </c>
      <c r="AV55" s="254">
        <f t="shared" si="49"/>
        <v>-53607.5</v>
      </c>
      <c r="AW55" s="254">
        <f t="shared" si="49"/>
        <v>-35217.289999999994</v>
      </c>
      <c r="AX55" s="254">
        <f t="shared" si="49"/>
        <v>36100.240000000005</v>
      </c>
      <c r="AY55" s="254">
        <f t="shared" si="49"/>
        <v>83949.790000000008</v>
      </c>
      <c r="AZ55" s="254">
        <f t="shared" si="49"/>
        <v>-35765.590000000011</v>
      </c>
      <c r="BA55" s="254">
        <f t="shared" si="49"/>
        <v>22042.879999999997</v>
      </c>
      <c r="BB55" s="254">
        <f t="shared" si="49"/>
        <v>-13919.759999999998</v>
      </c>
      <c r="BC55" s="254">
        <f t="shared" si="49"/>
        <v>-7973.7100000000009</v>
      </c>
      <c r="BD55" s="254">
        <f t="shared" si="49"/>
        <v>-7967.41</v>
      </c>
      <c r="BE55" s="254">
        <f t="shared" si="49"/>
        <v>-4111.79</v>
      </c>
      <c r="BF55" s="254">
        <f t="shared" si="49"/>
        <v>-3526.76</v>
      </c>
      <c r="BS55" s="2" t="s">
        <v>49</v>
      </c>
      <c r="BT55" s="238">
        <f>SUM(E45+E46+E52+E53+E59+E60)</f>
        <v>4024345.31</v>
      </c>
      <c r="BU55" s="238">
        <f>SUM(R45+R46+R52+R53+R59+R60)</f>
        <v>5183823.4800000004</v>
      </c>
      <c r="BV55" s="238">
        <f>BU55-BT55</f>
        <v>1159478.1700000004</v>
      </c>
      <c r="BW55" s="2">
        <f>((BV55/BT55)/2)*100</f>
        <v>14.405798716114651</v>
      </c>
    </row>
    <row r="56" spans="1:75"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96">
        <v>20739.28</v>
      </c>
      <c r="AD56" s="333">
        <v>20739.28</v>
      </c>
      <c r="AE56" s="764">
        <v>11265.42</v>
      </c>
      <c r="AF56" s="764">
        <v>5463.48</v>
      </c>
      <c r="AG56" s="764">
        <v>4305.21</v>
      </c>
      <c r="AH56" s="764">
        <v>3180.52</v>
      </c>
      <c r="AI56" s="764">
        <f>5995.23</f>
        <v>5995.23</v>
      </c>
      <c r="AJ56" s="764">
        <v>7148.41</v>
      </c>
      <c r="AK56" s="79">
        <f t="shared" si="48"/>
        <v>0</v>
      </c>
      <c r="AL56" s="79">
        <f t="shared" si="48"/>
        <v>0</v>
      </c>
      <c r="AM56" s="79">
        <f t="shared" si="48"/>
        <v>-43104.74</v>
      </c>
      <c r="AN56" s="79">
        <f t="shared" si="48"/>
        <v>-117764.4</v>
      </c>
      <c r="AO56" s="79">
        <f t="shared" si="48"/>
        <v>-918.5</v>
      </c>
      <c r="AP56" s="79">
        <f>H56-T56</f>
        <v>-25110.5</v>
      </c>
      <c r="AQ56" s="78">
        <f t="shared" si="49"/>
        <v>-1232.9000000000001</v>
      </c>
      <c r="AR56" s="78">
        <f t="shared" si="49"/>
        <v>-1316.52</v>
      </c>
      <c r="AS56" s="78">
        <f t="shared" si="49"/>
        <v>-597.63</v>
      </c>
      <c r="AT56" s="254">
        <f t="shared" si="49"/>
        <v>0</v>
      </c>
      <c r="AU56" s="254">
        <f t="shared" si="49"/>
        <v>-7952.01</v>
      </c>
      <c r="AV56" s="254">
        <f t="shared" si="49"/>
        <v>12384.7</v>
      </c>
      <c r="AW56" s="254">
        <f t="shared" si="49"/>
        <v>0</v>
      </c>
      <c r="AX56" s="254">
        <f t="shared" si="49"/>
        <v>0</v>
      </c>
      <c r="AY56" s="254">
        <f t="shared" si="49"/>
        <v>22365.46</v>
      </c>
      <c r="AZ56" s="254">
        <f t="shared" si="49"/>
        <v>97025.12</v>
      </c>
      <c r="BA56" s="254">
        <f t="shared" si="49"/>
        <v>-10346.92</v>
      </c>
      <c r="BB56" s="254">
        <f t="shared" si="49"/>
        <v>19647.02</v>
      </c>
      <c r="BC56" s="254">
        <f t="shared" si="49"/>
        <v>-3052.7799999999997</v>
      </c>
      <c r="BD56" s="254">
        <f t="shared" si="49"/>
        <v>-1864</v>
      </c>
      <c r="BE56" s="254">
        <f t="shared" si="49"/>
        <v>-5388.41</v>
      </c>
      <c r="BF56" s="254">
        <f t="shared" si="49"/>
        <v>-7148.41</v>
      </c>
      <c r="BS56" s="2" t="s">
        <v>50</v>
      </c>
      <c r="BT56" s="238">
        <f>SUM(F47+F48+F49+F54+F55+F56+F61+F62+F63)</f>
        <v>280640.96000000002</v>
      </c>
      <c r="BU56" s="238">
        <f>SUM(R47+R48+R49+R54+R55+R56+R61+R62+R63)</f>
        <v>843577.2</v>
      </c>
      <c r="BV56" s="238">
        <f>BU56-BT56</f>
        <v>562936.24</v>
      </c>
      <c r="BW56" s="2">
        <f>((BV56/BT56)/2)*100</f>
        <v>100.29473958469926</v>
      </c>
    </row>
    <row r="57" spans="1:75"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0">SUM(I52:I56)</f>
        <v>306372.23000000004</v>
      </c>
      <c r="J57" s="79">
        <f t="shared" si="50"/>
        <v>261310.13</v>
      </c>
      <c r="K57" s="79">
        <f t="shared" si="50"/>
        <v>280069.40999999997</v>
      </c>
      <c r="L57" s="110">
        <f t="shared" si="50"/>
        <v>275748.93</v>
      </c>
      <c r="M57" s="79">
        <f t="shared" si="50"/>
        <v>532364.32999999996</v>
      </c>
      <c r="N57" s="79">
        <f t="shared" si="50"/>
        <v>963420.92999999982</v>
      </c>
      <c r="O57" s="79">
        <f t="shared" si="50"/>
        <v>1378108.38</v>
      </c>
      <c r="P57" s="79">
        <f t="shared" si="50"/>
        <v>1487196.42</v>
      </c>
      <c r="Q57" s="79">
        <f t="shared" si="50"/>
        <v>1618479.68</v>
      </c>
      <c r="R57" s="79">
        <f t="shared" si="50"/>
        <v>1317710.06</v>
      </c>
      <c r="S57" s="79">
        <f t="shared" si="50"/>
        <v>908299.72000000009</v>
      </c>
      <c r="T57" s="79">
        <f t="shared" si="50"/>
        <v>472791.58999999997</v>
      </c>
      <c r="U57" s="175">
        <f t="shared" si="50"/>
        <v>426188.24000000005</v>
      </c>
      <c r="V57" s="175">
        <f t="shared" si="50"/>
        <v>545173.7699999999</v>
      </c>
      <c r="W57" s="175">
        <f t="shared" si="50"/>
        <v>569766.32999999996</v>
      </c>
      <c r="X57" s="110">
        <f t="shared" si="50"/>
        <v>533890.42999999993</v>
      </c>
      <c r="Y57" s="110">
        <f t="shared" si="50"/>
        <v>759654.33000000007</v>
      </c>
      <c r="Z57" s="110">
        <f t="shared" si="50"/>
        <v>1337533.5900000003</v>
      </c>
      <c r="AA57" s="110">
        <f t="shared" si="50"/>
        <v>2051005.3099999998</v>
      </c>
      <c r="AB57" s="110">
        <f t="shared" si="50"/>
        <v>1883465.0399999998</v>
      </c>
      <c r="AC57" s="110">
        <f t="shared" si="50"/>
        <v>1541410.81</v>
      </c>
      <c r="AD57" s="334">
        <f t="shared" ref="AD57:AI57" si="51">SUM(AD52:AD56)</f>
        <v>1462957.8099999998</v>
      </c>
      <c r="AE57" s="334">
        <f t="shared" si="51"/>
        <v>887444.47000000009</v>
      </c>
      <c r="AF57" s="334">
        <f t="shared" si="51"/>
        <v>766811.81</v>
      </c>
      <c r="AG57" s="334">
        <f t="shared" si="51"/>
        <v>1084052.5699999998</v>
      </c>
      <c r="AH57" s="334">
        <f t="shared" si="51"/>
        <v>325667.09000000003</v>
      </c>
      <c r="AI57" s="334">
        <f t="shared" si="51"/>
        <v>301801.27999999997</v>
      </c>
      <c r="AJ57" s="334">
        <f t="shared" ref="AJ57" si="52">SUM(AJ52:AJ56)</f>
        <v>296504.06999999995</v>
      </c>
      <c r="AK57" s="79">
        <f t="shared" ref="AK57:AT57" si="53">SUM(AK52:AK56)</f>
        <v>-473726.93</v>
      </c>
      <c r="AL57" s="79">
        <f t="shared" si="53"/>
        <v>-276677.88</v>
      </c>
      <c r="AM57" s="79">
        <f t="shared" si="53"/>
        <v>-488183.61</v>
      </c>
      <c r="AN57" s="79">
        <f t="shared" si="53"/>
        <v>-276012.59000000008</v>
      </c>
      <c r="AO57" s="79">
        <f t="shared" si="53"/>
        <v>-339424.75</v>
      </c>
      <c r="AP57" s="79">
        <f t="shared" si="53"/>
        <v>-43827.830000000009</v>
      </c>
      <c r="AQ57" s="78">
        <f t="shared" si="53"/>
        <v>-119816.00999999998</v>
      </c>
      <c r="AR57" s="78">
        <f t="shared" si="53"/>
        <v>-283863.64</v>
      </c>
      <c r="AS57" s="78">
        <f t="shared" si="53"/>
        <v>-289696.92</v>
      </c>
      <c r="AT57" s="254">
        <f t="shared" si="53"/>
        <v>-258141.50000000003</v>
      </c>
      <c r="AU57" s="254">
        <f t="shared" ref="AU57:BF57" si="54">M57-Y57</f>
        <v>-227290.00000000012</v>
      </c>
      <c r="AV57" s="254">
        <f t="shared" si="54"/>
        <v>-374112.6600000005</v>
      </c>
      <c r="AW57" s="254">
        <f t="shared" si="54"/>
        <v>-672896.92999999993</v>
      </c>
      <c r="AX57" s="254">
        <f t="shared" si="54"/>
        <v>-396268.61999999988</v>
      </c>
      <c r="AY57" s="254">
        <f t="shared" si="54"/>
        <v>77068.869999999879</v>
      </c>
      <c r="AZ57" s="254">
        <f t="shared" si="54"/>
        <v>-145247.74999999977</v>
      </c>
      <c r="BA57" s="254">
        <f t="shared" si="54"/>
        <v>20855.25</v>
      </c>
      <c r="BB57" s="254">
        <f t="shared" si="54"/>
        <v>-294020.22000000009</v>
      </c>
      <c r="BC57" s="254">
        <f t="shared" si="54"/>
        <v>-657864.32999999984</v>
      </c>
      <c r="BD57" s="254">
        <f t="shared" si="54"/>
        <v>219506.67999999988</v>
      </c>
      <c r="BE57" s="254">
        <f t="shared" si="54"/>
        <v>267965.05</v>
      </c>
      <c r="BF57" s="254">
        <f t="shared" si="54"/>
        <v>237386.36</v>
      </c>
    </row>
    <row r="58" spans="1:75"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64"/>
      <c r="AF58" s="764"/>
      <c r="AG58" s="764"/>
      <c r="AH58" s="764"/>
      <c r="AI58" s="764"/>
      <c r="AJ58" s="764"/>
      <c r="AK58" s="79"/>
      <c r="AL58" s="79"/>
      <c r="AM58" s="79"/>
      <c r="AN58" s="79"/>
      <c r="AO58" s="79"/>
      <c r="AP58" s="79"/>
      <c r="AQ58" s="78"/>
      <c r="AR58" s="314"/>
      <c r="AS58" s="314"/>
      <c r="AT58" s="314"/>
      <c r="AU58" s="405"/>
      <c r="AV58" s="77"/>
      <c r="AW58" s="189"/>
      <c r="AX58" s="189"/>
      <c r="AY58" s="189"/>
      <c r="AZ58" s="189"/>
      <c r="BA58" s="189"/>
      <c r="BB58" s="189"/>
      <c r="BC58" s="189"/>
      <c r="BD58" s="189"/>
      <c r="BE58" s="189"/>
      <c r="BF58" s="189"/>
      <c r="BT58" s="239">
        <v>44031</v>
      </c>
      <c r="BU58" s="239">
        <v>44032</v>
      </c>
    </row>
    <row r="59" spans="1:75"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77">
        <v>3881123.24</v>
      </c>
      <c r="AD59" s="611">
        <f>255.27+63901.05+3618273.38</f>
        <v>3682429.6999999997</v>
      </c>
      <c r="AE59" s="611">
        <v>4317937.46</v>
      </c>
      <c r="AF59" s="611">
        <v>4472218.0599999996</v>
      </c>
      <c r="AG59" s="611">
        <f>71839.32+4204612.25+517.15</f>
        <v>4276968.7200000007</v>
      </c>
      <c r="AH59" s="611">
        <v>4092360.91</v>
      </c>
      <c r="AI59" s="611">
        <f>70947.49+3845224.47+319.72</f>
        <v>3916491.6800000006</v>
      </c>
      <c r="AJ59" s="611">
        <f>70569.38+3803633.02+309.53</f>
        <v>3874511.9299999997</v>
      </c>
      <c r="AK59" s="79">
        <f t="shared" ref="AK59:AT63" si="55">C59-O59</f>
        <v>-170475.86</v>
      </c>
      <c r="AL59" s="79">
        <f t="shared" si="55"/>
        <v>-553719.72</v>
      </c>
      <c r="AM59" s="79">
        <f t="shared" si="55"/>
        <v>-907977.64</v>
      </c>
      <c r="AN59" s="79">
        <f t="shared" si="55"/>
        <v>-1481533.7200000002</v>
      </c>
      <c r="AO59" s="79">
        <f t="shared" si="55"/>
        <v>-1567126.79</v>
      </c>
      <c r="AP59" s="79">
        <f t="shared" si="55"/>
        <v>-1930828.61</v>
      </c>
      <c r="AQ59" s="78">
        <f t="shared" si="55"/>
        <v>-1992448.6900000002</v>
      </c>
      <c r="AR59" s="78">
        <f t="shared" si="55"/>
        <v>-1952771.0100000002</v>
      </c>
      <c r="AS59" s="78">
        <f t="shared" si="55"/>
        <v>-1867195.0499999998</v>
      </c>
      <c r="AT59" s="254">
        <f t="shared" si="55"/>
        <v>-1789684.8199999998</v>
      </c>
      <c r="AU59" s="254">
        <f t="shared" ref="AU59:BD63" si="56">M59-Y59</f>
        <v>-1914598.0399999998</v>
      </c>
      <c r="AV59" s="254">
        <f t="shared" si="56"/>
        <v>-1910427.5999999996</v>
      </c>
      <c r="AW59" s="254">
        <f t="shared" si="56"/>
        <v>-2043175.15</v>
      </c>
      <c r="AX59" s="254">
        <f t="shared" si="56"/>
        <v>-2225461.88</v>
      </c>
      <c r="AY59" s="254">
        <f t="shared" si="56"/>
        <v>-2051975.4400000002</v>
      </c>
      <c r="AZ59" s="254">
        <f t="shared" si="56"/>
        <v>-1109019.7499999995</v>
      </c>
      <c r="BA59" s="254">
        <f t="shared" si="56"/>
        <v>-1526758.71</v>
      </c>
      <c r="BB59" s="254">
        <f t="shared" si="56"/>
        <v>-1461818.6699999995</v>
      </c>
      <c r="BC59" s="254">
        <f t="shared" si="56"/>
        <v>-1404246.7300000004</v>
      </c>
      <c r="BD59" s="254">
        <f t="shared" si="56"/>
        <v>-1394480.69</v>
      </c>
      <c r="BE59" s="254">
        <f t="shared" ref="BE59:BN63" si="57">W59-AI59</f>
        <v>-1362290.3800000008</v>
      </c>
      <c r="BF59" s="254">
        <f t="shared" si="57"/>
        <v>-1424332.4699999997</v>
      </c>
      <c r="BS59" s="2" t="s">
        <v>49</v>
      </c>
      <c r="BT59" s="238">
        <f>SUM(G45+G46+G52+G53+G59+G60)</f>
        <v>2972986.3000000003</v>
      </c>
      <c r="BU59" s="238">
        <f>SUM(S45+S46+S52+S53+S59+S60)</f>
        <v>4362843.4799999995</v>
      </c>
      <c r="BV59" s="238">
        <f>BU59-BT59</f>
        <v>1389857.1799999992</v>
      </c>
      <c r="BW59" s="2">
        <f>((BV59/BT59)/2)*100</f>
        <v>23.374765971844525</v>
      </c>
    </row>
    <row r="60" spans="1:75"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64">
        <v>1978695.8</v>
      </c>
      <c r="AF60" s="764">
        <v>2086637.66</v>
      </c>
      <c r="AG60" s="764">
        <v>2280151.59</v>
      </c>
      <c r="AH60" s="764">
        <v>1885262.8</v>
      </c>
      <c r="AI60" s="764">
        <f>9905.96+1629547.56</f>
        <v>1639453.52</v>
      </c>
      <c r="AJ60" s="764">
        <f>10038.23+1614996.6</f>
        <v>1625034.83</v>
      </c>
      <c r="AK60" s="79">
        <f t="shared" si="55"/>
        <v>-176811.91000000003</v>
      </c>
      <c r="AL60" s="79">
        <f t="shared" si="55"/>
        <v>-389270.68000000005</v>
      </c>
      <c r="AM60" s="79">
        <f t="shared" si="55"/>
        <v>-565289.99000000011</v>
      </c>
      <c r="AN60" s="79">
        <f t="shared" si="55"/>
        <v>206102.67000000004</v>
      </c>
      <c r="AO60" s="79">
        <f t="shared" si="55"/>
        <v>431158.21000000008</v>
      </c>
      <c r="AP60" s="79">
        <f t="shared" si="55"/>
        <v>317651.7</v>
      </c>
      <c r="AQ60" s="78">
        <f t="shared" si="55"/>
        <v>142090.95999999996</v>
      </c>
      <c r="AR60" s="78">
        <f t="shared" si="55"/>
        <v>146900.62</v>
      </c>
      <c r="AS60" s="78">
        <f t="shared" si="55"/>
        <v>-71843.839999999967</v>
      </c>
      <c r="AT60" s="254">
        <f t="shared" si="55"/>
        <v>-286222.67000000004</v>
      </c>
      <c r="AU60" s="254">
        <f t="shared" si="56"/>
        <v>-476901.62</v>
      </c>
      <c r="AV60" s="254">
        <f t="shared" si="56"/>
        <v>-509926.02</v>
      </c>
      <c r="AW60" s="254">
        <f t="shared" si="56"/>
        <v>-583314.78</v>
      </c>
      <c r="AX60" s="254">
        <f t="shared" si="56"/>
        <v>-771961.96</v>
      </c>
      <c r="AY60" s="254">
        <f t="shared" si="56"/>
        <v>-41557.530000000028</v>
      </c>
      <c r="AZ60" s="254">
        <f t="shared" si="56"/>
        <v>-1547187.66</v>
      </c>
      <c r="BA60" s="254">
        <f t="shared" si="56"/>
        <v>-1733396.58</v>
      </c>
      <c r="BB60" s="254">
        <f t="shared" si="56"/>
        <v>-1754287.5999999999</v>
      </c>
      <c r="BC60" s="254">
        <f t="shared" si="56"/>
        <v>-1805240.8099999998</v>
      </c>
      <c r="BD60" s="254">
        <f t="shared" si="56"/>
        <v>-1453889.04</v>
      </c>
      <c r="BE60" s="254">
        <f t="shared" si="57"/>
        <v>-969827.78</v>
      </c>
      <c r="BF60" s="254">
        <f t="shared" si="57"/>
        <v>-746797.83000000007</v>
      </c>
      <c r="BS60" s="2" t="s">
        <v>50</v>
      </c>
      <c r="BT60" s="238">
        <f>SUM(G47+G48+G49+G54+G55+G56+G61+G62+G63)</f>
        <v>155764.96799999999</v>
      </c>
      <c r="BU60" s="238">
        <f>SUM(S47+S48+S49+S54+S55+S56+S61+S62+S63)</f>
        <v>687616.20000000007</v>
      </c>
      <c r="BV60" s="238">
        <f>BU60-BT60</f>
        <v>531851.23200000008</v>
      </c>
      <c r="BW60" s="2">
        <f>((BV60/BT60)/2)*100</f>
        <v>170.72235138262928</v>
      </c>
    </row>
    <row r="61" spans="1:75"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64">
        <v>149112.37</v>
      </c>
      <c r="AF61" s="764">
        <v>164093.46</v>
      </c>
      <c r="AG61" s="764">
        <v>188368.94</v>
      </c>
      <c r="AH61" s="764">
        <v>166112.97</v>
      </c>
      <c r="AI61" s="764">
        <f>132975.03+22007.89+26.2</f>
        <v>155009.12</v>
      </c>
      <c r="AJ61" s="764">
        <v>150320.38</v>
      </c>
      <c r="AK61" s="79">
        <f t="shared" si="55"/>
        <v>-5168.6200000000026</v>
      </c>
      <c r="AL61" s="79">
        <f t="shared" si="55"/>
        <v>-27047.170000000002</v>
      </c>
      <c r="AM61" s="79">
        <f t="shared" si="55"/>
        <v>-36289.399999999994</v>
      </c>
      <c r="AN61" s="79">
        <f t="shared" si="55"/>
        <v>-58633.840000000004</v>
      </c>
      <c r="AO61" s="79">
        <f t="shared" si="55"/>
        <v>-75141.56</v>
      </c>
      <c r="AP61" s="79">
        <f t="shared" si="55"/>
        <v>-77714.459999999992</v>
      </c>
      <c r="AQ61" s="78">
        <f t="shared" si="55"/>
        <v>-38565.870000000003</v>
      </c>
      <c r="AR61" s="78">
        <f t="shared" si="55"/>
        <v>-13377.479999999996</v>
      </c>
      <c r="AS61" s="78">
        <f t="shared" si="55"/>
        <v>-17965.79</v>
      </c>
      <c r="AT61" s="254">
        <f t="shared" si="55"/>
        <v>-25939.189999999995</v>
      </c>
      <c r="AU61" s="254">
        <f t="shared" si="56"/>
        <v>-27131.260000000002</v>
      </c>
      <c r="AV61" s="254">
        <f t="shared" si="56"/>
        <v>-26770.679999999997</v>
      </c>
      <c r="AW61" s="254">
        <f t="shared" si="56"/>
        <v>-37019.740000000005</v>
      </c>
      <c r="AX61" s="254">
        <f t="shared" si="56"/>
        <v>-36269.159999999996</v>
      </c>
      <c r="AY61" s="254">
        <f t="shared" si="56"/>
        <v>5726.9499999999971</v>
      </c>
      <c r="AZ61" s="254">
        <f t="shared" si="56"/>
        <v>7131.9700000000012</v>
      </c>
      <c r="BA61" s="254">
        <f t="shared" si="56"/>
        <v>-20794.799999999988</v>
      </c>
      <c r="BB61" s="254">
        <f t="shared" si="56"/>
        <v>-43644.599999999991</v>
      </c>
      <c r="BC61" s="254">
        <f t="shared" si="56"/>
        <v>-114225.47</v>
      </c>
      <c r="BD61" s="254">
        <f t="shared" si="56"/>
        <v>-124078.66</v>
      </c>
      <c r="BE61" s="254">
        <f t="shared" si="57"/>
        <v>-112026.60999999999</v>
      </c>
      <c r="BF61" s="254">
        <f t="shared" si="57"/>
        <v>-106772.86000000002</v>
      </c>
    </row>
    <row r="62" spans="1:75"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64">
        <v>114304.82</v>
      </c>
      <c r="AF62" s="764">
        <v>135794.94</v>
      </c>
      <c r="AG62" s="764">
        <v>146764.82</v>
      </c>
      <c r="AH62" s="764">
        <v>132103.03</v>
      </c>
      <c r="AI62" s="764">
        <f>62755.09+25612.44+24563.49</f>
        <v>112931.02</v>
      </c>
      <c r="AJ62" s="764">
        <v>107025.60000000001</v>
      </c>
      <c r="AK62" s="79">
        <f t="shared" si="55"/>
        <v>-12522.800000000001</v>
      </c>
      <c r="AL62" s="79">
        <f t="shared" si="55"/>
        <v>-51064.29</v>
      </c>
      <c r="AM62" s="79">
        <f t="shared" si="55"/>
        <v>-85001.78</v>
      </c>
      <c r="AN62" s="79">
        <f t="shared" si="55"/>
        <v>-154990.51</v>
      </c>
      <c r="AO62" s="79">
        <f t="shared" si="55"/>
        <v>-202626.99000000002</v>
      </c>
      <c r="AP62" s="79">
        <f t="shared" si="55"/>
        <v>-212840.84</v>
      </c>
      <c r="AQ62" s="78">
        <f t="shared" si="55"/>
        <v>-113792.36</v>
      </c>
      <c r="AR62" s="78">
        <f t="shared" si="55"/>
        <v>-107887.13</v>
      </c>
      <c r="AS62" s="78">
        <f t="shared" si="55"/>
        <v>-118470.23</v>
      </c>
      <c r="AT62" s="254">
        <f t="shared" si="55"/>
        <v>-101967.56999999999</v>
      </c>
      <c r="AU62" s="254">
        <f t="shared" si="56"/>
        <v>-82756.78</v>
      </c>
      <c r="AV62" s="254">
        <f t="shared" si="56"/>
        <v>-61135.83</v>
      </c>
      <c r="AW62" s="254">
        <f t="shared" si="56"/>
        <v>-51593.510000000009</v>
      </c>
      <c r="AX62" s="254">
        <f t="shared" si="56"/>
        <v>-35483.440000000002</v>
      </c>
      <c r="AY62" s="254">
        <f t="shared" si="56"/>
        <v>17397.419999999998</v>
      </c>
      <c r="AZ62" s="254">
        <f t="shared" si="56"/>
        <v>83088.26999999999</v>
      </c>
      <c r="BA62" s="254">
        <f t="shared" si="56"/>
        <v>117394.69</v>
      </c>
      <c r="BB62" s="254">
        <f t="shared" si="56"/>
        <v>103594.45999999999</v>
      </c>
      <c r="BC62" s="254">
        <f t="shared" si="56"/>
        <v>-10066.73000000001</v>
      </c>
      <c r="BD62" s="254">
        <f t="shared" si="56"/>
        <v>-3972.8199999999924</v>
      </c>
      <c r="BE62" s="254">
        <f t="shared" si="57"/>
        <v>19741.979999999996</v>
      </c>
      <c r="BF62" s="254">
        <f t="shared" si="57"/>
        <v>6543.9099999999889</v>
      </c>
      <c r="BT62" s="239">
        <v>44062</v>
      </c>
      <c r="BU62" s="239">
        <v>44063</v>
      </c>
    </row>
    <row r="63" spans="1:75"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64">
        <v>2933.47</v>
      </c>
      <c r="AF63" s="764">
        <v>13280.39</v>
      </c>
      <c r="AG63" s="764">
        <v>17825.37</v>
      </c>
      <c r="AH63" s="764">
        <v>3228.3</v>
      </c>
      <c r="AI63" s="764">
        <f>6408.82</f>
        <v>6408.82</v>
      </c>
      <c r="AJ63" s="764">
        <v>0</v>
      </c>
      <c r="AK63" s="79">
        <f t="shared" si="55"/>
        <v>0</v>
      </c>
      <c r="AL63" s="79">
        <f t="shared" si="55"/>
        <v>0</v>
      </c>
      <c r="AM63" s="79">
        <f t="shared" si="55"/>
        <v>0</v>
      </c>
      <c r="AN63" s="79">
        <f t="shared" si="55"/>
        <v>-25423.25</v>
      </c>
      <c r="AO63" s="79">
        <f t="shared" si="55"/>
        <v>-112115.38</v>
      </c>
      <c r="AP63" s="79">
        <f t="shared" si="55"/>
        <v>-36715.9</v>
      </c>
      <c r="AQ63" s="78">
        <f t="shared" si="55"/>
        <v>-1972.37</v>
      </c>
      <c r="AR63" s="78">
        <f t="shared" si="55"/>
        <v>-1252.43</v>
      </c>
      <c r="AS63" s="78">
        <f t="shared" si="55"/>
        <v>-2568.9499999999998</v>
      </c>
      <c r="AT63" s="254">
        <f t="shared" si="55"/>
        <v>44.71</v>
      </c>
      <c r="AU63" s="254">
        <f t="shared" si="56"/>
        <v>239.83</v>
      </c>
      <c r="AV63" s="254">
        <f t="shared" si="56"/>
        <v>242.02</v>
      </c>
      <c r="AW63" s="254">
        <f t="shared" si="56"/>
        <v>0</v>
      </c>
      <c r="AX63" s="254">
        <f t="shared" si="56"/>
        <v>0</v>
      </c>
      <c r="AY63" s="254">
        <f t="shared" si="56"/>
        <v>0</v>
      </c>
      <c r="AZ63" s="254">
        <f t="shared" si="56"/>
        <v>25423.25</v>
      </c>
      <c r="BA63" s="254">
        <f t="shared" si="56"/>
        <v>109181.91</v>
      </c>
      <c r="BB63" s="254">
        <f t="shared" si="56"/>
        <v>23435.510000000002</v>
      </c>
      <c r="BC63" s="254">
        <f t="shared" si="56"/>
        <v>-15853</v>
      </c>
      <c r="BD63" s="254">
        <f t="shared" si="56"/>
        <v>-1975.8700000000001</v>
      </c>
      <c r="BE63" s="254">
        <f t="shared" si="57"/>
        <v>-3839.87</v>
      </c>
      <c r="BF63" s="254">
        <f t="shared" si="57"/>
        <v>0</v>
      </c>
      <c r="BS63" s="2" t="s">
        <v>49</v>
      </c>
      <c r="BT63" s="238">
        <f>SUM(H45+H52+H59+H46+H53+H60)</f>
        <v>2519413.98</v>
      </c>
      <c r="BU63" s="238">
        <f>SUM(T45+T46+T52+T59+T53+T60)</f>
        <v>4248674.7699999996</v>
      </c>
      <c r="BV63" s="238">
        <f>BU63-BT63</f>
        <v>1729260.7899999996</v>
      </c>
      <c r="BW63" s="2">
        <f>((BV63/BT63)/2)*100</f>
        <v>34.318710694778311</v>
      </c>
    </row>
    <row r="64" spans="1:75" x14ac:dyDescent="0.25">
      <c r="A64" s="4"/>
      <c r="B64" s="35" t="s">
        <v>41</v>
      </c>
      <c r="C64" s="108">
        <f t="shared" ref="C64:AC64" si="58">SUM(C59:C63)</f>
        <v>1312846.28</v>
      </c>
      <c r="D64" s="79">
        <f t="shared" si="58"/>
        <v>1393529.54</v>
      </c>
      <c r="E64" s="79">
        <f t="shared" si="58"/>
        <v>1533479.58</v>
      </c>
      <c r="F64" s="79">
        <f t="shared" si="58"/>
        <v>1782095.7900000003</v>
      </c>
      <c r="G64" s="79">
        <f t="shared" si="58"/>
        <v>1982757.9200000002</v>
      </c>
      <c r="H64" s="79">
        <f t="shared" si="58"/>
        <v>1798855.5</v>
      </c>
      <c r="I64" s="79">
        <f t="shared" si="58"/>
        <v>1555758.37</v>
      </c>
      <c r="J64" s="79">
        <f t="shared" si="58"/>
        <v>1372283.5</v>
      </c>
      <c r="K64" s="79">
        <f t="shared" si="58"/>
        <v>1324007.6399999999</v>
      </c>
      <c r="L64" s="110">
        <f t="shared" si="58"/>
        <v>1281763.95</v>
      </c>
      <c r="M64" s="79">
        <f t="shared" si="58"/>
        <v>1152530.79</v>
      </c>
      <c r="N64" s="79">
        <f t="shared" si="58"/>
        <v>1277275.27</v>
      </c>
      <c r="O64" s="79">
        <f t="shared" si="58"/>
        <v>1677825.4700000002</v>
      </c>
      <c r="P64" s="79">
        <f t="shared" si="58"/>
        <v>2414631.4</v>
      </c>
      <c r="Q64" s="79">
        <f t="shared" si="58"/>
        <v>3128038.39</v>
      </c>
      <c r="R64" s="79">
        <f t="shared" si="58"/>
        <v>3296574.4400000004</v>
      </c>
      <c r="S64" s="79">
        <f t="shared" si="58"/>
        <v>3508610.4299999997</v>
      </c>
      <c r="T64" s="79">
        <f t="shared" si="58"/>
        <v>3739303.61</v>
      </c>
      <c r="U64" s="175">
        <f t="shared" si="58"/>
        <v>3560446.7000000007</v>
      </c>
      <c r="V64" s="175">
        <f t="shared" si="58"/>
        <v>3300670.9300000006</v>
      </c>
      <c r="W64" s="175">
        <f t="shared" si="58"/>
        <v>3402051.5</v>
      </c>
      <c r="X64" s="110">
        <f t="shared" si="58"/>
        <v>3485533.4899999998</v>
      </c>
      <c r="Y64" s="110">
        <f t="shared" si="58"/>
        <v>3653678.6599999997</v>
      </c>
      <c r="Z64" s="110">
        <f t="shared" si="58"/>
        <v>3785293.3800000004</v>
      </c>
      <c r="AA64" s="110">
        <f t="shared" si="58"/>
        <v>4392928.6499999994</v>
      </c>
      <c r="AB64" s="110">
        <f t="shared" si="58"/>
        <v>5483807.8399999999</v>
      </c>
      <c r="AC64" s="110">
        <f t="shared" si="58"/>
        <v>5198446.99</v>
      </c>
      <c r="AD64" s="334">
        <f t="shared" ref="AD64:AI64" si="59">SUM(AD59:AD63)</f>
        <v>5837138.3600000003</v>
      </c>
      <c r="AE64" s="334">
        <f t="shared" si="59"/>
        <v>6562983.9199999999</v>
      </c>
      <c r="AF64" s="334">
        <f t="shared" si="59"/>
        <v>6872024.5099999998</v>
      </c>
      <c r="AG64" s="334">
        <f t="shared" si="59"/>
        <v>6910079.4400000013</v>
      </c>
      <c r="AH64" s="334">
        <f t="shared" si="59"/>
        <v>6279068.0099999998</v>
      </c>
      <c r="AI64" s="334">
        <f t="shared" si="59"/>
        <v>5830294.1600000011</v>
      </c>
      <c r="AJ64" s="334">
        <f t="shared" ref="AJ64" si="60">SUM(AJ59:AJ63)</f>
        <v>5756892.7399999993</v>
      </c>
      <c r="AK64" s="79">
        <f t="shared" ref="AK64:AT64" si="61">SUM(AK59:AK63)</f>
        <v>-364979.19</v>
      </c>
      <c r="AL64" s="79">
        <f t="shared" si="61"/>
        <v>-1021101.8600000001</v>
      </c>
      <c r="AM64" s="79">
        <f t="shared" si="61"/>
        <v>-1594558.81</v>
      </c>
      <c r="AN64" s="79">
        <f t="shared" si="61"/>
        <v>-1514478.6500000004</v>
      </c>
      <c r="AO64" s="79">
        <f t="shared" si="61"/>
        <v>-1525852.5100000002</v>
      </c>
      <c r="AP64" s="79">
        <f t="shared" si="61"/>
        <v>-1940448.11</v>
      </c>
      <c r="AQ64" s="78">
        <f t="shared" si="61"/>
        <v>-2004688.3300000005</v>
      </c>
      <c r="AR64" s="78">
        <f t="shared" si="61"/>
        <v>-1928387.43</v>
      </c>
      <c r="AS64" s="78">
        <f t="shared" si="61"/>
        <v>-2078043.8599999996</v>
      </c>
      <c r="AT64" s="254">
        <f t="shared" si="61"/>
        <v>-2203769.5399999996</v>
      </c>
      <c r="AU64" s="254">
        <f t="shared" ref="AU64:BF64" si="62">M64-Y64</f>
        <v>-2501147.8699999996</v>
      </c>
      <c r="AV64" s="254">
        <f t="shared" si="62"/>
        <v>-2508018.1100000003</v>
      </c>
      <c r="AW64" s="254">
        <f t="shared" si="62"/>
        <v>-2715103.1799999992</v>
      </c>
      <c r="AX64" s="254">
        <f t="shared" si="62"/>
        <v>-3069176.44</v>
      </c>
      <c r="AY64" s="254">
        <f t="shared" si="62"/>
        <v>-2070408.6</v>
      </c>
      <c r="AZ64" s="254">
        <f t="shared" si="62"/>
        <v>-2540563.92</v>
      </c>
      <c r="BA64" s="254">
        <f t="shared" si="62"/>
        <v>-3054373.49</v>
      </c>
      <c r="BB64" s="254">
        <f t="shared" si="62"/>
        <v>-3132720.9</v>
      </c>
      <c r="BC64" s="254">
        <f t="shared" si="62"/>
        <v>-3349632.7400000007</v>
      </c>
      <c r="BD64" s="254">
        <f t="shared" si="62"/>
        <v>-2978397.0799999991</v>
      </c>
      <c r="BE64" s="254">
        <f t="shared" si="62"/>
        <v>-2428242.6600000011</v>
      </c>
      <c r="BF64" s="254">
        <f t="shared" si="62"/>
        <v>-2271359.2499999995</v>
      </c>
      <c r="BS64" s="2" t="s">
        <v>50</v>
      </c>
      <c r="BT64" s="238">
        <f>SUM(H47+H48+H49+H54+H55+H56+H61+H62+H63)</f>
        <v>129406.85999999999</v>
      </c>
      <c r="BU64" s="238">
        <f>SUM(T47+T48+T49+T54+T55+T56+T61+T62+T63)</f>
        <v>731497.36</v>
      </c>
      <c r="BV64" s="238">
        <f>BU64-BT64</f>
        <v>602090.5</v>
      </c>
      <c r="BW64" s="2">
        <f>((BV64/BT64)/2)*100</f>
        <v>232.63469185482131</v>
      </c>
    </row>
    <row r="65" spans="1:58"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09"/>
      <c r="AK65" s="79"/>
      <c r="AL65" s="79"/>
      <c r="AM65" s="79"/>
      <c r="AN65" s="79"/>
      <c r="AO65" s="79"/>
      <c r="AP65" s="79"/>
      <c r="AQ65" s="78"/>
      <c r="AR65" s="314"/>
      <c r="AS65" s="314"/>
      <c r="AT65" s="314"/>
      <c r="AU65" s="405"/>
      <c r="AV65" s="77"/>
      <c r="AW65" s="189"/>
      <c r="AX65" s="189"/>
      <c r="AY65" s="189"/>
      <c r="AZ65" s="189"/>
      <c r="BA65" s="189"/>
      <c r="BB65" s="189"/>
      <c r="BC65" s="189"/>
      <c r="BD65" s="189"/>
      <c r="BE65" s="189"/>
      <c r="BF65" s="189"/>
    </row>
    <row r="66" spans="1:58" x14ac:dyDescent="0.25">
      <c r="A66" s="4"/>
      <c r="B66" s="35" t="s">
        <v>36</v>
      </c>
      <c r="C66" s="108">
        <f t="shared" ref="C66:G70" si="63">SUM(C45+C52+C59)</f>
        <v>3078951.17</v>
      </c>
      <c r="D66" s="77">
        <f t="shared" si="63"/>
        <v>3180627.34</v>
      </c>
      <c r="E66" s="77">
        <f t="shared" si="63"/>
        <v>2861146.44</v>
      </c>
      <c r="F66" s="77">
        <f t="shared" si="63"/>
        <v>2476669.91</v>
      </c>
      <c r="G66" s="77">
        <f t="shared" si="63"/>
        <v>1976984.96</v>
      </c>
      <c r="H66" s="77">
        <f>SUM(H45+H59+H52)</f>
        <v>1625060.47</v>
      </c>
      <c r="I66" s="77">
        <f t="shared" ref="I66:AB66" si="64">SUM(I45+I52+I59)</f>
        <v>1332224.3</v>
      </c>
      <c r="J66" s="77">
        <f t="shared" si="64"/>
        <v>1157506.21</v>
      </c>
      <c r="K66" s="77">
        <f t="shared" si="64"/>
        <v>1136902.6400000001</v>
      </c>
      <c r="L66" s="78">
        <f t="shared" si="64"/>
        <v>1471549.4900000002</v>
      </c>
      <c r="M66" s="79">
        <f t="shared" si="64"/>
        <v>2144349.6100000003</v>
      </c>
      <c r="N66" s="79">
        <f t="shared" si="64"/>
        <v>2879225.98</v>
      </c>
      <c r="O66" s="79">
        <f t="shared" si="64"/>
        <v>3393412.36</v>
      </c>
      <c r="P66" s="79">
        <f t="shared" si="64"/>
        <v>3790769.37</v>
      </c>
      <c r="Q66" s="79">
        <f t="shared" si="64"/>
        <v>4158584.8200000003</v>
      </c>
      <c r="R66" s="79">
        <f t="shared" si="64"/>
        <v>4447489.66</v>
      </c>
      <c r="S66" s="79">
        <f t="shared" si="64"/>
        <v>3854649.3600000003</v>
      </c>
      <c r="T66" s="79">
        <f t="shared" si="64"/>
        <v>3620404.22</v>
      </c>
      <c r="U66" s="189">
        <f t="shared" si="64"/>
        <v>3439204.49</v>
      </c>
      <c r="V66" s="189">
        <f t="shared" si="64"/>
        <v>3228951.7800000003</v>
      </c>
      <c r="W66" s="189">
        <f t="shared" si="64"/>
        <v>3170501.8099999996</v>
      </c>
      <c r="X66" s="78">
        <f t="shared" si="64"/>
        <v>3382317.1</v>
      </c>
      <c r="Y66" s="78">
        <f t="shared" si="64"/>
        <v>4184795.71</v>
      </c>
      <c r="Z66" s="78">
        <f t="shared" si="64"/>
        <v>5499524.7400000002</v>
      </c>
      <c r="AA66" s="78">
        <f t="shared" si="64"/>
        <v>6064852.3199999994</v>
      </c>
      <c r="AB66" s="78">
        <f t="shared" si="64"/>
        <v>6583871.5700000003</v>
      </c>
      <c r="AC66" s="595">
        <f t="shared" ref="AC66:AF70" si="65">SUM(AC45+AC52+AC59)</f>
        <v>6416886.6400000006</v>
      </c>
      <c r="AD66" s="595">
        <f t="shared" si="65"/>
        <v>5416684.3399999999</v>
      </c>
      <c r="AE66" s="595">
        <f t="shared" si="65"/>
        <v>5529081.8100000005</v>
      </c>
      <c r="AF66" s="595">
        <f t="shared" si="65"/>
        <v>5320986.0299999993</v>
      </c>
      <c r="AG66" s="595">
        <f>SUM(AG45+AG52+AG59)</f>
        <v>4800384.4300000006</v>
      </c>
      <c r="AH66" s="595">
        <f>SUM(AH45+AH52+AH59)</f>
        <v>4556997.01</v>
      </c>
      <c r="AI66" s="595">
        <f>SUM(AI45+AI52+AI59)</f>
        <v>4342807.9300000006</v>
      </c>
      <c r="AJ66" s="595">
        <f>SUM(AJ45+AJ52+AJ59)</f>
        <v>4344333.5299999993</v>
      </c>
      <c r="AK66" s="79">
        <f t="shared" ref="AK66:AT70" si="66">C66-O66</f>
        <v>-314461.18999999994</v>
      </c>
      <c r="AL66" s="79">
        <f t="shared" si="66"/>
        <v>-610142.03000000026</v>
      </c>
      <c r="AM66" s="79">
        <f t="shared" si="66"/>
        <v>-1297438.3800000004</v>
      </c>
      <c r="AN66" s="79">
        <f t="shared" si="66"/>
        <v>-1970819.75</v>
      </c>
      <c r="AO66" s="79">
        <f t="shared" si="66"/>
        <v>-1877664.4000000004</v>
      </c>
      <c r="AP66" s="79">
        <f t="shared" si="66"/>
        <v>-1995343.7500000002</v>
      </c>
      <c r="AQ66" s="78">
        <f t="shared" si="66"/>
        <v>-2106980.1900000004</v>
      </c>
      <c r="AR66" s="78">
        <f t="shared" si="66"/>
        <v>-2071445.5700000003</v>
      </c>
      <c r="AS66" s="78">
        <f t="shared" si="66"/>
        <v>-2033599.1699999995</v>
      </c>
      <c r="AT66" s="254">
        <f t="shared" si="66"/>
        <v>-1910767.6099999999</v>
      </c>
      <c r="AU66" s="254">
        <f t="shared" ref="AU66:BD70" si="67">M66-Y66</f>
        <v>-2040446.0999999996</v>
      </c>
      <c r="AV66" s="254">
        <f t="shared" si="67"/>
        <v>-2620298.7600000002</v>
      </c>
      <c r="AW66" s="254">
        <f t="shared" si="67"/>
        <v>-2671439.9599999995</v>
      </c>
      <c r="AX66" s="254">
        <f t="shared" si="67"/>
        <v>-2793102.2</v>
      </c>
      <c r="AY66" s="254">
        <f t="shared" si="67"/>
        <v>-2258301.8200000003</v>
      </c>
      <c r="AZ66" s="254">
        <f t="shared" si="67"/>
        <v>-969194.6799999997</v>
      </c>
      <c r="BA66" s="254">
        <f t="shared" si="67"/>
        <v>-1674432.4500000002</v>
      </c>
      <c r="BB66" s="254">
        <f t="shared" si="67"/>
        <v>-1700581.8099999991</v>
      </c>
      <c r="BC66" s="254">
        <f t="shared" si="67"/>
        <v>-1361179.9400000004</v>
      </c>
      <c r="BD66" s="254">
        <f t="shared" si="67"/>
        <v>-1328045.2299999995</v>
      </c>
      <c r="BE66" s="254">
        <f t="shared" ref="BE66:BN70" si="68">W66-AI66</f>
        <v>-1172306.120000001</v>
      </c>
      <c r="BF66" s="254">
        <f t="shared" si="68"/>
        <v>-962016.42999999924</v>
      </c>
    </row>
    <row r="67" spans="1:58" x14ac:dyDescent="0.25">
      <c r="A67" s="4"/>
      <c r="B67" s="35" t="s">
        <v>37</v>
      </c>
      <c r="C67" s="108">
        <f t="shared" si="63"/>
        <v>1497238.7</v>
      </c>
      <c r="D67" s="77">
        <f t="shared" si="63"/>
        <v>1469460.12</v>
      </c>
      <c r="E67" s="77">
        <f t="shared" si="63"/>
        <v>1163198.8700000001</v>
      </c>
      <c r="F67" s="77">
        <f t="shared" si="63"/>
        <v>1071717.02</v>
      </c>
      <c r="G67" s="77">
        <f t="shared" si="63"/>
        <v>996001.34000000008</v>
      </c>
      <c r="H67" s="77">
        <f>SUM(H46+H53+H60)</f>
        <v>894353.51</v>
      </c>
      <c r="I67" s="77">
        <f t="shared" ref="I67:AB67" si="69">SUM(I46+I53+I60)</f>
        <v>828359.91999999993</v>
      </c>
      <c r="J67" s="77">
        <f t="shared" si="69"/>
        <v>787617.59</v>
      </c>
      <c r="K67" s="77">
        <f t="shared" si="69"/>
        <v>824109.14</v>
      </c>
      <c r="L67" s="109">
        <f t="shared" si="69"/>
        <v>948375.52</v>
      </c>
      <c r="M67" s="108">
        <f t="shared" si="69"/>
        <v>1109618.5499999998</v>
      </c>
      <c r="N67" s="77">
        <f t="shared" si="69"/>
        <v>1345640.97</v>
      </c>
      <c r="O67" s="77">
        <f t="shared" si="69"/>
        <v>1477971.38</v>
      </c>
      <c r="P67" s="77">
        <f t="shared" si="69"/>
        <v>1717545.99</v>
      </c>
      <c r="Q67" s="77">
        <f t="shared" si="69"/>
        <v>1765582.08</v>
      </c>
      <c r="R67" s="77">
        <f t="shared" si="69"/>
        <v>736333.82000000007</v>
      </c>
      <c r="S67" s="77">
        <f t="shared" si="69"/>
        <v>508194.12</v>
      </c>
      <c r="T67" s="77">
        <f t="shared" si="69"/>
        <v>628270.55000000005</v>
      </c>
      <c r="U67" s="189">
        <f t="shared" si="69"/>
        <v>967984.77</v>
      </c>
      <c r="V67" s="189">
        <f t="shared" si="69"/>
        <v>1062875.19</v>
      </c>
      <c r="W67" s="189">
        <f t="shared" si="69"/>
        <v>1274302.1499999999</v>
      </c>
      <c r="X67" s="78">
        <f t="shared" si="69"/>
        <v>1422583.9</v>
      </c>
      <c r="Y67" s="78">
        <f t="shared" si="69"/>
        <v>1864154.9</v>
      </c>
      <c r="Z67" s="78">
        <f t="shared" si="69"/>
        <v>2472487.79</v>
      </c>
      <c r="AA67" s="78">
        <f t="shared" si="69"/>
        <v>2642100.1</v>
      </c>
      <c r="AB67" s="78">
        <f t="shared" si="69"/>
        <v>2744098.96</v>
      </c>
      <c r="AC67" s="595">
        <f t="shared" si="65"/>
        <v>1695550.09</v>
      </c>
      <c r="AD67" s="595">
        <f t="shared" si="65"/>
        <v>2686427.26</v>
      </c>
      <c r="AE67" s="595">
        <f t="shared" ref="AE67:AF70" si="70">SUM(AE46+AE53+AE60)</f>
        <v>2466374.9900000002</v>
      </c>
      <c r="AF67" s="595">
        <f t="shared" si="70"/>
        <v>2361245.15</v>
      </c>
      <c r="AG67" s="595">
        <f t="shared" ref="AG67:AI71" si="71">SUM(AG46+AG53+AG60)</f>
        <v>3150608.5599999996</v>
      </c>
      <c r="AH67" s="595">
        <f t="shared" si="71"/>
        <v>2081801.42</v>
      </c>
      <c r="AI67" s="595">
        <f t="shared" si="71"/>
        <v>1800740.52</v>
      </c>
      <c r="AJ67" s="595">
        <f t="shared" ref="AJ67" si="72">SUM(AJ46+AJ53+AJ60)</f>
        <v>1777412.28</v>
      </c>
      <c r="AK67" s="79">
        <f t="shared" si="66"/>
        <v>19267.320000000065</v>
      </c>
      <c r="AL67" s="79">
        <f t="shared" si="66"/>
        <v>-248085.86999999988</v>
      </c>
      <c r="AM67" s="79">
        <f t="shared" si="66"/>
        <v>-602383.21</v>
      </c>
      <c r="AN67" s="79">
        <f t="shared" si="66"/>
        <v>335383.19999999995</v>
      </c>
      <c r="AO67" s="79">
        <f t="shared" si="66"/>
        <v>487807.22000000009</v>
      </c>
      <c r="AP67" s="79">
        <f t="shared" si="66"/>
        <v>266082.95999999996</v>
      </c>
      <c r="AQ67" s="78">
        <f t="shared" si="66"/>
        <v>-139624.85000000009</v>
      </c>
      <c r="AR67" s="78">
        <f t="shared" si="66"/>
        <v>-275257.59999999998</v>
      </c>
      <c r="AS67" s="78">
        <f t="shared" si="66"/>
        <v>-450193.00999999989</v>
      </c>
      <c r="AT67" s="254">
        <f t="shared" si="66"/>
        <v>-474208.37999999989</v>
      </c>
      <c r="AU67" s="254">
        <f t="shared" si="67"/>
        <v>-754536.35000000009</v>
      </c>
      <c r="AV67" s="254">
        <f t="shared" si="67"/>
        <v>-1126846.82</v>
      </c>
      <c r="AW67" s="254">
        <f t="shared" si="67"/>
        <v>-1164128.7200000002</v>
      </c>
      <c r="AX67" s="254">
        <f t="shared" si="67"/>
        <v>-1026552.97</v>
      </c>
      <c r="AY67" s="254">
        <f t="shared" si="67"/>
        <v>70031.989999999991</v>
      </c>
      <c r="AZ67" s="254">
        <f t="shared" si="67"/>
        <v>-1950093.4399999997</v>
      </c>
      <c r="BA67" s="254">
        <f t="shared" si="67"/>
        <v>-1958180.87</v>
      </c>
      <c r="BB67" s="254">
        <f t="shared" si="67"/>
        <v>-1732974.5999999999</v>
      </c>
      <c r="BC67" s="254">
        <f t="shared" si="67"/>
        <v>-2182623.7899999996</v>
      </c>
      <c r="BD67" s="254">
        <f t="shared" si="67"/>
        <v>-1018926.23</v>
      </c>
      <c r="BE67" s="254">
        <f t="shared" si="68"/>
        <v>-526438.37000000011</v>
      </c>
      <c r="BF67" s="254">
        <f t="shared" si="68"/>
        <v>-354828.38000000012</v>
      </c>
    </row>
    <row r="68" spans="1:58" x14ac:dyDescent="0.25">
      <c r="A68" s="4"/>
      <c r="B68" s="35" t="s">
        <v>38</v>
      </c>
      <c r="C68" s="108">
        <f t="shared" si="63"/>
        <v>361940.41000000003</v>
      </c>
      <c r="D68" s="77">
        <f t="shared" si="63"/>
        <v>203534.76</v>
      </c>
      <c r="E68" s="77">
        <f t="shared" si="63"/>
        <v>174104.93</v>
      </c>
      <c r="F68" s="77">
        <f t="shared" si="63"/>
        <v>134061.98000000001</v>
      </c>
      <c r="G68" s="77">
        <f t="shared" si="63"/>
        <v>96921.518000000011</v>
      </c>
      <c r="H68" s="77">
        <f>SUM(H47+H54+H61)</f>
        <v>77322.989999999991</v>
      </c>
      <c r="I68" s="77">
        <f t="shared" ref="I68:AB68" si="73">SUM(I47+I54+I61)</f>
        <v>66746.23</v>
      </c>
      <c r="J68" s="77">
        <f t="shared" si="73"/>
        <v>53856.480000000003</v>
      </c>
      <c r="K68" s="77">
        <f t="shared" si="73"/>
        <v>56464.43</v>
      </c>
      <c r="L68" s="109">
        <f t="shared" si="73"/>
        <v>69575.600000000006</v>
      </c>
      <c r="M68" s="108">
        <f t="shared" si="73"/>
        <v>140243.15</v>
      </c>
      <c r="N68" s="77">
        <f t="shared" si="73"/>
        <v>264376.21000000002</v>
      </c>
      <c r="O68" s="77">
        <f t="shared" si="73"/>
        <v>280170.52999999997</v>
      </c>
      <c r="P68" s="77">
        <f t="shared" si="73"/>
        <v>340627.68999999994</v>
      </c>
      <c r="Q68" s="77">
        <f t="shared" si="73"/>
        <v>402349.93</v>
      </c>
      <c r="R68" s="77">
        <f t="shared" si="73"/>
        <v>263644.13</v>
      </c>
      <c r="S68" s="77">
        <f t="shared" si="73"/>
        <v>215340.03000000003</v>
      </c>
      <c r="T68" s="77">
        <f t="shared" si="73"/>
        <v>335555.45</v>
      </c>
      <c r="U68" s="189">
        <f t="shared" si="73"/>
        <v>105351.69</v>
      </c>
      <c r="V68" s="189">
        <f t="shared" si="73"/>
        <v>73553.859999999986</v>
      </c>
      <c r="W68" s="189">
        <f t="shared" si="73"/>
        <v>87754.209999999992</v>
      </c>
      <c r="X68" s="78">
        <f t="shared" si="73"/>
        <v>117223.41999999998</v>
      </c>
      <c r="Y68" s="78">
        <f t="shared" si="73"/>
        <v>203729.39</v>
      </c>
      <c r="Z68" s="78">
        <f t="shared" si="73"/>
        <v>351447.10000000003</v>
      </c>
      <c r="AA68" s="78">
        <f t="shared" si="73"/>
        <v>287123.98</v>
      </c>
      <c r="AB68" s="78">
        <f t="shared" si="73"/>
        <v>305943.65000000002</v>
      </c>
      <c r="AC68" s="595">
        <f t="shared" si="65"/>
        <v>217178.36000000002</v>
      </c>
      <c r="AD68" s="595">
        <f t="shared" si="65"/>
        <v>240144.48</v>
      </c>
      <c r="AE68" s="595">
        <f t="shared" si="70"/>
        <v>227625.22999999998</v>
      </c>
      <c r="AF68" s="595">
        <f t="shared" si="70"/>
        <v>217922.71</v>
      </c>
      <c r="AG68" s="595">
        <f t="shared" si="71"/>
        <v>218792.69</v>
      </c>
      <c r="AH68" s="595">
        <f t="shared" si="71"/>
        <v>193988.63</v>
      </c>
      <c r="AI68" s="595">
        <f t="shared" si="71"/>
        <v>183535.76</v>
      </c>
      <c r="AJ68" s="595">
        <f t="shared" ref="AJ68" si="74">SUM(AJ47+AJ54+AJ61)</f>
        <v>181724.33000000002</v>
      </c>
      <c r="AK68" s="79">
        <f t="shared" si="66"/>
        <v>81769.880000000063</v>
      </c>
      <c r="AL68" s="79">
        <f t="shared" si="66"/>
        <v>-137092.92999999993</v>
      </c>
      <c r="AM68" s="79">
        <f t="shared" si="66"/>
        <v>-228245</v>
      </c>
      <c r="AN68" s="79">
        <f t="shared" si="66"/>
        <v>-129582.15</v>
      </c>
      <c r="AO68" s="79">
        <f t="shared" si="66"/>
        <v>-118418.51200000002</v>
      </c>
      <c r="AP68" s="79">
        <f t="shared" si="66"/>
        <v>-258232.46000000002</v>
      </c>
      <c r="AQ68" s="78">
        <f t="shared" si="66"/>
        <v>-38605.460000000006</v>
      </c>
      <c r="AR68" s="78">
        <f t="shared" si="66"/>
        <v>-19697.379999999983</v>
      </c>
      <c r="AS68" s="78">
        <f t="shared" si="66"/>
        <v>-31289.779999999992</v>
      </c>
      <c r="AT68" s="254">
        <f t="shared" si="66"/>
        <v>-47647.819999999978</v>
      </c>
      <c r="AU68" s="254">
        <f t="shared" si="67"/>
        <v>-63486.24000000002</v>
      </c>
      <c r="AV68" s="254">
        <f t="shared" si="67"/>
        <v>-87070.890000000014</v>
      </c>
      <c r="AW68" s="254">
        <f t="shared" si="67"/>
        <v>-6953.4500000000116</v>
      </c>
      <c r="AX68" s="254">
        <f t="shared" si="67"/>
        <v>34684.039999999921</v>
      </c>
      <c r="AY68" s="254">
        <f t="shared" si="67"/>
        <v>185171.56999999998</v>
      </c>
      <c r="AZ68" s="254">
        <f t="shared" si="67"/>
        <v>23499.649999999994</v>
      </c>
      <c r="BA68" s="254">
        <f t="shared" si="67"/>
        <v>-12285.199999999953</v>
      </c>
      <c r="BB68" s="254">
        <f t="shared" si="67"/>
        <v>117632.74000000002</v>
      </c>
      <c r="BC68" s="254">
        <f t="shared" si="67"/>
        <v>-113441</v>
      </c>
      <c r="BD68" s="254">
        <f t="shared" si="67"/>
        <v>-120434.77000000002</v>
      </c>
      <c r="BE68" s="254">
        <f t="shared" si="68"/>
        <v>-95781.550000000017</v>
      </c>
      <c r="BF68" s="254">
        <f t="shared" si="68"/>
        <v>-64500.910000000033</v>
      </c>
    </row>
    <row r="69" spans="1:58" x14ac:dyDescent="0.25">
      <c r="A69" s="4"/>
      <c r="B69" s="35" t="s">
        <v>39</v>
      </c>
      <c r="C69" s="108">
        <f t="shared" si="63"/>
        <v>191205.14</v>
      </c>
      <c r="D69" s="77">
        <f t="shared" si="63"/>
        <v>207785.49</v>
      </c>
      <c r="E69" s="77">
        <f t="shared" si="63"/>
        <v>161081.43</v>
      </c>
      <c r="F69" s="77">
        <f t="shared" si="63"/>
        <v>129680.17</v>
      </c>
      <c r="G69" s="77">
        <f t="shared" si="63"/>
        <v>58796.94</v>
      </c>
      <c r="H69" s="77">
        <f>SUM(H48+H55+H62)</f>
        <v>51133.73</v>
      </c>
      <c r="I69" s="77">
        <f t="shared" ref="I69:AB69" si="75">SUM(I48+I55+I62)</f>
        <v>43472.33</v>
      </c>
      <c r="J69" s="77">
        <f t="shared" si="75"/>
        <v>32816.25</v>
      </c>
      <c r="K69" s="77">
        <f t="shared" si="75"/>
        <v>44728.490000000005</v>
      </c>
      <c r="L69" s="109">
        <f t="shared" si="75"/>
        <v>62382.32</v>
      </c>
      <c r="M69" s="108">
        <f t="shared" si="75"/>
        <v>115385.65</v>
      </c>
      <c r="N69" s="77">
        <f t="shared" si="75"/>
        <v>213897.46</v>
      </c>
      <c r="O69" s="77">
        <f t="shared" si="75"/>
        <v>231841.03</v>
      </c>
      <c r="P69" s="77">
        <f t="shared" si="75"/>
        <v>422259.57</v>
      </c>
      <c r="Q69" s="77">
        <f t="shared" si="75"/>
        <v>457225.60000000003</v>
      </c>
      <c r="R69" s="77">
        <f t="shared" si="75"/>
        <v>394544.94999999995</v>
      </c>
      <c r="S69" s="77">
        <f t="shared" si="75"/>
        <v>327628.18</v>
      </c>
      <c r="T69" s="77">
        <f t="shared" si="75"/>
        <v>308741.02</v>
      </c>
      <c r="U69" s="189">
        <f t="shared" si="75"/>
        <v>171199.03999999998</v>
      </c>
      <c r="V69" s="189">
        <f t="shared" si="75"/>
        <v>216023.5</v>
      </c>
      <c r="W69" s="189">
        <f t="shared" si="75"/>
        <v>188279.2</v>
      </c>
      <c r="X69" s="78">
        <f t="shared" si="75"/>
        <v>234956.9</v>
      </c>
      <c r="Y69" s="78">
        <f t="shared" si="75"/>
        <v>363464.43</v>
      </c>
      <c r="Z69" s="78">
        <f t="shared" si="75"/>
        <v>655131.94000000006</v>
      </c>
      <c r="AA69" s="78">
        <f t="shared" si="75"/>
        <v>330526.40999999997</v>
      </c>
      <c r="AB69" s="78">
        <f t="shared" si="75"/>
        <v>383668.8</v>
      </c>
      <c r="AC69" s="595">
        <f t="shared" si="65"/>
        <v>350087.12</v>
      </c>
      <c r="AD69" s="595">
        <f t="shared" si="65"/>
        <v>422806.33</v>
      </c>
      <c r="AE69" s="595">
        <f t="shared" si="70"/>
        <v>202254.33000000002</v>
      </c>
      <c r="AF69" s="595">
        <f t="shared" si="70"/>
        <v>195299.45</v>
      </c>
      <c r="AG69" s="595">
        <f t="shared" si="71"/>
        <v>193689.01</v>
      </c>
      <c r="AH69" s="595">
        <f t="shared" si="71"/>
        <v>178248.91</v>
      </c>
      <c r="AI69" s="595">
        <f t="shared" si="71"/>
        <v>150784.08000000002</v>
      </c>
      <c r="AJ69" s="595">
        <f t="shared" ref="AJ69" si="76">SUM(AJ48+AJ55+AJ62)</f>
        <v>158642.21000000002</v>
      </c>
      <c r="AK69" s="79">
        <f t="shared" si="66"/>
        <v>-40635.889999999985</v>
      </c>
      <c r="AL69" s="79">
        <f t="shared" si="66"/>
        <v>-214474.08000000002</v>
      </c>
      <c r="AM69" s="79">
        <f t="shared" si="66"/>
        <v>-296144.17000000004</v>
      </c>
      <c r="AN69" s="79">
        <f t="shared" si="66"/>
        <v>-264864.77999999997</v>
      </c>
      <c r="AO69" s="79">
        <f t="shared" si="66"/>
        <v>-268831.24</v>
      </c>
      <c r="AP69" s="79">
        <f t="shared" si="66"/>
        <v>-257607.29</v>
      </c>
      <c r="AQ69" s="78">
        <f t="shared" si="66"/>
        <v>-127726.70999999998</v>
      </c>
      <c r="AR69" s="78">
        <f t="shared" si="66"/>
        <v>-183207.25</v>
      </c>
      <c r="AS69" s="78">
        <f t="shared" si="66"/>
        <v>-143550.71000000002</v>
      </c>
      <c r="AT69" s="254">
        <f t="shared" si="66"/>
        <v>-172574.58</v>
      </c>
      <c r="AU69" s="254">
        <f t="shared" si="67"/>
        <v>-248078.78</v>
      </c>
      <c r="AV69" s="254">
        <f t="shared" si="67"/>
        <v>-441234.4800000001</v>
      </c>
      <c r="AW69" s="254">
        <f t="shared" si="67"/>
        <v>-98685.379999999976</v>
      </c>
      <c r="AX69" s="254">
        <f t="shared" si="67"/>
        <v>38590.770000000019</v>
      </c>
      <c r="AY69" s="254">
        <f t="shared" si="67"/>
        <v>107138.48000000004</v>
      </c>
      <c r="AZ69" s="254">
        <f t="shared" si="67"/>
        <v>-28261.380000000063</v>
      </c>
      <c r="BA69" s="254">
        <f t="shared" si="67"/>
        <v>125373.84999999998</v>
      </c>
      <c r="BB69" s="254">
        <f t="shared" si="67"/>
        <v>113441.57</v>
      </c>
      <c r="BC69" s="254">
        <f t="shared" si="67"/>
        <v>-22489.97000000003</v>
      </c>
      <c r="BD69" s="254">
        <f t="shared" si="67"/>
        <v>37774.589999999997</v>
      </c>
      <c r="BE69" s="254">
        <f t="shared" si="68"/>
        <v>37495.119999999995</v>
      </c>
      <c r="BF69" s="254">
        <f t="shared" si="68"/>
        <v>76314.689999999973</v>
      </c>
    </row>
    <row r="70" spans="1:58" x14ac:dyDescent="0.25">
      <c r="A70" s="4"/>
      <c r="B70" s="35" t="s">
        <v>40</v>
      </c>
      <c r="C70" s="108">
        <f t="shared" si="63"/>
        <v>0</v>
      </c>
      <c r="D70" s="77">
        <f t="shared" si="63"/>
        <v>17568.169999999998</v>
      </c>
      <c r="E70" s="77">
        <f t="shared" si="63"/>
        <v>15.32</v>
      </c>
      <c r="F70" s="77">
        <f t="shared" si="63"/>
        <v>16898.810000000001</v>
      </c>
      <c r="G70" s="77">
        <f t="shared" si="63"/>
        <v>46.51</v>
      </c>
      <c r="H70" s="77">
        <f>SUM(H49+H56+H63)</f>
        <v>950.14</v>
      </c>
      <c r="I70" s="77">
        <f t="shared" ref="I70:AB70" si="77">SUM(I49+I56+I63)</f>
        <v>947.11</v>
      </c>
      <c r="J70" s="77">
        <f t="shared" si="77"/>
        <v>9.19</v>
      </c>
      <c r="K70" s="77">
        <f t="shared" si="77"/>
        <v>1562.6000000000001</v>
      </c>
      <c r="L70" s="109">
        <f t="shared" si="77"/>
        <v>242.02</v>
      </c>
      <c r="M70" s="108">
        <f t="shared" si="77"/>
        <v>12626.720000000001</v>
      </c>
      <c r="N70" s="77">
        <f t="shared" si="77"/>
        <v>30003.530000000002</v>
      </c>
      <c r="O70" s="77">
        <f t="shared" si="77"/>
        <v>0</v>
      </c>
      <c r="P70" s="77">
        <f t="shared" si="77"/>
        <v>63980.44</v>
      </c>
      <c r="Q70" s="77">
        <f t="shared" si="77"/>
        <v>180095.77</v>
      </c>
      <c r="R70" s="77">
        <f t="shared" si="77"/>
        <v>185388.12</v>
      </c>
      <c r="S70" s="77">
        <f t="shared" si="77"/>
        <v>144647.99</v>
      </c>
      <c r="T70" s="77">
        <f t="shared" si="77"/>
        <v>87200.890000000014</v>
      </c>
      <c r="U70" s="189">
        <f t="shared" si="77"/>
        <v>11399.349999999999</v>
      </c>
      <c r="V70" s="189">
        <f t="shared" si="77"/>
        <v>3175.7700000000004</v>
      </c>
      <c r="W70" s="189">
        <f t="shared" si="77"/>
        <v>43230.84</v>
      </c>
      <c r="X70" s="78">
        <f t="shared" si="77"/>
        <v>16426.810000000001</v>
      </c>
      <c r="Y70" s="78">
        <f t="shared" si="77"/>
        <v>41414.18</v>
      </c>
      <c r="Z70" s="78">
        <f t="shared" si="77"/>
        <v>85993.41</v>
      </c>
      <c r="AA70" s="78">
        <f t="shared" si="77"/>
        <v>446.98</v>
      </c>
      <c r="AB70" s="78">
        <f t="shared" si="77"/>
        <v>53577.47</v>
      </c>
      <c r="AC70" s="595">
        <f t="shared" si="65"/>
        <v>32004.699999999997</v>
      </c>
      <c r="AD70" s="595">
        <f t="shared" si="65"/>
        <v>32004.699999999997</v>
      </c>
      <c r="AE70" s="595">
        <f t="shared" si="70"/>
        <v>36137.620000000003</v>
      </c>
      <c r="AF70" s="595">
        <f t="shared" si="70"/>
        <v>24304.22</v>
      </c>
      <c r="AG70" s="595">
        <f t="shared" si="71"/>
        <v>26229.599999999999</v>
      </c>
      <c r="AH70" s="595">
        <f t="shared" si="71"/>
        <v>12404.05</v>
      </c>
      <c r="AI70" s="595">
        <f t="shared" si="71"/>
        <v>20478.509999999998</v>
      </c>
      <c r="AJ70" s="595">
        <f t="shared" ref="AJ70" si="78">SUM(AJ49+AJ56+AJ63)</f>
        <v>14262.880000000001</v>
      </c>
      <c r="AK70" s="79">
        <f t="shared" si="66"/>
        <v>0</v>
      </c>
      <c r="AL70" s="79">
        <f t="shared" si="66"/>
        <v>-46412.270000000004</v>
      </c>
      <c r="AM70" s="79">
        <f t="shared" si="66"/>
        <v>-180080.44999999998</v>
      </c>
      <c r="AN70" s="79">
        <f t="shared" si="66"/>
        <v>-168489.31</v>
      </c>
      <c r="AO70" s="79">
        <f t="shared" si="66"/>
        <v>-144601.47999999998</v>
      </c>
      <c r="AP70" s="79">
        <f t="shared" si="66"/>
        <v>-86250.750000000015</v>
      </c>
      <c r="AQ70" s="78">
        <f t="shared" si="66"/>
        <v>-10452.239999999998</v>
      </c>
      <c r="AR70" s="78">
        <f t="shared" si="66"/>
        <v>-3166.5800000000004</v>
      </c>
      <c r="AS70" s="78">
        <f t="shared" si="66"/>
        <v>-41668.239999999998</v>
      </c>
      <c r="AT70" s="254">
        <f t="shared" si="66"/>
        <v>-16184.79</v>
      </c>
      <c r="AU70" s="254">
        <f t="shared" si="67"/>
        <v>-28787.46</v>
      </c>
      <c r="AV70" s="254">
        <f t="shared" si="67"/>
        <v>-55989.880000000005</v>
      </c>
      <c r="AW70" s="254">
        <f t="shared" si="67"/>
        <v>-446.98</v>
      </c>
      <c r="AX70" s="254">
        <f t="shared" si="67"/>
        <v>10402.970000000001</v>
      </c>
      <c r="AY70" s="254">
        <f t="shared" si="67"/>
        <v>148091.07</v>
      </c>
      <c r="AZ70" s="254">
        <f t="shared" si="67"/>
        <v>153383.41999999998</v>
      </c>
      <c r="BA70" s="254">
        <f t="shared" si="67"/>
        <v>108510.37</v>
      </c>
      <c r="BB70" s="254">
        <f t="shared" si="67"/>
        <v>62896.670000000013</v>
      </c>
      <c r="BC70" s="254">
        <f t="shared" si="67"/>
        <v>-14830.25</v>
      </c>
      <c r="BD70" s="254">
        <f t="shared" si="67"/>
        <v>-9228.2799999999988</v>
      </c>
      <c r="BE70" s="254">
        <f t="shared" si="68"/>
        <v>22752.329999999998</v>
      </c>
      <c r="BF70" s="254">
        <f t="shared" si="68"/>
        <v>2163.9300000000003</v>
      </c>
    </row>
    <row r="71" spans="1:58" ht="15.75" thickBot="1" x14ac:dyDescent="0.3">
      <c r="A71" s="4"/>
      <c r="B71" s="37" t="s">
        <v>41</v>
      </c>
      <c r="C71" s="100">
        <f t="shared" ref="C71:AC71" si="79">SUM(C66:C70)</f>
        <v>5129335.42</v>
      </c>
      <c r="D71" s="81">
        <f t="shared" si="79"/>
        <v>5078975.88</v>
      </c>
      <c r="E71" s="81">
        <f t="shared" si="79"/>
        <v>4359546.99</v>
      </c>
      <c r="F71" s="81">
        <f t="shared" si="79"/>
        <v>3829027.89</v>
      </c>
      <c r="G71" s="81">
        <f t="shared" si="79"/>
        <v>3128751.2679999997</v>
      </c>
      <c r="H71" s="81">
        <f t="shared" si="79"/>
        <v>2648820.84</v>
      </c>
      <c r="I71" s="81">
        <f t="shared" si="79"/>
        <v>2271749.8899999997</v>
      </c>
      <c r="J71" s="81">
        <f t="shared" si="79"/>
        <v>2031805.7199999997</v>
      </c>
      <c r="K71" s="81">
        <f t="shared" si="79"/>
        <v>2063767.3000000003</v>
      </c>
      <c r="L71" s="160">
        <f t="shared" si="79"/>
        <v>2552124.9500000002</v>
      </c>
      <c r="M71" s="81">
        <f t="shared" si="79"/>
        <v>3522223.68</v>
      </c>
      <c r="N71" s="81">
        <f t="shared" si="79"/>
        <v>4733144.1500000004</v>
      </c>
      <c r="O71" s="81">
        <f t="shared" si="79"/>
        <v>5383395.3000000007</v>
      </c>
      <c r="P71" s="81">
        <f t="shared" si="79"/>
        <v>6335183.0600000015</v>
      </c>
      <c r="Q71" s="81">
        <f t="shared" si="79"/>
        <v>6963838.1999999993</v>
      </c>
      <c r="R71" s="81">
        <f t="shared" si="79"/>
        <v>6027400.6800000006</v>
      </c>
      <c r="S71" s="81">
        <f t="shared" si="79"/>
        <v>5050459.6800000006</v>
      </c>
      <c r="T71" s="81">
        <f t="shared" si="79"/>
        <v>4980172.13</v>
      </c>
      <c r="U71" s="176">
        <f t="shared" si="79"/>
        <v>4695139.34</v>
      </c>
      <c r="V71" s="176">
        <f t="shared" si="79"/>
        <v>4584580.1000000006</v>
      </c>
      <c r="W71" s="176">
        <f t="shared" si="79"/>
        <v>4764068.209999999</v>
      </c>
      <c r="X71" s="160">
        <f t="shared" si="79"/>
        <v>5173508.13</v>
      </c>
      <c r="Y71" s="160">
        <f t="shared" si="79"/>
        <v>6657558.6099999985</v>
      </c>
      <c r="Z71" s="160">
        <f t="shared" si="79"/>
        <v>9064584.9800000004</v>
      </c>
      <c r="AA71" s="160">
        <f t="shared" si="79"/>
        <v>9325049.790000001</v>
      </c>
      <c r="AB71" s="160">
        <f t="shared" si="79"/>
        <v>10071160.450000003</v>
      </c>
      <c r="AC71" s="160">
        <f t="shared" si="79"/>
        <v>8711706.9100000001</v>
      </c>
      <c r="AD71" s="160">
        <f>SUM(AD66:AD70)</f>
        <v>8798067.1099999994</v>
      </c>
      <c r="AE71" s="160">
        <f>SUM(AE66:AE70)</f>
        <v>8461473.9800000004</v>
      </c>
      <c r="AF71" s="595">
        <f>SUM(AF50+AF57+AF64)</f>
        <v>8119757.5599999996</v>
      </c>
      <c r="AG71" s="595">
        <f t="shared" si="71"/>
        <v>8389704.290000001</v>
      </c>
      <c r="AH71" s="595">
        <f t="shared" si="71"/>
        <v>7023440.0199999996</v>
      </c>
      <c r="AI71" s="595">
        <f t="shared" si="71"/>
        <v>6498346.8000000007</v>
      </c>
      <c r="AJ71" s="595">
        <f t="shared" ref="AJ71" si="80">SUM(AJ50+AJ57+AJ64)</f>
        <v>6476375.2299999995</v>
      </c>
      <c r="AK71" s="81">
        <f t="shared" ref="AK71:AT71" si="81">SUM(AK66:AK70)</f>
        <v>-254059.8799999998</v>
      </c>
      <c r="AL71" s="81">
        <f t="shared" si="81"/>
        <v>-1256207.1800000002</v>
      </c>
      <c r="AM71" s="81">
        <f t="shared" si="81"/>
        <v>-2604291.2100000004</v>
      </c>
      <c r="AN71" s="81">
        <f t="shared" si="81"/>
        <v>-2198372.79</v>
      </c>
      <c r="AO71" s="81">
        <f t="shared" si="81"/>
        <v>-1921708.4120000002</v>
      </c>
      <c r="AP71" s="81">
        <f t="shared" si="81"/>
        <v>-2331351.29</v>
      </c>
      <c r="AQ71" s="80">
        <f t="shared" si="81"/>
        <v>-2423389.4500000007</v>
      </c>
      <c r="AR71" s="80">
        <f t="shared" si="81"/>
        <v>-2552774.3800000004</v>
      </c>
      <c r="AS71" s="80">
        <f t="shared" si="81"/>
        <v>-2700300.9099999992</v>
      </c>
      <c r="AT71" s="263">
        <f t="shared" si="81"/>
        <v>-2621383.1799999997</v>
      </c>
      <c r="AU71" s="254">
        <f t="shared" ref="AU71:BF71" si="82">M71-Y71</f>
        <v>-3135334.9299999983</v>
      </c>
      <c r="AV71" s="254">
        <f t="shared" si="82"/>
        <v>-4331440.83</v>
      </c>
      <c r="AW71" s="254">
        <f t="shared" si="82"/>
        <v>-3941654.49</v>
      </c>
      <c r="AX71" s="254">
        <f t="shared" si="82"/>
        <v>-3735977.3900000015</v>
      </c>
      <c r="AY71" s="254">
        <f t="shared" si="82"/>
        <v>-1747868.7100000009</v>
      </c>
      <c r="AZ71" s="254">
        <f t="shared" si="82"/>
        <v>-2770666.4299999988</v>
      </c>
      <c r="BA71" s="254">
        <f t="shared" si="82"/>
        <v>-3411014.3</v>
      </c>
      <c r="BB71" s="254">
        <f t="shared" si="82"/>
        <v>-3139585.4299999997</v>
      </c>
      <c r="BC71" s="254">
        <f t="shared" si="82"/>
        <v>-3694564.9500000011</v>
      </c>
      <c r="BD71" s="254">
        <f t="shared" si="82"/>
        <v>-2438859.919999999</v>
      </c>
      <c r="BE71" s="254">
        <f t="shared" si="82"/>
        <v>-1734278.5900000017</v>
      </c>
      <c r="BF71" s="254">
        <f t="shared" si="82"/>
        <v>-1302867.0999999996</v>
      </c>
    </row>
    <row r="72" spans="1:58"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320"/>
      <c r="AK72" s="64"/>
      <c r="AL72" s="64"/>
      <c r="AM72" s="64"/>
      <c r="AN72" s="64"/>
      <c r="AO72" s="64"/>
      <c r="AP72" s="64"/>
      <c r="AQ72" s="63"/>
      <c r="AR72" s="315"/>
      <c r="AS72" s="315"/>
      <c r="AT72" s="315"/>
      <c r="AU72" s="406"/>
      <c r="AV72" s="411"/>
      <c r="AW72" s="412"/>
      <c r="AX72" s="412"/>
      <c r="AY72" s="412"/>
      <c r="AZ72" s="412"/>
      <c r="BA72" s="412"/>
      <c r="BB72" s="412"/>
      <c r="BC72" s="412"/>
      <c r="BD72" s="412"/>
      <c r="BE72" s="412"/>
      <c r="BF72" s="412"/>
    </row>
    <row r="73" spans="1:58"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257">
        <f>36126+3578422+23569</f>
        <v>3638117</v>
      </c>
      <c r="AK73" s="83">
        <f t="shared" ref="AK73:AT77" si="83">C73-O73</f>
        <v>1044376</v>
      </c>
      <c r="AL73" s="83">
        <f t="shared" si="83"/>
        <v>339578</v>
      </c>
      <c r="AM73" s="83">
        <f t="shared" si="83"/>
        <v>-889327</v>
      </c>
      <c r="AN73" s="83">
        <f t="shared" si="83"/>
        <v>112049</v>
      </c>
      <c r="AO73" s="83">
        <f t="shared" si="83"/>
        <v>21199</v>
      </c>
      <c r="AP73" s="83">
        <f t="shared" si="83"/>
        <v>-59267</v>
      </c>
      <c r="AQ73" s="82">
        <f t="shared" si="83"/>
        <v>1836</v>
      </c>
      <c r="AR73" s="82">
        <f t="shared" si="83"/>
        <v>-141841</v>
      </c>
      <c r="AS73" s="82">
        <f t="shared" si="83"/>
        <v>354367</v>
      </c>
      <c r="AT73" s="256">
        <f t="shared" si="83"/>
        <v>916830</v>
      </c>
      <c r="AU73" s="256">
        <f t="shared" ref="AU73:BD77" si="84">M73-Y73</f>
        <v>-45044</v>
      </c>
      <c r="AV73" s="256">
        <f t="shared" si="84"/>
        <v>-746337</v>
      </c>
      <c r="AW73" s="256">
        <f t="shared" si="84"/>
        <v>-850134</v>
      </c>
      <c r="AX73" s="256">
        <f t="shared" si="84"/>
        <v>-71810</v>
      </c>
      <c r="AY73" s="256">
        <f t="shared" si="84"/>
        <v>813076</v>
      </c>
      <c r="AZ73" s="256">
        <f t="shared" si="84"/>
        <v>55530</v>
      </c>
      <c r="BA73" s="256">
        <f t="shared" si="84"/>
        <v>35618</v>
      </c>
      <c r="BB73" s="256">
        <f t="shared" si="84"/>
        <v>-56209</v>
      </c>
      <c r="BC73" s="256">
        <f t="shared" si="84"/>
        <v>-19066</v>
      </c>
      <c r="BD73" s="256">
        <f t="shared" si="84"/>
        <v>197537</v>
      </c>
      <c r="BE73" s="256">
        <f t="shared" ref="BE73:BN77" si="85">W73-AI73</f>
        <v>328382</v>
      </c>
      <c r="BF73" s="256">
        <f t="shared" si="85"/>
        <v>-390287</v>
      </c>
    </row>
    <row r="74" spans="1:58"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232">
        <f>4263+864501</f>
        <v>868764</v>
      </c>
      <c r="AK74" s="83">
        <f t="shared" si="83"/>
        <v>249515</v>
      </c>
      <c r="AL74" s="83">
        <f t="shared" si="83"/>
        <v>40224</v>
      </c>
      <c r="AM74" s="83">
        <f t="shared" si="83"/>
        <v>-200093</v>
      </c>
      <c r="AN74" s="83">
        <f t="shared" si="83"/>
        <v>38121</v>
      </c>
      <c r="AO74" s="83">
        <f t="shared" si="83"/>
        <v>11268</v>
      </c>
      <c r="AP74" s="83">
        <f t="shared" si="83"/>
        <v>-9400</v>
      </c>
      <c r="AQ74" s="82">
        <f t="shared" si="83"/>
        <v>-2433</v>
      </c>
      <c r="AR74" s="82">
        <f t="shared" si="83"/>
        <v>-17703</v>
      </c>
      <c r="AS74" s="82">
        <f t="shared" si="83"/>
        <v>124795</v>
      </c>
      <c r="AT74" s="256">
        <f t="shared" si="83"/>
        <v>195386</v>
      </c>
      <c r="AU74" s="256">
        <f t="shared" si="84"/>
        <v>42230</v>
      </c>
      <c r="AV74" s="256">
        <f t="shared" si="84"/>
        <v>-173591</v>
      </c>
      <c r="AW74" s="256">
        <f t="shared" si="84"/>
        <v>-118901</v>
      </c>
      <c r="AX74" s="256">
        <f t="shared" si="84"/>
        <v>105484</v>
      </c>
      <c r="AY74" s="256">
        <f t="shared" si="84"/>
        <v>192902</v>
      </c>
      <c r="AZ74" s="256">
        <f t="shared" si="84"/>
        <v>53134</v>
      </c>
      <c r="BA74" s="256">
        <f t="shared" si="84"/>
        <v>36317</v>
      </c>
      <c r="BB74" s="256">
        <f t="shared" si="84"/>
        <v>-25034</v>
      </c>
      <c r="BC74" s="256">
        <f t="shared" si="84"/>
        <v>7158</v>
      </c>
      <c r="BD74" s="256">
        <f t="shared" si="84"/>
        <v>52701</v>
      </c>
      <c r="BE74" s="256">
        <f t="shared" si="85"/>
        <v>51315</v>
      </c>
      <c r="BF74" s="256">
        <f t="shared" si="85"/>
        <v>-31682</v>
      </c>
    </row>
    <row r="75" spans="1:58"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257">
        <f>517067+107834+62219+14095</f>
        <v>701215</v>
      </c>
      <c r="AK75" s="83">
        <f t="shared" si="83"/>
        <v>256428</v>
      </c>
      <c r="AL75" s="83">
        <f t="shared" si="83"/>
        <v>84797</v>
      </c>
      <c r="AM75" s="83">
        <f t="shared" si="83"/>
        <v>-105634</v>
      </c>
      <c r="AN75" s="83">
        <f t="shared" si="83"/>
        <v>86833</v>
      </c>
      <c r="AO75" s="83">
        <f t="shared" si="83"/>
        <v>22093</v>
      </c>
      <c r="AP75" s="83">
        <f t="shared" si="83"/>
        <v>-19414</v>
      </c>
      <c r="AQ75" s="82">
        <f t="shared" si="83"/>
        <v>1068</v>
      </c>
      <c r="AR75" s="82">
        <f t="shared" si="83"/>
        <v>624</v>
      </c>
      <c r="AS75" s="82">
        <f t="shared" si="83"/>
        <v>79025</v>
      </c>
      <c r="AT75" s="256">
        <f t="shared" si="83"/>
        <v>259135</v>
      </c>
      <c r="AU75" s="256">
        <f t="shared" si="84"/>
        <v>71899</v>
      </c>
      <c r="AV75" s="256">
        <f t="shared" si="84"/>
        <v>-171872</v>
      </c>
      <c r="AW75" s="256">
        <f t="shared" si="84"/>
        <v>-183713</v>
      </c>
      <c r="AX75" s="256">
        <f t="shared" si="84"/>
        <v>-19263</v>
      </c>
      <c r="AY75" s="256">
        <f t="shared" si="84"/>
        <v>109891</v>
      </c>
      <c r="AZ75" s="256">
        <f t="shared" si="84"/>
        <v>-22784</v>
      </c>
      <c r="BA75" s="256">
        <f t="shared" si="84"/>
        <v>-6522</v>
      </c>
      <c r="BB75" s="256">
        <f t="shared" si="84"/>
        <v>-10922</v>
      </c>
      <c r="BC75" s="256">
        <f t="shared" si="84"/>
        <v>-7748</v>
      </c>
      <c r="BD75" s="256">
        <f t="shared" si="84"/>
        <v>24986</v>
      </c>
      <c r="BE75" s="256">
        <f t="shared" si="85"/>
        <v>49472</v>
      </c>
      <c r="BF75" s="256">
        <f t="shared" si="85"/>
        <v>-95990</v>
      </c>
    </row>
    <row r="76" spans="1:58"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257">
        <f>500174+161359+479821+155350</f>
        <v>1296704</v>
      </c>
      <c r="AK76" s="83">
        <f t="shared" si="83"/>
        <v>307128</v>
      </c>
      <c r="AL76" s="83">
        <f t="shared" si="83"/>
        <v>347486</v>
      </c>
      <c r="AM76" s="83">
        <f t="shared" si="83"/>
        <v>174945</v>
      </c>
      <c r="AN76" s="83">
        <f t="shared" si="83"/>
        <v>-506644</v>
      </c>
      <c r="AO76" s="83">
        <f t="shared" si="83"/>
        <v>-8093</v>
      </c>
      <c r="AP76" s="83">
        <f t="shared" si="83"/>
        <v>-21454</v>
      </c>
      <c r="AQ76" s="82">
        <f t="shared" si="83"/>
        <v>-1966</v>
      </c>
      <c r="AR76" s="82">
        <f t="shared" si="83"/>
        <v>-51537</v>
      </c>
      <c r="AS76" s="82">
        <f t="shared" si="83"/>
        <v>95439</v>
      </c>
      <c r="AT76" s="256">
        <f t="shared" si="83"/>
        <v>326676</v>
      </c>
      <c r="AU76" s="256">
        <f t="shared" si="84"/>
        <v>53167</v>
      </c>
      <c r="AV76" s="256">
        <f t="shared" si="84"/>
        <v>-44819</v>
      </c>
      <c r="AW76" s="256">
        <f t="shared" si="84"/>
        <v>-194428</v>
      </c>
      <c r="AX76" s="256">
        <f t="shared" si="84"/>
        <v>-54991</v>
      </c>
      <c r="AY76" s="256">
        <f t="shared" si="84"/>
        <v>171645</v>
      </c>
      <c r="AZ76" s="256">
        <f t="shared" si="84"/>
        <v>-60418</v>
      </c>
      <c r="BA76" s="256">
        <f t="shared" si="84"/>
        <v>-4581</v>
      </c>
      <c r="BB76" s="256">
        <f t="shared" si="84"/>
        <v>-48287</v>
      </c>
      <c r="BC76" s="256">
        <f t="shared" si="84"/>
        <v>16166</v>
      </c>
      <c r="BD76" s="256">
        <f t="shared" si="84"/>
        <v>60838</v>
      </c>
      <c r="BE76" s="256">
        <f t="shared" si="85"/>
        <v>33449</v>
      </c>
      <c r="BF76" s="256">
        <f t="shared" si="85"/>
        <v>-222419</v>
      </c>
    </row>
    <row r="77" spans="1:58"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257">
        <f>15780+136482+39769+418908</f>
        <v>610939</v>
      </c>
      <c r="AK77" s="83">
        <f t="shared" si="83"/>
        <v>132731</v>
      </c>
      <c r="AL77" s="83">
        <f t="shared" si="83"/>
        <v>-100829</v>
      </c>
      <c r="AM77" s="83">
        <f t="shared" si="83"/>
        <v>-2087</v>
      </c>
      <c r="AN77" s="83">
        <f t="shared" si="83"/>
        <v>-129728</v>
      </c>
      <c r="AO77" s="83">
        <f t="shared" si="83"/>
        <v>-74366</v>
      </c>
      <c r="AP77" s="83">
        <f t="shared" si="83"/>
        <v>-48949</v>
      </c>
      <c r="AQ77" s="82">
        <f t="shared" si="83"/>
        <v>-158266</v>
      </c>
      <c r="AR77" s="82">
        <f t="shared" si="83"/>
        <v>-57268</v>
      </c>
      <c r="AS77" s="82">
        <f t="shared" si="83"/>
        <v>-97707</v>
      </c>
      <c r="AT77" s="256">
        <f t="shared" si="83"/>
        <v>31338</v>
      </c>
      <c r="AU77" s="256">
        <f t="shared" si="84"/>
        <v>-118350</v>
      </c>
      <c r="AV77" s="256">
        <f t="shared" si="84"/>
        <v>-16911</v>
      </c>
      <c r="AW77" s="256">
        <f t="shared" si="84"/>
        <v>-13571</v>
      </c>
      <c r="AX77" s="256">
        <f t="shared" si="84"/>
        <v>33927</v>
      </c>
      <c r="AY77" s="256">
        <f t="shared" si="84"/>
        <v>-485993</v>
      </c>
      <c r="AZ77" s="256">
        <f t="shared" si="84"/>
        <v>386739</v>
      </c>
      <c r="BA77" s="256">
        <f t="shared" si="84"/>
        <v>86369</v>
      </c>
      <c r="BB77" s="256">
        <f t="shared" si="84"/>
        <v>22681</v>
      </c>
      <c r="BC77" s="256">
        <f t="shared" si="84"/>
        <v>98533</v>
      </c>
      <c r="BD77" s="256">
        <f t="shared" si="84"/>
        <v>108313</v>
      </c>
      <c r="BE77" s="256">
        <f t="shared" si="85"/>
        <v>80443</v>
      </c>
      <c r="BF77" s="256">
        <f t="shared" si="85"/>
        <v>51743</v>
      </c>
    </row>
    <row r="78" spans="1:58" x14ac:dyDescent="0.25">
      <c r="A78" s="4"/>
      <c r="B78" s="35" t="s">
        <v>41</v>
      </c>
      <c r="C78" s="156">
        <f>SUM(C73:C77)</f>
        <v>10437928</v>
      </c>
      <c r="D78" s="83">
        <f>SUM(D73:D77)</f>
        <v>7577055</v>
      </c>
      <c r="E78" s="83">
        <f t="shared" ref="E78:AR78" si="86">SUM(E73:E77)</f>
        <v>4510693</v>
      </c>
      <c r="F78" s="83">
        <f t="shared" si="86"/>
        <v>2087452</v>
      </c>
      <c r="G78" s="83">
        <f t="shared" si="86"/>
        <v>1719391</v>
      </c>
      <c r="H78" s="83">
        <f t="shared" si="86"/>
        <v>1566001</v>
      </c>
      <c r="I78" s="83">
        <f t="shared" si="86"/>
        <v>1594247</v>
      </c>
      <c r="J78" s="83">
        <f t="shared" si="86"/>
        <v>2004871</v>
      </c>
      <c r="K78" s="83">
        <f t="shared" si="86"/>
        <v>4695044</v>
      </c>
      <c r="L78" s="166">
        <f t="shared" si="86"/>
        <v>8156469</v>
      </c>
      <c r="M78" s="83">
        <f t="shared" si="86"/>
        <v>10830922</v>
      </c>
      <c r="N78" s="83">
        <f t="shared" si="86"/>
        <v>9328705</v>
      </c>
      <c r="O78" s="83">
        <f t="shared" si="86"/>
        <v>8447750</v>
      </c>
      <c r="P78" s="83">
        <f t="shared" si="86"/>
        <v>6865799</v>
      </c>
      <c r="Q78" s="83">
        <f t="shared" si="86"/>
        <v>5532889</v>
      </c>
      <c r="R78" s="83">
        <f t="shared" si="86"/>
        <v>2486821</v>
      </c>
      <c r="S78" s="83">
        <f t="shared" si="86"/>
        <v>1747290</v>
      </c>
      <c r="T78" s="83">
        <f t="shared" si="86"/>
        <v>1724485</v>
      </c>
      <c r="U78" s="178">
        <f t="shared" si="86"/>
        <v>1754008</v>
      </c>
      <c r="V78" s="178">
        <f t="shared" si="86"/>
        <v>2272596</v>
      </c>
      <c r="W78" s="178">
        <f t="shared" ref="W78:AC78" si="87">SUM(W73:W77)</f>
        <v>4139125</v>
      </c>
      <c r="X78" s="166">
        <f t="shared" si="87"/>
        <v>6427104</v>
      </c>
      <c r="Y78" s="166">
        <f t="shared" si="87"/>
        <v>10827020</v>
      </c>
      <c r="Z78" s="166">
        <f t="shared" si="87"/>
        <v>10482235</v>
      </c>
      <c r="AA78" s="166">
        <f t="shared" si="87"/>
        <v>9808497</v>
      </c>
      <c r="AB78" s="166">
        <f t="shared" si="87"/>
        <v>6872452</v>
      </c>
      <c r="AC78" s="166">
        <f t="shared" si="87"/>
        <v>4731368</v>
      </c>
      <c r="AD78" s="166">
        <f t="shared" ref="AD78:AI78" si="88">SUM(AD73:AD77)</f>
        <v>2074620</v>
      </c>
      <c r="AE78" s="166">
        <f t="shared" si="88"/>
        <v>1600089</v>
      </c>
      <c r="AF78" s="166">
        <f t="shared" si="88"/>
        <v>1842256</v>
      </c>
      <c r="AG78" s="166">
        <f t="shared" si="88"/>
        <v>1658965</v>
      </c>
      <c r="AH78" s="166">
        <f t="shared" si="88"/>
        <v>1828221</v>
      </c>
      <c r="AI78" s="166">
        <f t="shared" si="88"/>
        <v>3596064</v>
      </c>
      <c r="AJ78" s="166">
        <f t="shared" ref="AJ78" si="89">SUM(AJ73:AJ77)</f>
        <v>7115739</v>
      </c>
      <c r="AK78" s="83">
        <f t="shared" si="86"/>
        <v>1990178</v>
      </c>
      <c r="AL78" s="83">
        <f t="shared" si="86"/>
        <v>711256</v>
      </c>
      <c r="AM78" s="83">
        <f t="shared" si="86"/>
        <v>-1022196</v>
      </c>
      <c r="AN78" s="83">
        <f t="shared" si="86"/>
        <v>-399369</v>
      </c>
      <c r="AO78" s="83">
        <f t="shared" si="86"/>
        <v>-27899</v>
      </c>
      <c r="AP78" s="83">
        <f t="shared" si="86"/>
        <v>-158484</v>
      </c>
      <c r="AQ78" s="82">
        <f t="shared" si="86"/>
        <v>-159761</v>
      </c>
      <c r="AR78" s="82">
        <f t="shared" si="86"/>
        <v>-267725</v>
      </c>
      <c r="AS78" s="82">
        <f>SUM(AS73:AS77)</f>
        <v>555919</v>
      </c>
      <c r="AT78" s="256">
        <f>SUM(AT73:AT77)</f>
        <v>1729365</v>
      </c>
      <c r="AU78" s="256">
        <f t="shared" ref="AU78:BF78" si="90">M78-Y78</f>
        <v>3902</v>
      </c>
      <c r="AV78" s="256">
        <f t="shared" si="90"/>
        <v>-1153530</v>
      </c>
      <c r="AW78" s="256">
        <f t="shared" si="90"/>
        <v>-1360747</v>
      </c>
      <c r="AX78" s="256">
        <f t="shared" si="90"/>
        <v>-6653</v>
      </c>
      <c r="AY78" s="256">
        <f t="shared" si="90"/>
        <v>801521</v>
      </c>
      <c r="AZ78" s="256">
        <f t="shared" si="90"/>
        <v>412201</v>
      </c>
      <c r="BA78" s="256">
        <f t="shared" si="90"/>
        <v>147201</v>
      </c>
      <c r="BB78" s="256">
        <f t="shared" si="90"/>
        <v>-117771</v>
      </c>
      <c r="BC78" s="256">
        <f t="shared" si="90"/>
        <v>95043</v>
      </c>
      <c r="BD78" s="256">
        <f t="shared" si="90"/>
        <v>444375</v>
      </c>
      <c r="BE78" s="256">
        <f t="shared" si="90"/>
        <v>543061</v>
      </c>
      <c r="BF78" s="256">
        <f t="shared" si="90"/>
        <v>-688635</v>
      </c>
    </row>
    <row r="79" spans="1:58"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322"/>
      <c r="AK79" s="85"/>
      <c r="AL79" s="85"/>
      <c r="AM79" s="85"/>
      <c r="AN79" s="85"/>
      <c r="AO79" s="85"/>
      <c r="AP79" s="85"/>
      <c r="AQ79" s="84"/>
      <c r="AR79" s="315"/>
      <c r="AS79" s="315"/>
      <c r="AT79" s="315"/>
      <c r="AU79" s="406"/>
      <c r="AV79" s="411"/>
      <c r="AW79" s="412"/>
      <c r="AX79" s="412"/>
      <c r="AY79" s="412"/>
      <c r="AZ79" s="412"/>
      <c r="BA79" s="412"/>
      <c r="BB79" s="412"/>
      <c r="BC79" s="412"/>
      <c r="BD79" s="412"/>
      <c r="BE79" s="412"/>
      <c r="BF79" s="412"/>
    </row>
    <row r="80" spans="1:58"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97">
        <v>3161210</v>
      </c>
      <c r="AD80" s="597">
        <f>40518.67+11861.49+5697.79+853660.89+514075.54+248945.11+5747.97+4153.08</f>
        <v>1684660.5399999998</v>
      </c>
      <c r="AE80" s="765">
        <f>50490+1203464+7245</f>
        <v>1261199</v>
      </c>
      <c r="AF80" s="765">
        <f>52887+1237458+8439</f>
        <v>1298784</v>
      </c>
      <c r="AG80" s="765">
        <f>50885+1174204</f>
        <v>1225089</v>
      </c>
      <c r="AH80" s="765">
        <f>53324+1228832+8800</f>
        <v>1290956</v>
      </c>
      <c r="AI80" s="765">
        <f>71014+2721482+15551</f>
        <v>2808047</v>
      </c>
      <c r="AJ80" s="765">
        <f>98219+7247114+27994</f>
        <v>7373327</v>
      </c>
      <c r="AK80" s="79">
        <f t="shared" ref="AK80:AT84" si="91">C80-O80</f>
        <v>1097548</v>
      </c>
      <c r="AL80" s="79">
        <f t="shared" si="91"/>
        <v>246878</v>
      </c>
      <c r="AM80" s="79">
        <f t="shared" si="91"/>
        <v>-1134124</v>
      </c>
      <c r="AN80" s="79">
        <f t="shared" si="91"/>
        <v>53367</v>
      </c>
      <c r="AO80" s="79">
        <f t="shared" si="91"/>
        <v>-4004</v>
      </c>
      <c r="AP80" s="79">
        <f t="shared" si="91"/>
        <v>-93024</v>
      </c>
      <c r="AQ80" s="79">
        <f t="shared" si="91"/>
        <v>-70215.120000000112</v>
      </c>
      <c r="AR80" s="79">
        <f t="shared" si="91"/>
        <v>-175401</v>
      </c>
      <c r="AS80" s="79">
        <f t="shared" si="91"/>
        <v>257309</v>
      </c>
      <c r="AT80" s="109">
        <f t="shared" si="91"/>
        <v>868996</v>
      </c>
      <c r="AU80" s="109">
        <f t="shared" ref="AU80:BD84" si="92">M80-Y80</f>
        <v>-476976</v>
      </c>
      <c r="AV80" s="109">
        <f t="shared" si="92"/>
        <v>-1072114</v>
      </c>
      <c r="AW80" s="109">
        <f t="shared" si="92"/>
        <v>-1202610</v>
      </c>
      <c r="AX80" s="109">
        <f t="shared" si="92"/>
        <v>-159445</v>
      </c>
      <c r="AY80" s="109">
        <f t="shared" si="92"/>
        <v>808842</v>
      </c>
      <c r="AZ80" s="109">
        <f t="shared" si="92"/>
        <v>-102793.5399999998</v>
      </c>
      <c r="BA80" s="109">
        <f t="shared" si="92"/>
        <v>-66218</v>
      </c>
      <c r="BB80" s="109">
        <f t="shared" si="92"/>
        <v>-132018</v>
      </c>
      <c r="BC80" s="109">
        <f t="shared" si="92"/>
        <v>-61546.879999999888</v>
      </c>
      <c r="BD80" s="109">
        <f t="shared" si="92"/>
        <v>89298</v>
      </c>
      <c r="BE80" s="109">
        <f t="shared" ref="BE80:BN84" si="93">W80-AI80</f>
        <v>-232758</v>
      </c>
      <c r="BF80" s="109">
        <f t="shared" si="93"/>
        <v>-2235130</v>
      </c>
    </row>
    <row r="81" spans="1:58"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97">
        <v>564271</v>
      </c>
      <c r="AD81" s="597">
        <f>2294.42+1043.22+505.87+95427.94+100162.09+48268.47</f>
        <v>247702.00999999998</v>
      </c>
      <c r="AE81" s="765">
        <f>2942+166178</f>
        <v>169120</v>
      </c>
      <c r="AF81" s="765">
        <f>4849+234225</f>
        <v>239074</v>
      </c>
      <c r="AG81" s="765">
        <f>4445+207784</f>
        <v>212229</v>
      </c>
      <c r="AH81" s="765">
        <f>4178+225000</f>
        <v>229178</v>
      </c>
      <c r="AI81" s="765">
        <f>6174+601119</f>
        <v>607293</v>
      </c>
      <c r="AJ81" s="765">
        <f>8667+1342458</f>
        <v>1351125</v>
      </c>
      <c r="AK81" s="79">
        <f t="shared" si="91"/>
        <v>200224</v>
      </c>
      <c r="AL81" s="79">
        <f t="shared" si="91"/>
        <v>8582</v>
      </c>
      <c r="AM81" s="79">
        <f t="shared" si="91"/>
        <v>-182044</v>
      </c>
      <c r="AN81" s="79">
        <f t="shared" si="91"/>
        <v>20703</v>
      </c>
      <c r="AO81" s="79">
        <f t="shared" si="91"/>
        <v>8023</v>
      </c>
      <c r="AP81" s="79">
        <f t="shared" si="91"/>
        <v>-10794</v>
      </c>
      <c r="AQ81" s="79">
        <f t="shared" si="91"/>
        <v>-4497.2699999999895</v>
      </c>
      <c r="AR81" s="79">
        <f t="shared" si="91"/>
        <v>-20861</v>
      </c>
      <c r="AS81" s="79">
        <f t="shared" si="91"/>
        <v>77847</v>
      </c>
      <c r="AT81" s="109">
        <f t="shared" si="91"/>
        <v>128152</v>
      </c>
      <c r="AU81" s="109">
        <f t="shared" si="92"/>
        <v>-14746</v>
      </c>
      <c r="AV81" s="109">
        <f t="shared" si="92"/>
        <v>-181416</v>
      </c>
      <c r="AW81" s="109">
        <f t="shared" si="92"/>
        <v>-126262</v>
      </c>
      <c r="AX81" s="109">
        <f t="shared" si="92"/>
        <v>102966</v>
      </c>
      <c r="AY81" s="109">
        <f t="shared" si="92"/>
        <v>126168</v>
      </c>
      <c r="AZ81" s="109">
        <f t="shared" si="92"/>
        <v>19873.99000000002</v>
      </c>
      <c r="BA81" s="109">
        <f t="shared" si="92"/>
        <v>21924</v>
      </c>
      <c r="BB81" s="109">
        <f t="shared" si="92"/>
        <v>-42553</v>
      </c>
      <c r="BC81" s="109">
        <f t="shared" si="92"/>
        <v>-16308.73000000001</v>
      </c>
      <c r="BD81" s="109">
        <f t="shared" si="92"/>
        <v>16922</v>
      </c>
      <c r="BE81" s="109">
        <f t="shared" si="93"/>
        <v>-102186</v>
      </c>
      <c r="BF81" s="109">
        <f t="shared" si="93"/>
        <v>-363215</v>
      </c>
    </row>
    <row r="82" spans="1:58"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97">
        <v>492665</v>
      </c>
      <c r="AD82" s="597">
        <v>239363</v>
      </c>
      <c r="AE82" s="765">
        <f>109826+58079+13211+3935</f>
        <v>185051</v>
      </c>
      <c r="AF82" s="765">
        <f>109356+70402+9428+4329</f>
        <v>193515</v>
      </c>
      <c r="AG82" s="765">
        <f>133037+67232</f>
        <v>200269</v>
      </c>
      <c r="AH82" s="765">
        <f>116986+67108+13947+4660</f>
        <v>202701</v>
      </c>
      <c r="AI82" s="765">
        <f>294543+108274+28650+7431</f>
        <v>438898</v>
      </c>
      <c r="AJ82" s="765">
        <f>933457+175403+56307+10564</f>
        <v>1175731</v>
      </c>
      <c r="AK82" s="79">
        <f t="shared" si="91"/>
        <v>274970</v>
      </c>
      <c r="AL82" s="79">
        <f t="shared" si="91"/>
        <v>82062</v>
      </c>
      <c r="AM82" s="79">
        <f t="shared" si="91"/>
        <v>-96180</v>
      </c>
      <c r="AN82" s="79">
        <f t="shared" si="91"/>
        <v>66718</v>
      </c>
      <c r="AO82" s="79">
        <f t="shared" si="91"/>
        <v>13583</v>
      </c>
      <c r="AP82" s="79">
        <f t="shared" si="91"/>
        <v>-15775</v>
      </c>
      <c r="AQ82" s="79">
        <f t="shared" si="91"/>
        <v>30055.559999999998</v>
      </c>
      <c r="AR82" s="79">
        <f t="shared" si="91"/>
        <v>3072</v>
      </c>
      <c r="AS82" s="79">
        <f t="shared" si="91"/>
        <v>56613</v>
      </c>
      <c r="AT82" s="109">
        <f t="shared" si="91"/>
        <v>232247</v>
      </c>
      <c r="AU82" s="109">
        <f t="shared" si="92"/>
        <v>-12290</v>
      </c>
      <c r="AV82" s="109">
        <f t="shared" si="92"/>
        <v>-221849</v>
      </c>
      <c r="AW82" s="109">
        <f t="shared" si="92"/>
        <v>-233002</v>
      </c>
      <c r="AX82" s="109">
        <f t="shared" si="92"/>
        <v>-32143</v>
      </c>
      <c r="AY82" s="109">
        <f t="shared" si="92"/>
        <v>67813</v>
      </c>
      <c r="AZ82" s="109">
        <f t="shared" si="92"/>
        <v>-43596</v>
      </c>
      <c r="BA82" s="109">
        <f t="shared" si="92"/>
        <v>-14705</v>
      </c>
      <c r="BB82" s="109">
        <f t="shared" si="92"/>
        <v>-15820</v>
      </c>
      <c r="BC82" s="109">
        <f t="shared" si="92"/>
        <v>-55561.56</v>
      </c>
      <c r="BD82" s="109">
        <f t="shared" si="92"/>
        <v>-1842</v>
      </c>
      <c r="BE82" s="109">
        <f t="shared" si="93"/>
        <v>-52647</v>
      </c>
      <c r="BF82" s="109">
        <f t="shared" si="93"/>
        <v>-346250</v>
      </c>
    </row>
    <row r="83" spans="1:58"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97">
        <v>696013</v>
      </c>
      <c r="AD83" s="597">
        <f>82369.35+88720.62+103733.33+57211.11</f>
        <v>332034.40999999997</v>
      </c>
      <c r="AE83" s="765">
        <f>64963+73916+45633+40702</f>
        <v>225214</v>
      </c>
      <c r="AF83" s="765">
        <f>28764+104445+54954+33916</f>
        <v>222079</v>
      </c>
      <c r="AG83" s="765">
        <f>43211+82329</f>
        <v>125540</v>
      </c>
      <c r="AH83" s="765">
        <f>2540+95415+61442+49533</f>
        <v>208930</v>
      </c>
      <c r="AI83" s="765">
        <f>286061+172404+171554+65014</f>
        <v>695033</v>
      </c>
      <c r="AJ83" s="765">
        <f>822293+252920+354503+114295</f>
        <v>1544011</v>
      </c>
      <c r="AK83" s="79">
        <f t="shared" si="91"/>
        <v>311712</v>
      </c>
      <c r="AL83" s="79">
        <f t="shared" si="91"/>
        <v>396567</v>
      </c>
      <c r="AM83" s="79">
        <f t="shared" si="91"/>
        <v>-35558</v>
      </c>
      <c r="AN83" s="79">
        <f t="shared" si="91"/>
        <v>-302086</v>
      </c>
      <c r="AO83" s="79">
        <f t="shared" si="91"/>
        <v>715</v>
      </c>
      <c r="AP83" s="79">
        <f t="shared" si="91"/>
        <v>-10151</v>
      </c>
      <c r="AQ83" s="79">
        <f t="shared" si="91"/>
        <v>76664.460000000006</v>
      </c>
      <c r="AR83" s="79">
        <f t="shared" si="91"/>
        <v>-21344</v>
      </c>
      <c r="AS83" s="79">
        <f t="shared" si="91"/>
        <v>89016</v>
      </c>
      <c r="AT83" s="109">
        <f t="shared" si="91"/>
        <v>162666</v>
      </c>
      <c r="AU83" s="109">
        <f t="shared" si="92"/>
        <v>-138400</v>
      </c>
      <c r="AV83" s="109">
        <f t="shared" si="92"/>
        <v>-152882</v>
      </c>
      <c r="AW83" s="109">
        <f t="shared" si="92"/>
        <v>-272997</v>
      </c>
      <c r="AX83" s="109">
        <f t="shared" si="92"/>
        <v>-109360</v>
      </c>
      <c r="AY83" s="109">
        <f t="shared" si="92"/>
        <v>66287</v>
      </c>
      <c r="AZ83" s="109">
        <f t="shared" si="92"/>
        <v>-82690.409999999974</v>
      </c>
      <c r="BA83" s="109">
        <f t="shared" si="92"/>
        <v>-39604</v>
      </c>
      <c r="BB83" s="109">
        <f t="shared" si="92"/>
        <v>-42293</v>
      </c>
      <c r="BC83" s="109">
        <f t="shared" si="92"/>
        <v>5264.5399999999936</v>
      </c>
      <c r="BD83" s="109">
        <f t="shared" si="92"/>
        <v>54818</v>
      </c>
      <c r="BE83" s="109">
        <f t="shared" si="93"/>
        <v>-157875</v>
      </c>
      <c r="BF83" s="109">
        <f t="shared" si="93"/>
        <v>-475188</v>
      </c>
    </row>
    <row r="84" spans="1:58"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97">
        <v>480829</v>
      </c>
      <c r="AD84" s="597">
        <f>11588.77+53320.61+9252.72</f>
        <v>74162.100000000006</v>
      </c>
      <c r="AE84" s="765">
        <f>3578+21320+3020+146418</f>
        <v>174336</v>
      </c>
      <c r="AF84" s="765">
        <f>2771+84727+3589+134951</f>
        <v>226038</v>
      </c>
      <c r="AG84" s="765">
        <f>3412+36042</f>
        <v>39454</v>
      </c>
      <c r="AH84" s="765">
        <f>6746+34031+6367+147351</f>
        <v>194495</v>
      </c>
      <c r="AI84" s="765">
        <f>-2393+161055+7786+155066</f>
        <v>321514</v>
      </c>
      <c r="AJ84" s="765">
        <f>24407+163040+26879+217696</f>
        <v>432022</v>
      </c>
      <c r="AK84" s="79">
        <f t="shared" si="91"/>
        <v>119975</v>
      </c>
      <c r="AL84" s="79">
        <f t="shared" si="91"/>
        <v>-50831</v>
      </c>
      <c r="AM84" s="79">
        <f t="shared" si="91"/>
        <v>17536</v>
      </c>
      <c r="AN84" s="79">
        <f t="shared" si="91"/>
        <v>-10971</v>
      </c>
      <c r="AO84" s="79">
        <f t="shared" si="91"/>
        <v>5069</v>
      </c>
      <c r="AP84" s="79">
        <f t="shared" si="91"/>
        <v>-10353</v>
      </c>
      <c r="AQ84" s="79">
        <f t="shared" si="91"/>
        <v>-52367.51999999999</v>
      </c>
      <c r="AR84" s="79">
        <f t="shared" si="91"/>
        <v>-3512</v>
      </c>
      <c r="AS84" s="79">
        <f t="shared" si="91"/>
        <v>-13078</v>
      </c>
      <c r="AT84" s="109">
        <f t="shared" si="91"/>
        <v>-43386</v>
      </c>
      <c r="AU84" s="109">
        <f t="shared" si="92"/>
        <v>-132545</v>
      </c>
      <c r="AV84" s="109">
        <f t="shared" si="92"/>
        <v>-99733</v>
      </c>
      <c r="AW84" s="109">
        <f t="shared" si="92"/>
        <v>-76141</v>
      </c>
      <c r="AX84" s="109">
        <f t="shared" si="92"/>
        <v>3954</v>
      </c>
      <c r="AY84" s="109">
        <f t="shared" si="92"/>
        <v>-291696</v>
      </c>
      <c r="AZ84" s="109">
        <f t="shared" si="92"/>
        <v>107499.9</v>
      </c>
      <c r="BA84" s="109">
        <f t="shared" si="92"/>
        <v>5461</v>
      </c>
      <c r="BB84" s="109">
        <f t="shared" si="92"/>
        <v>-50091</v>
      </c>
      <c r="BC84" s="109">
        <f t="shared" si="92"/>
        <v>151641.51999999999</v>
      </c>
      <c r="BD84" s="109">
        <f t="shared" si="92"/>
        <v>-4910</v>
      </c>
      <c r="BE84" s="109">
        <f t="shared" si="93"/>
        <v>-58198</v>
      </c>
      <c r="BF84" s="109">
        <f t="shared" si="93"/>
        <v>-73424</v>
      </c>
    </row>
    <row r="85" spans="1:58" x14ac:dyDescent="0.25">
      <c r="A85" s="4"/>
      <c r="B85" s="35" t="s">
        <v>41</v>
      </c>
      <c r="C85" s="97">
        <f>SUM(C80:C84)</f>
        <v>12106135</v>
      </c>
      <c r="D85" s="89">
        <f>SUM(D80:D84)</f>
        <v>9039383</v>
      </c>
      <c r="E85" s="89">
        <f t="shared" ref="E85:AR85" si="94">SUM(E80:E84)</f>
        <v>4742032</v>
      </c>
      <c r="F85" s="89">
        <f t="shared" si="94"/>
        <v>2303947</v>
      </c>
      <c r="G85" s="89">
        <f t="shared" si="94"/>
        <v>1945164</v>
      </c>
      <c r="H85" s="89">
        <f t="shared" si="94"/>
        <v>1756618</v>
      </c>
      <c r="I85" s="89">
        <f t="shared" si="94"/>
        <v>1805710</v>
      </c>
      <c r="J85" s="89">
        <f t="shared" si="94"/>
        <v>2062500</v>
      </c>
      <c r="K85" s="89">
        <f t="shared" si="94"/>
        <v>4734828</v>
      </c>
      <c r="L85" s="99">
        <f t="shared" si="94"/>
        <v>9731684</v>
      </c>
      <c r="M85" s="89">
        <f t="shared" si="94"/>
        <v>12809442</v>
      </c>
      <c r="N85" s="89">
        <f t="shared" si="94"/>
        <v>11104485</v>
      </c>
      <c r="O85" s="89">
        <f t="shared" si="94"/>
        <v>10101706</v>
      </c>
      <c r="P85" s="89">
        <f t="shared" si="94"/>
        <v>8356125</v>
      </c>
      <c r="Q85" s="89">
        <f t="shared" si="94"/>
        <v>6172402</v>
      </c>
      <c r="R85" s="89">
        <f t="shared" si="94"/>
        <v>2476216</v>
      </c>
      <c r="S85" s="89">
        <f t="shared" si="94"/>
        <v>1921778</v>
      </c>
      <c r="T85" s="89">
        <f t="shared" si="94"/>
        <v>1896715</v>
      </c>
      <c r="U85" s="180">
        <f t="shared" ref="U85:AC85" si="95">SUM(U80:U84)</f>
        <v>1826069.8900000001</v>
      </c>
      <c r="V85" s="180">
        <f t="shared" si="95"/>
        <v>2280546</v>
      </c>
      <c r="W85" s="180">
        <f t="shared" si="95"/>
        <v>4267121</v>
      </c>
      <c r="X85" s="99">
        <f t="shared" si="95"/>
        <v>8383009</v>
      </c>
      <c r="Y85" s="99">
        <f t="shared" si="95"/>
        <v>13584399</v>
      </c>
      <c r="Z85" s="99">
        <f t="shared" si="95"/>
        <v>12832479</v>
      </c>
      <c r="AA85" s="99">
        <f t="shared" si="95"/>
        <v>12012718</v>
      </c>
      <c r="AB85" s="99">
        <f t="shared" si="95"/>
        <v>8550153</v>
      </c>
      <c r="AC85" s="99">
        <f t="shared" si="95"/>
        <v>5394988</v>
      </c>
      <c r="AD85" s="99">
        <f t="shared" ref="AD85:AI85" si="96">SUM(AD80:AD84)</f>
        <v>2577922.06</v>
      </c>
      <c r="AE85" s="99">
        <f t="shared" si="96"/>
        <v>2014920</v>
      </c>
      <c r="AF85" s="99">
        <f t="shared" si="96"/>
        <v>2179490</v>
      </c>
      <c r="AG85" s="99">
        <f t="shared" si="96"/>
        <v>1802581</v>
      </c>
      <c r="AH85" s="99">
        <f t="shared" si="96"/>
        <v>2126260</v>
      </c>
      <c r="AI85" s="99">
        <f t="shared" si="96"/>
        <v>4870785</v>
      </c>
      <c r="AJ85" s="99">
        <f t="shared" ref="AJ85" si="97">SUM(AJ80:AJ84)</f>
        <v>11876216</v>
      </c>
      <c r="AK85" s="89">
        <f t="shared" si="94"/>
        <v>2004429</v>
      </c>
      <c r="AL85" s="89">
        <f t="shared" si="94"/>
        <v>683258</v>
      </c>
      <c r="AM85" s="89">
        <f t="shared" si="94"/>
        <v>-1430370</v>
      </c>
      <c r="AN85" s="89">
        <f t="shared" si="94"/>
        <v>-172269</v>
      </c>
      <c r="AO85" s="89">
        <f t="shared" si="94"/>
        <v>23386</v>
      </c>
      <c r="AP85" s="89">
        <f t="shared" si="94"/>
        <v>-140097</v>
      </c>
      <c r="AQ85" s="89">
        <f t="shared" si="94"/>
        <v>-20359.890000000087</v>
      </c>
      <c r="AR85" s="89">
        <f t="shared" si="94"/>
        <v>-218046</v>
      </c>
      <c r="AS85" s="89">
        <f>SUM(AS80:AS84)</f>
        <v>467707</v>
      </c>
      <c r="AT85" s="98">
        <f>SUM(AT80:AT84)</f>
        <v>1348675</v>
      </c>
      <c r="AU85" s="109">
        <f t="shared" ref="AU85:BF85" si="98">M85-Y85</f>
        <v>-774957</v>
      </c>
      <c r="AV85" s="109">
        <f t="shared" si="98"/>
        <v>-1727994</v>
      </c>
      <c r="AW85" s="109">
        <f t="shared" si="98"/>
        <v>-1911012</v>
      </c>
      <c r="AX85" s="109">
        <f t="shared" si="98"/>
        <v>-194028</v>
      </c>
      <c r="AY85" s="109">
        <f t="shared" si="98"/>
        <v>777414</v>
      </c>
      <c r="AZ85" s="109">
        <f t="shared" si="98"/>
        <v>-101706.06000000006</v>
      </c>
      <c r="BA85" s="109">
        <f t="shared" si="98"/>
        <v>-93142</v>
      </c>
      <c r="BB85" s="109">
        <f t="shared" si="98"/>
        <v>-282775</v>
      </c>
      <c r="BC85" s="109">
        <f t="shared" si="98"/>
        <v>23488.89000000013</v>
      </c>
      <c r="BD85" s="109">
        <f t="shared" si="98"/>
        <v>154286</v>
      </c>
      <c r="BE85" s="109">
        <f t="shared" si="98"/>
        <v>-603664</v>
      </c>
      <c r="BF85" s="109">
        <f t="shared" si="98"/>
        <v>-3493207</v>
      </c>
    </row>
    <row r="86" spans="1:58"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323"/>
      <c r="AK86" s="93"/>
      <c r="AL86" s="93"/>
      <c r="AM86" s="93"/>
      <c r="AN86" s="93"/>
      <c r="AO86" s="93"/>
      <c r="AP86" s="93"/>
      <c r="AQ86" s="92"/>
      <c r="AR86" s="315"/>
      <c r="AS86" s="315"/>
      <c r="AT86" s="315"/>
      <c r="AU86" s="406"/>
      <c r="AV86" s="411"/>
      <c r="AW86" s="412"/>
      <c r="AX86" s="412"/>
      <c r="AY86" s="412"/>
      <c r="AZ86" s="412"/>
      <c r="BA86" s="412"/>
      <c r="BB86" s="412"/>
      <c r="BC86" s="412"/>
      <c r="BD86" s="412"/>
      <c r="BE86" s="412"/>
      <c r="BF86" s="412"/>
    </row>
    <row r="87" spans="1:58"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324"/>
      <c r="AK87" s="83">
        <f t="shared" ref="AK87:AT91" si="99">C87-O87</f>
        <v>0</v>
      </c>
      <c r="AL87" s="83">
        <f t="shared" si="99"/>
        <v>0</v>
      </c>
      <c r="AM87" s="83">
        <f t="shared" si="99"/>
        <v>0</v>
      </c>
      <c r="AN87" s="83">
        <f t="shared" si="99"/>
        <v>0</v>
      </c>
      <c r="AO87" s="83">
        <f t="shared" si="99"/>
        <v>0</v>
      </c>
      <c r="AP87" s="83">
        <f t="shared" si="99"/>
        <v>0</v>
      </c>
      <c r="AQ87" s="82">
        <f t="shared" si="99"/>
        <v>0</v>
      </c>
      <c r="AR87" s="82">
        <f t="shared" si="99"/>
        <v>0</v>
      </c>
      <c r="AS87" s="82">
        <f t="shared" si="99"/>
        <v>0</v>
      </c>
      <c r="AT87" s="256">
        <f t="shared" si="99"/>
        <v>0</v>
      </c>
      <c r="AU87" s="256">
        <f t="shared" ref="AU87:BD91" si="100">M87-Y87</f>
        <v>0</v>
      </c>
      <c r="AV87" s="256">
        <f t="shared" si="100"/>
        <v>0</v>
      </c>
      <c r="AW87" s="256">
        <f t="shared" si="100"/>
        <v>0</v>
      </c>
      <c r="AX87" s="256">
        <f t="shared" si="100"/>
        <v>0</v>
      </c>
      <c r="AY87" s="256">
        <f t="shared" si="100"/>
        <v>0</v>
      </c>
      <c r="AZ87" s="256">
        <f t="shared" si="100"/>
        <v>0</v>
      </c>
      <c r="BA87" s="256">
        <f t="shared" si="100"/>
        <v>0</v>
      </c>
      <c r="BB87" s="256">
        <f t="shared" si="100"/>
        <v>0</v>
      </c>
      <c r="BC87" s="256">
        <f t="shared" si="100"/>
        <v>0</v>
      </c>
      <c r="BD87" s="256">
        <f t="shared" si="100"/>
        <v>0</v>
      </c>
      <c r="BE87" s="256">
        <f t="shared" ref="BE87:BN91" si="101">W87-AI87</f>
        <v>0</v>
      </c>
      <c r="BF87" s="256">
        <f t="shared" si="101"/>
        <v>0</v>
      </c>
    </row>
    <row r="88" spans="1:58"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324"/>
      <c r="AK88" s="83">
        <f t="shared" si="99"/>
        <v>0</v>
      </c>
      <c r="AL88" s="83">
        <f t="shared" si="99"/>
        <v>0</v>
      </c>
      <c r="AM88" s="83">
        <f t="shared" si="99"/>
        <v>0</v>
      </c>
      <c r="AN88" s="83">
        <f t="shared" si="99"/>
        <v>0</v>
      </c>
      <c r="AO88" s="83">
        <f t="shared" si="99"/>
        <v>0</v>
      </c>
      <c r="AP88" s="83">
        <f t="shared" si="99"/>
        <v>0</v>
      </c>
      <c r="AQ88" s="82">
        <f t="shared" si="99"/>
        <v>0</v>
      </c>
      <c r="AR88" s="82">
        <f t="shared" si="99"/>
        <v>0</v>
      </c>
      <c r="AS88" s="82">
        <f t="shared" si="99"/>
        <v>0</v>
      </c>
      <c r="AT88" s="256">
        <f t="shared" si="99"/>
        <v>0</v>
      </c>
      <c r="AU88" s="256">
        <f t="shared" si="100"/>
        <v>0</v>
      </c>
      <c r="AV88" s="256">
        <f t="shared" si="100"/>
        <v>0</v>
      </c>
      <c r="AW88" s="256">
        <f t="shared" si="100"/>
        <v>0</v>
      </c>
      <c r="AX88" s="256">
        <f t="shared" si="100"/>
        <v>0</v>
      </c>
      <c r="AY88" s="256">
        <f t="shared" si="100"/>
        <v>0</v>
      </c>
      <c r="AZ88" s="256">
        <f t="shared" si="100"/>
        <v>0</v>
      </c>
      <c r="BA88" s="256">
        <f t="shared" si="100"/>
        <v>0</v>
      </c>
      <c r="BB88" s="256">
        <f t="shared" si="100"/>
        <v>0</v>
      </c>
      <c r="BC88" s="256">
        <f t="shared" si="100"/>
        <v>0</v>
      </c>
      <c r="BD88" s="256">
        <f t="shared" si="100"/>
        <v>0</v>
      </c>
      <c r="BE88" s="256">
        <f t="shared" si="101"/>
        <v>0</v>
      </c>
      <c r="BF88" s="256">
        <f t="shared" si="101"/>
        <v>0</v>
      </c>
    </row>
    <row r="89" spans="1:58"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324"/>
      <c r="AK89" s="83">
        <f t="shared" si="99"/>
        <v>0</v>
      </c>
      <c r="AL89" s="83">
        <f t="shared" si="99"/>
        <v>0</v>
      </c>
      <c r="AM89" s="83">
        <f t="shared" si="99"/>
        <v>0</v>
      </c>
      <c r="AN89" s="83">
        <f t="shared" si="99"/>
        <v>0</v>
      </c>
      <c r="AO89" s="83">
        <f t="shared" si="99"/>
        <v>0</v>
      </c>
      <c r="AP89" s="83">
        <f t="shared" si="99"/>
        <v>0</v>
      </c>
      <c r="AQ89" s="82">
        <f t="shared" si="99"/>
        <v>0</v>
      </c>
      <c r="AR89" s="82">
        <f t="shared" si="99"/>
        <v>0</v>
      </c>
      <c r="AS89" s="82">
        <f t="shared" si="99"/>
        <v>0</v>
      </c>
      <c r="AT89" s="256">
        <f t="shared" si="99"/>
        <v>0</v>
      </c>
      <c r="AU89" s="256">
        <f t="shared" si="100"/>
        <v>0</v>
      </c>
      <c r="AV89" s="256">
        <f t="shared" si="100"/>
        <v>0</v>
      </c>
      <c r="AW89" s="256">
        <f t="shared" si="100"/>
        <v>0</v>
      </c>
      <c r="AX89" s="256">
        <f t="shared" si="100"/>
        <v>0</v>
      </c>
      <c r="AY89" s="256">
        <f t="shared" si="100"/>
        <v>0</v>
      </c>
      <c r="AZ89" s="256">
        <f t="shared" si="100"/>
        <v>0</v>
      </c>
      <c r="BA89" s="256">
        <f t="shared" si="100"/>
        <v>0</v>
      </c>
      <c r="BB89" s="256">
        <f t="shared" si="100"/>
        <v>0</v>
      </c>
      <c r="BC89" s="256">
        <f t="shared" si="100"/>
        <v>0</v>
      </c>
      <c r="BD89" s="256">
        <f t="shared" si="100"/>
        <v>0</v>
      </c>
      <c r="BE89" s="256">
        <f t="shared" si="101"/>
        <v>0</v>
      </c>
      <c r="BF89" s="256">
        <f t="shared" si="101"/>
        <v>0</v>
      </c>
    </row>
    <row r="90" spans="1:58"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324"/>
      <c r="AK90" s="83">
        <f t="shared" si="99"/>
        <v>0</v>
      </c>
      <c r="AL90" s="83">
        <f t="shared" si="99"/>
        <v>0</v>
      </c>
      <c r="AM90" s="83">
        <f t="shared" si="99"/>
        <v>0</v>
      </c>
      <c r="AN90" s="83">
        <f t="shared" si="99"/>
        <v>0</v>
      </c>
      <c r="AO90" s="83">
        <f t="shared" si="99"/>
        <v>0</v>
      </c>
      <c r="AP90" s="83">
        <f t="shared" si="99"/>
        <v>0</v>
      </c>
      <c r="AQ90" s="82">
        <f t="shared" si="99"/>
        <v>0</v>
      </c>
      <c r="AR90" s="82">
        <f t="shared" si="99"/>
        <v>0</v>
      </c>
      <c r="AS90" s="82">
        <f t="shared" si="99"/>
        <v>0</v>
      </c>
      <c r="AT90" s="256">
        <f t="shared" si="99"/>
        <v>0</v>
      </c>
      <c r="AU90" s="256">
        <f t="shared" si="100"/>
        <v>0</v>
      </c>
      <c r="AV90" s="256">
        <f t="shared" si="100"/>
        <v>0</v>
      </c>
      <c r="AW90" s="256">
        <f t="shared" si="100"/>
        <v>0</v>
      </c>
      <c r="AX90" s="256">
        <f t="shared" si="100"/>
        <v>0</v>
      </c>
      <c r="AY90" s="256">
        <f t="shared" si="100"/>
        <v>0</v>
      </c>
      <c r="AZ90" s="256">
        <f t="shared" si="100"/>
        <v>0</v>
      </c>
      <c r="BA90" s="256">
        <f t="shared" si="100"/>
        <v>0</v>
      </c>
      <c r="BB90" s="256">
        <f t="shared" si="100"/>
        <v>0</v>
      </c>
      <c r="BC90" s="256">
        <f t="shared" si="100"/>
        <v>0</v>
      </c>
      <c r="BD90" s="256">
        <f t="shared" si="100"/>
        <v>0</v>
      </c>
      <c r="BE90" s="256">
        <f t="shared" si="101"/>
        <v>0</v>
      </c>
      <c r="BF90" s="256">
        <f t="shared" si="101"/>
        <v>0</v>
      </c>
    </row>
    <row r="91" spans="1:58"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324"/>
      <c r="AK91" s="83">
        <f t="shared" si="99"/>
        <v>0</v>
      </c>
      <c r="AL91" s="83">
        <f t="shared" si="99"/>
        <v>0</v>
      </c>
      <c r="AM91" s="83">
        <f t="shared" si="99"/>
        <v>0</v>
      </c>
      <c r="AN91" s="83">
        <f t="shared" si="99"/>
        <v>0</v>
      </c>
      <c r="AO91" s="83">
        <f t="shared" si="99"/>
        <v>0</v>
      </c>
      <c r="AP91" s="83">
        <f t="shared" si="99"/>
        <v>0</v>
      </c>
      <c r="AQ91" s="82">
        <f t="shared" si="99"/>
        <v>0</v>
      </c>
      <c r="AR91" s="82">
        <f t="shared" si="99"/>
        <v>0</v>
      </c>
      <c r="AS91" s="82">
        <f t="shared" si="99"/>
        <v>0</v>
      </c>
      <c r="AT91" s="256">
        <f t="shared" si="99"/>
        <v>0</v>
      </c>
      <c r="AU91" s="256">
        <f t="shared" si="100"/>
        <v>0</v>
      </c>
      <c r="AV91" s="256">
        <f t="shared" si="100"/>
        <v>0</v>
      </c>
      <c r="AW91" s="256">
        <f t="shared" si="100"/>
        <v>0</v>
      </c>
      <c r="AX91" s="256">
        <f t="shared" si="100"/>
        <v>0</v>
      </c>
      <c r="AY91" s="256">
        <f t="shared" si="100"/>
        <v>0</v>
      </c>
      <c r="AZ91" s="256">
        <f t="shared" si="100"/>
        <v>0</v>
      </c>
      <c r="BA91" s="256">
        <f t="shared" si="100"/>
        <v>0</v>
      </c>
      <c r="BB91" s="256">
        <f t="shared" si="100"/>
        <v>0</v>
      </c>
      <c r="BC91" s="256">
        <f t="shared" si="100"/>
        <v>0</v>
      </c>
      <c r="BD91" s="256">
        <f t="shared" si="100"/>
        <v>0</v>
      </c>
      <c r="BE91" s="256">
        <f t="shared" si="101"/>
        <v>0</v>
      </c>
      <c r="BF91" s="256">
        <f t="shared" si="101"/>
        <v>0</v>
      </c>
    </row>
    <row r="92" spans="1:58" x14ac:dyDescent="0.25">
      <c r="A92" s="4"/>
      <c r="B92" s="35" t="s">
        <v>41</v>
      </c>
      <c r="C92" s="156">
        <f>SUM(C87:C91)</f>
        <v>0</v>
      </c>
      <c r="D92" s="191">
        <f>SUM(D87:D91)</f>
        <v>0</v>
      </c>
      <c r="E92" s="191">
        <f t="shared" ref="E92:AQ92" si="102">SUM(E87:E91)</f>
        <v>0</v>
      </c>
      <c r="F92" s="191">
        <f t="shared" si="102"/>
        <v>0</v>
      </c>
      <c r="G92" s="191">
        <f t="shared" si="102"/>
        <v>0</v>
      </c>
      <c r="H92" s="191">
        <f t="shared" si="102"/>
        <v>0</v>
      </c>
      <c r="I92" s="191">
        <f t="shared" si="102"/>
        <v>0</v>
      </c>
      <c r="J92" s="191">
        <f t="shared" si="102"/>
        <v>0</v>
      </c>
      <c r="K92" s="191">
        <f t="shared" si="102"/>
        <v>0</v>
      </c>
      <c r="L92" s="192">
        <f t="shared" si="102"/>
        <v>0</v>
      </c>
      <c r="M92" s="191">
        <f t="shared" si="102"/>
        <v>0</v>
      </c>
      <c r="N92" s="191">
        <f t="shared" si="102"/>
        <v>0</v>
      </c>
      <c r="O92" s="191">
        <f t="shared" si="102"/>
        <v>0</v>
      </c>
      <c r="P92" s="191">
        <f t="shared" si="102"/>
        <v>0</v>
      </c>
      <c r="Q92" s="191">
        <f t="shared" si="102"/>
        <v>0</v>
      </c>
      <c r="R92" s="191">
        <f t="shared" si="102"/>
        <v>0</v>
      </c>
      <c r="S92" s="191">
        <f t="shared" si="102"/>
        <v>0</v>
      </c>
      <c r="T92" s="191">
        <f t="shared" si="102"/>
        <v>0</v>
      </c>
      <c r="U92" s="193">
        <f t="shared" si="102"/>
        <v>0</v>
      </c>
      <c r="V92" s="324"/>
      <c r="W92" s="324"/>
      <c r="X92" s="192"/>
      <c r="Y92" s="324"/>
      <c r="Z92" s="324"/>
      <c r="AA92" s="324"/>
      <c r="AB92" s="324"/>
      <c r="AC92" s="192"/>
      <c r="AD92" s="192"/>
      <c r="AE92" s="324"/>
      <c r="AF92" s="324"/>
      <c r="AG92" s="324"/>
      <c r="AH92" s="324"/>
      <c r="AI92" s="324"/>
      <c r="AJ92" s="324"/>
      <c r="AK92" s="191">
        <f t="shared" si="102"/>
        <v>0</v>
      </c>
      <c r="AL92" s="191">
        <f t="shared" si="102"/>
        <v>0</v>
      </c>
      <c r="AM92" s="191">
        <f t="shared" si="102"/>
        <v>0</v>
      </c>
      <c r="AN92" s="191">
        <f t="shared" si="102"/>
        <v>0</v>
      </c>
      <c r="AO92" s="191">
        <f t="shared" si="102"/>
        <v>0</v>
      </c>
      <c r="AP92" s="191">
        <f t="shared" si="102"/>
        <v>0</v>
      </c>
      <c r="AQ92" s="194">
        <f t="shared" si="102"/>
        <v>0</v>
      </c>
      <c r="AR92" s="82">
        <f t="shared" ref="AR92:BF92" si="103">J92-V92</f>
        <v>0</v>
      </c>
      <c r="AS92" s="82">
        <f t="shared" si="103"/>
        <v>0</v>
      </c>
      <c r="AT92" s="256">
        <f t="shared" si="103"/>
        <v>0</v>
      </c>
      <c r="AU92" s="256">
        <f t="shared" si="103"/>
        <v>0</v>
      </c>
      <c r="AV92" s="256">
        <f t="shared" si="103"/>
        <v>0</v>
      </c>
      <c r="AW92" s="256">
        <f t="shared" si="103"/>
        <v>0</v>
      </c>
      <c r="AX92" s="256">
        <f t="shared" si="103"/>
        <v>0</v>
      </c>
      <c r="AY92" s="256">
        <f t="shared" si="103"/>
        <v>0</v>
      </c>
      <c r="AZ92" s="256">
        <f t="shared" si="103"/>
        <v>0</v>
      </c>
      <c r="BA92" s="256">
        <f t="shared" si="103"/>
        <v>0</v>
      </c>
      <c r="BB92" s="256">
        <f t="shared" si="103"/>
        <v>0</v>
      </c>
      <c r="BC92" s="256">
        <f t="shared" si="103"/>
        <v>0</v>
      </c>
      <c r="BD92" s="256">
        <f t="shared" si="103"/>
        <v>0</v>
      </c>
      <c r="BE92" s="256">
        <f t="shared" si="103"/>
        <v>0</v>
      </c>
      <c r="BF92" s="256">
        <f t="shared" si="103"/>
        <v>0</v>
      </c>
    </row>
    <row r="93" spans="1:58"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323"/>
      <c r="AK93" s="85"/>
      <c r="AL93" s="94"/>
      <c r="AM93" s="95"/>
      <c r="AN93" s="95"/>
      <c r="AO93" s="95"/>
      <c r="AP93" s="95"/>
      <c r="AQ93" s="96"/>
      <c r="AR93" s="231"/>
      <c r="AS93" s="231"/>
      <c r="AT93" s="231"/>
      <c r="AU93" s="404"/>
      <c r="AV93" s="212"/>
      <c r="AW93" s="410"/>
      <c r="AX93" s="410"/>
      <c r="AY93" s="410"/>
      <c r="AZ93" s="410"/>
      <c r="BA93" s="410"/>
      <c r="BB93" s="410"/>
      <c r="BC93" s="410"/>
      <c r="BD93" s="410"/>
      <c r="BE93" s="410"/>
      <c r="BF93" s="410"/>
    </row>
    <row r="94" spans="1:58" x14ac:dyDescent="0.25">
      <c r="A94" s="4"/>
      <c r="B94" s="35" t="s">
        <v>36</v>
      </c>
      <c r="C94" s="97">
        <f>C80+C87</f>
        <v>7320652</v>
      </c>
      <c r="D94" s="98">
        <f t="shared" ref="D94:V98" si="104">D80+D87</f>
        <v>5383472</v>
      </c>
      <c r="E94" s="98">
        <f t="shared" si="104"/>
        <v>2835928</v>
      </c>
      <c r="F94" s="98">
        <f t="shared" si="104"/>
        <v>1635234</v>
      </c>
      <c r="G94" s="98">
        <f t="shared" si="104"/>
        <v>1190977</v>
      </c>
      <c r="H94" s="98">
        <f t="shared" si="104"/>
        <v>1073742</v>
      </c>
      <c r="I94" s="98">
        <f t="shared" si="104"/>
        <v>1093327</v>
      </c>
      <c r="J94" s="98">
        <f t="shared" si="104"/>
        <v>1204853</v>
      </c>
      <c r="K94" s="98">
        <f t="shared" si="104"/>
        <v>2832598</v>
      </c>
      <c r="L94" s="99">
        <f t="shared" si="104"/>
        <v>6007193</v>
      </c>
      <c r="M94" s="98">
        <f t="shared" si="104"/>
        <v>7862432</v>
      </c>
      <c r="N94" s="89">
        <f t="shared" si="104"/>
        <v>6861669</v>
      </c>
      <c r="O94" s="98">
        <f t="shared" si="104"/>
        <v>6223104</v>
      </c>
      <c r="P94" s="98">
        <f t="shared" si="104"/>
        <v>5136594</v>
      </c>
      <c r="Q94" s="98">
        <f t="shared" si="104"/>
        <v>3970052</v>
      </c>
      <c r="R94" s="98">
        <f t="shared" si="104"/>
        <v>1581867</v>
      </c>
      <c r="S94" s="98">
        <f t="shared" si="104"/>
        <v>1194981</v>
      </c>
      <c r="T94" s="98">
        <f t="shared" si="104"/>
        <v>1166766</v>
      </c>
      <c r="U94" s="98">
        <f t="shared" si="104"/>
        <v>1163542.1200000001</v>
      </c>
      <c r="V94" s="98">
        <f t="shared" si="104"/>
        <v>1380254</v>
      </c>
      <c r="W94" s="98">
        <f t="shared" ref="W94:AC98" si="105">W80+W87</f>
        <v>2575289</v>
      </c>
      <c r="X94" s="99">
        <f t="shared" si="105"/>
        <v>5138197</v>
      </c>
      <c r="Y94" s="99">
        <f t="shared" si="105"/>
        <v>8339408</v>
      </c>
      <c r="Z94" s="99">
        <f t="shared" si="105"/>
        <v>7933783</v>
      </c>
      <c r="AA94" s="99">
        <f t="shared" si="105"/>
        <v>7425714</v>
      </c>
      <c r="AB94" s="99">
        <f t="shared" si="105"/>
        <v>5296039</v>
      </c>
      <c r="AC94" s="99">
        <f t="shared" si="105"/>
        <v>3161210</v>
      </c>
      <c r="AD94" s="99">
        <f t="shared" ref="AD94:AI98" si="106">AD80+AD87</f>
        <v>1684660.5399999998</v>
      </c>
      <c r="AE94" s="99">
        <f t="shared" si="106"/>
        <v>1261199</v>
      </c>
      <c r="AF94" s="99">
        <f t="shared" si="106"/>
        <v>1298784</v>
      </c>
      <c r="AG94" s="99">
        <f t="shared" si="106"/>
        <v>1225089</v>
      </c>
      <c r="AH94" s="99">
        <f t="shared" si="106"/>
        <v>1290956</v>
      </c>
      <c r="AI94" s="99">
        <f t="shared" si="106"/>
        <v>2808047</v>
      </c>
      <c r="AJ94" s="99">
        <f t="shared" ref="AJ94" si="107">AJ80+AJ87</f>
        <v>7373327</v>
      </c>
      <c r="AK94" s="89">
        <f t="shared" ref="AK94:AT98" si="108">C94-O94</f>
        <v>1097548</v>
      </c>
      <c r="AL94" s="89">
        <f t="shared" si="108"/>
        <v>246878</v>
      </c>
      <c r="AM94" s="89">
        <f t="shared" si="108"/>
        <v>-1134124</v>
      </c>
      <c r="AN94" s="89">
        <f t="shared" si="108"/>
        <v>53367</v>
      </c>
      <c r="AO94" s="89">
        <f t="shared" si="108"/>
        <v>-4004</v>
      </c>
      <c r="AP94" s="89">
        <f t="shared" si="108"/>
        <v>-93024</v>
      </c>
      <c r="AQ94" s="88">
        <f t="shared" si="108"/>
        <v>-70215.120000000112</v>
      </c>
      <c r="AR94" s="88">
        <f t="shared" si="108"/>
        <v>-175401</v>
      </c>
      <c r="AS94" s="88">
        <f t="shared" si="108"/>
        <v>257309</v>
      </c>
      <c r="AT94" s="259">
        <f t="shared" si="108"/>
        <v>868996</v>
      </c>
      <c r="AU94" s="259">
        <f t="shared" ref="AU94:BD98" si="109">M94-Y94</f>
        <v>-476976</v>
      </c>
      <c r="AV94" s="259">
        <f t="shared" si="109"/>
        <v>-1072114</v>
      </c>
      <c r="AW94" s="259">
        <f t="shared" si="109"/>
        <v>-1202610</v>
      </c>
      <c r="AX94" s="259">
        <f t="shared" si="109"/>
        <v>-159445</v>
      </c>
      <c r="AY94" s="259">
        <f t="shared" si="109"/>
        <v>808842</v>
      </c>
      <c r="AZ94" s="259">
        <f t="shared" si="109"/>
        <v>-102793.5399999998</v>
      </c>
      <c r="BA94" s="259">
        <f t="shared" si="109"/>
        <v>-66218</v>
      </c>
      <c r="BB94" s="259">
        <f t="shared" si="109"/>
        <v>-132018</v>
      </c>
      <c r="BC94" s="259">
        <f t="shared" si="109"/>
        <v>-61546.879999999888</v>
      </c>
      <c r="BD94" s="259">
        <f t="shared" si="109"/>
        <v>89298</v>
      </c>
      <c r="BE94" s="259">
        <f t="shared" ref="BE94:BN98" si="110">W94-AI94</f>
        <v>-232758</v>
      </c>
      <c r="BF94" s="259">
        <f t="shared" si="110"/>
        <v>-2235130</v>
      </c>
    </row>
    <row r="95" spans="1:58" x14ac:dyDescent="0.25">
      <c r="A95" s="4"/>
      <c r="B95" s="35" t="s">
        <v>37</v>
      </c>
      <c r="C95" s="97">
        <f>C81+C88</f>
        <v>1333487</v>
      </c>
      <c r="D95" s="98">
        <f t="shared" ref="D95:R95" si="111">D81+D88</f>
        <v>958085</v>
      </c>
      <c r="E95" s="98">
        <f t="shared" si="111"/>
        <v>508395</v>
      </c>
      <c r="F95" s="98">
        <f t="shared" si="111"/>
        <v>288279</v>
      </c>
      <c r="G95" s="98">
        <f t="shared" si="111"/>
        <v>199067</v>
      </c>
      <c r="H95" s="98">
        <f t="shared" si="111"/>
        <v>185727</v>
      </c>
      <c r="I95" s="98">
        <f t="shared" si="111"/>
        <v>191423</v>
      </c>
      <c r="J95" s="98">
        <f t="shared" si="111"/>
        <v>225239</v>
      </c>
      <c r="K95" s="98">
        <f t="shared" si="111"/>
        <v>582954</v>
      </c>
      <c r="L95" s="99">
        <f t="shared" si="111"/>
        <v>1116062</v>
      </c>
      <c r="M95" s="98">
        <f t="shared" si="111"/>
        <v>1429370</v>
      </c>
      <c r="N95" s="89">
        <f t="shared" si="111"/>
        <v>1214330</v>
      </c>
      <c r="O95" s="98">
        <f t="shared" si="111"/>
        <v>1133263</v>
      </c>
      <c r="P95" s="98">
        <f t="shared" si="111"/>
        <v>949503</v>
      </c>
      <c r="Q95" s="98">
        <f t="shared" si="111"/>
        <v>690439</v>
      </c>
      <c r="R95" s="98">
        <f t="shared" si="111"/>
        <v>267576</v>
      </c>
      <c r="S95" s="98">
        <f t="shared" si="104"/>
        <v>191044</v>
      </c>
      <c r="T95" s="98">
        <f t="shared" si="104"/>
        <v>196521</v>
      </c>
      <c r="U95" s="98">
        <f t="shared" ref="U95:V98" si="112">U81+U88</f>
        <v>195920.27</v>
      </c>
      <c r="V95" s="98">
        <f t="shared" si="112"/>
        <v>246100</v>
      </c>
      <c r="W95" s="98">
        <f t="shared" si="105"/>
        <v>505107</v>
      </c>
      <c r="X95" s="99">
        <f t="shared" si="105"/>
        <v>987910</v>
      </c>
      <c r="Y95" s="99">
        <f t="shared" si="105"/>
        <v>1444116</v>
      </c>
      <c r="Z95" s="99">
        <f t="shared" si="105"/>
        <v>1395746</v>
      </c>
      <c r="AA95" s="99">
        <f t="shared" si="105"/>
        <v>1259525</v>
      </c>
      <c r="AB95" s="99">
        <f t="shared" ref="AB95:AC98" si="113">AB81+AB88</f>
        <v>846537</v>
      </c>
      <c r="AC95" s="99">
        <f t="shared" si="113"/>
        <v>564271</v>
      </c>
      <c r="AD95" s="99">
        <f t="shared" si="106"/>
        <v>247702.00999999998</v>
      </c>
      <c r="AE95" s="99">
        <f t="shared" si="106"/>
        <v>169120</v>
      </c>
      <c r="AF95" s="99">
        <f t="shared" si="106"/>
        <v>239074</v>
      </c>
      <c r="AG95" s="99">
        <f t="shared" si="106"/>
        <v>212229</v>
      </c>
      <c r="AH95" s="99">
        <f t="shared" ref="AH95:AI95" si="114">AH81+AH88</f>
        <v>229178</v>
      </c>
      <c r="AI95" s="99">
        <f t="shared" si="114"/>
        <v>607293</v>
      </c>
      <c r="AJ95" s="99">
        <f t="shared" ref="AJ95" si="115">AJ81+AJ88</f>
        <v>1351125</v>
      </c>
      <c r="AK95" s="89">
        <f t="shared" si="108"/>
        <v>200224</v>
      </c>
      <c r="AL95" s="89">
        <f t="shared" si="108"/>
        <v>8582</v>
      </c>
      <c r="AM95" s="89">
        <f t="shared" si="108"/>
        <v>-182044</v>
      </c>
      <c r="AN95" s="89">
        <f t="shared" si="108"/>
        <v>20703</v>
      </c>
      <c r="AO95" s="89">
        <f t="shared" si="108"/>
        <v>8023</v>
      </c>
      <c r="AP95" s="89">
        <f t="shared" si="108"/>
        <v>-10794</v>
      </c>
      <c r="AQ95" s="88">
        <f t="shared" si="108"/>
        <v>-4497.2699999999895</v>
      </c>
      <c r="AR95" s="88">
        <f t="shared" si="108"/>
        <v>-20861</v>
      </c>
      <c r="AS95" s="88">
        <f t="shared" si="108"/>
        <v>77847</v>
      </c>
      <c r="AT95" s="259">
        <f t="shared" si="108"/>
        <v>128152</v>
      </c>
      <c r="AU95" s="259">
        <f t="shared" si="109"/>
        <v>-14746</v>
      </c>
      <c r="AV95" s="259">
        <f t="shared" si="109"/>
        <v>-181416</v>
      </c>
      <c r="AW95" s="259">
        <f t="shared" si="109"/>
        <v>-126262</v>
      </c>
      <c r="AX95" s="259">
        <f t="shared" si="109"/>
        <v>102966</v>
      </c>
      <c r="AY95" s="259">
        <f t="shared" si="109"/>
        <v>126168</v>
      </c>
      <c r="AZ95" s="259">
        <f t="shared" si="109"/>
        <v>19873.99000000002</v>
      </c>
      <c r="BA95" s="259">
        <f t="shared" si="109"/>
        <v>21924</v>
      </c>
      <c r="BB95" s="259">
        <f t="shared" si="109"/>
        <v>-42553</v>
      </c>
      <c r="BC95" s="259">
        <f t="shared" si="109"/>
        <v>-16308.73000000001</v>
      </c>
      <c r="BD95" s="259">
        <f t="shared" si="109"/>
        <v>16922</v>
      </c>
      <c r="BE95" s="259">
        <f t="shared" si="110"/>
        <v>-102186</v>
      </c>
      <c r="BF95" s="259">
        <f t="shared" si="110"/>
        <v>-363215</v>
      </c>
    </row>
    <row r="96" spans="1:58" x14ac:dyDescent="0.25">
      <c r="A96" s="4"/>
      <c r="B96" s="35" t="s">
        <v>38</v>
      </c>
      <c r="C96" s="97">
        <f>C82+C89</f>
        <v>1375645</v>
      </c>
      <c r="D96" s="98">
        <f t="shared" si="104"/>
        <v>923452</v>
      </c>
      <c r="E96" s="98">
        <f t="shared" si="104"/>
        <v>464298</v>
      </c>
      <c r="F96" s="98">
        <f t="shared" si="104"/>
        <v>262485</v>
      </c>
      <c r="G96" s="98">
        <f t="shared" si="104"/>
        <v>183929</v>
      </c>
      <c r="H96" s="98">
        <f t="shared" si="104"/>
        <v>161920</v>
      </c>
      <c r="I96" s="98">
        <f t="shared" si="104"/>
        <v>174763</v>
      </c>
      <c r="J96" s="98">
        <f t="shared" si="104"/>
        <v>203931</v>
      </c>
      <c r="K96" s="98">
        <f t="shared" si="104"/>
        <v>442864</v>
      </c>
      <c r="L96" s="99">
        <f t="shared" si="104"/>
        <v>1061728</v>
      </c>
      <c r="M96" s="98">
        <f t="shared" si="104"/>
        <v>1471763</v>
      </c>
      <c r="N96" s="89">
        <f t="shared" si="104"/>
        <v>1247966</v>
      </c>
      <c r="O96" s="98">
        <f t="shared" si="104"/>
        <v>1100675</v>
      </c>
      <c r="P96" s="98">
        <f t="shared" si="104"/>
        <v>841390</v>
      </c>
      <c r="Q96" s="98">
        <f t="shared" si="104"/>
        <v>560478</v>
      </c>
      <c r="R96" s="98">
        <f t="shared" si="104"/>
        <v>195767</v>
      </c>
      <c r="S96" s="98">
        <f t="shared" si="104"/>
        <v>170346</v>
      </c>
      <c r="T96" s="98">
        <f t="shared" si="104"/>
        <v>177695</v>
      </c>
      <c r="U96" s="98">
        <f t="shared" si="112"/>
        <v>144707.44</v>
      </c>
      <c r="V96" s="98">
        <f t="shared" si="112"/>
        <v>200859</v>
      </c>
      <c r="W96" s="98">
        <f t="shared" si="105"/>
        <v>386251</v>
      </c>
      <c r="X96" s="99">
        <f t="shared" si="105"/>
        <v>829481</v>
      </c>
      <c r="Y96" s="99">
        <f t="shared" si="105"/>
        <v>1484053</v>
      </c>
      <c r="Z96" s="99">
        <f t="shared" si="105"/>
        <v>1469815</v>
      </c>
      <c r="AA96" s="99">
        <f t="shared" si="105"/>
        <v>1333677</v>
      </c>
      <c r="AB96" s="99">
        <f t="shared" si="113"/>
        <v>873533</v>
      </c>
      <c r="AC96" s="99">
        <f t="shared" si="113"/>
        <v>492665</v>
      </c>
      <c r="AD96" s="99">
        <f t="shared" si="106"/>
        <v>239363</v>
      </c>
      <c r="AE96" s="99">
        <f t="shared" si="106"/>
        <v>185051</v>
      </c>
      <c r="AF96" s="99">
        <f t="shared" si="106"/>
        <v>193515</v>
      </c>
      <c r="AG96" s="99">
        <f t="shared" si="106"/>
        <v>200269</v>
      </c>
      <c r="AH96" s="99">
        <f t="shared" ref="AH96:AI96" si="116">AH82+AH89</f>
        <v>202701</v>
      </c>
      <c r="AI96" s="99">
        <f t="shared" si="116"/>
        <v>438898</v>
      </c>
      <c r="AJ96" s="99">
        <f t="shared" ref="AJ96" si="117">AJ82+AJ89</f>
        <v>1175731</v>
      </c>
      <c r="AK96" s="89">
        <f t="shared" si="108"/>
        <v>274970</v>
      </c>
      <c r="AL96" s="89">
        <f t="shared" si="108"/>
        <v>82062</v>
      </c>
      <c r="AM96" s="89">
        <f t="shared" si="108"/>
        <v>-96180</v>
      </c>
      <c r="AN96" s="89">
        <f t="shared" si="108"/>
        <v>66718</v>
      </c>
      <c r="AO96" s="89">
        <f t="shared" si="108"/>
        <v>13583</v>
      </c>
      <c r="AP96" s="89">
        <f t="shared" si="108"/>
        <v>-15775</v>
      </c>
      <c r="AQ96" s="88">
        <f t="shared" si="108"/>
        <v>30055.559999999998</v>
      </c>
      <c r="AR96" s="88">
        <f t="shared" si="108"/>
        <v>3072</v>
      </c>
      <c r="AS96" s="88">
        <f t="shared" si="108"/>
        <v>56613</v>
      </c>
      <c r="AT96" s="259">
        <f t="shared" si="108"/>
        <v>232247</v>
      </c>
      <c r="AU96" s="259">
        <f t="shared" si="109"/>
        <v>-12290</v>
      </c>
      <c r="AV96" s="259">
        <f t="shared" si="109"/>
        <v>-221849</v>
      </c>
      <c r="AW96" s="259">
        <f t="shared" si="109"/>
        <v>-233002</v>
      </c>
      <c r="AX96" s="259">
        <f t="shared" si="109"/>
        <v>-32143</v>
      </c>
      <c r="AY96" s="259">
        <f t="shared" si="109"/>
        <v>67813</v>
      </c>
      <c r="AZ96" s="259">
        <f t="shared" si="109"/>
        <v>-43596</v>
      </c>
      <c r="BA96" s="259">
        <f t="shared" si="109"/>
        <v>-14705</v>
      </c>
      <c r="BB96" s="259">
        <f t="shared" si="109"/>
        <v>-15820</v>
      </c>
      <c r="BC96" s="259">
        <f t="shared" si="109"/>
        <v>-55561.56</v>
      </c>
      <c r="BD96" s="259">
        <f t="shared" si="109"/>
        <v>-1842</v>
      </c>
      <c r="BE96" s="259">
        <f t="shared" si="110"/>
        <v>-52647</v>
      </c>
      <c r="BF96" s="259">
        <f t="shared" si="110"/>
        <v>-346250</v>
      </c>
    </row>
    <row r="97" spans="1:58" x14ac:dyDescent="0.25">
      <c r="A97" s="4"/>
      <c r="B97" s="35" t="s">
        <v>39</v>
      </c>
      <c r="C97" s="97">
        <f>C83+C90</f>
        <v>1666953</v>
      </c>
      <c r="D97" s="98">
        <f t="shared" si="104"/>
        <v>1501755</v>
      </c>
      <c r="E97" s="98">
        <f t="shared" si="104"/>
        <v>726742</v>
      </c>
      <c r="F97" s="98">
        <f t="shared" si="104"/>
        <v>-52742</v>
      </c>
      <c r="G97" s="98">
        <f t="shared" si="104"/>
        <v>186325</v>
      </c>
      <c r="H97" s="98">
        <f t="shared" si="104"/>
        <v>169635</v>
      </c>
      <c r="I97" s="98">
        <f t="shared" si="104"/>
        <v>207469</v>
      </c>
      <c r="J97" s="98">
        <f t="shared" si="104"/>
        <v>242404</v>
      </c>
      <c r="K97" s="98">
        <f t="shared" si="104"/>
        <v>626174</v>
      </c>
      <c r="L97" s="99">
        <f t="shared" si="104"/>
        <v>1231489</v>
      </c>
      <c r="M97" s="98">
        <f t="shared" si="104"/>
        <v>1713085</v>
      </c>
      <c r="N97" s="89">
        <f t="shared" si="104"/>
        <v>1512733</v>
      </c>
      <c r="O97" s="98">
        <f t="shared" si="104"/>
        <v>1355241</v>
      </c>
      <c r="P97" s="98">
        <f t="shared" si="104"/>
        <v>1105188</v>
      </c>
      <c r="Q97" s="98">
        <f t="shared" si="104"/>
        <v>762300</v>
      </c>
      <c r="R97" s="98">
        <f t="shared" si="104"/>
        <v>249344</v>
      </c>
      <c r="S97" s="98">
        <f t="shared" si="104"/>
        <v>185610</v>
      </c>
      <c r="T97" s="98">
        <f t="shared" si="104"/>
        <v>179786</v>
      </c>
      <c r="U97" s="98">
        <f t="shared" si="112"/>
        <v>130804.54</v>
      </c>
      <c r="V97" s="98">
        <f t="shared" si="112"/>
        <v>263748</v>
      </c>
      <c r="W97" s="98">
        <f t="shared" si="105"/>
        <v>537158</v>
      </c>
      <c r="X97" s="99">
        <f t="shared" si="105"/>
        <v>1068823</v>
      </c>
      <c r="Y97" s="99">
        <f t="shared" si="105"/>
        <v>1851485</v>
      </c>
      <c r="Z97" s="99">
        <f t="shared" si="105"/>
        <v>1665615</v>
      </c>
      <c r="AA97" s="99">
        <f t="shared" si="105"/>
        <v>1628238</v>
      </c>
      <c r="AB97" s="99">
        <f t="shared" si="113"/>
        <v>1214548</v>
      </c>
      <c r="AC97" s="99">
        <f t="shared" si="113"/>
        <v>696013</v>
      </c>
      <c r="AD97" s="99">
        <f t="shared" si="106"/>
        <v>332034.40999999997</v>
      </c>
      <c r="AE97" s="99">
        <f t="shared" si="106"/>
        <v>225214</v>
      </c>
      <c r="AF97" s="99">
        <f t="shared" si="106"/>
        <v>222079</v>
      </c>
      <c r="AG97" s="99">
        <f t="shared" si="106"/>
        <v>125540</v>
      </c>
      <c r="AH97" s="99">
        <f t="shared" ref="AH97:AI97" si="118">AH83+AH90</f>
        <v>208930</v>
      </c>
      <c r="AI97" s="99">
        <f t="shared" si="118"/>
        <v>695033</v>
      </c>
      <c r="AJ97" s="99">
        <f t="shared" ref="AJ97" si="119">AJ83+AJ90</f>
        <v>1544011</v>
      </c>
      <c r="AK97" s="89">
        <f t="shared" si="108"/>
        <v>311712</v>
      </c>
      <c r="AL97" s="89">
        <f t="shared" si="108"/>
        <v>396567</v>
      </c>
      <c r="AM97" s="89">
        <f t="shared" si="108"/>
        <v>-35558</v>
      </c>
      <c r="AN97" s="89">
        <f t="shared" si="108"/>
        <v>-302086</v>
      </c>
      <c r="AO97" s="89">
        <f t="shared" si="108"/>
        <v>715</v>
      </c>
      <c r="AP97" s="89">
        <f t="shared" si="108"/>
        <v>-10151</v>
      </c>
      <c r="AQ97" s="88">
        <f t="shared" si="108"/>
        <v>76664.460000000006</v>
      </c>
      <c r="AR97" s="88">
        <f t="shared" si="108"/>
        <v>-21344</v>
      </c>
      <c r="AS97" s="88">
        <f t="shared" si="108"/>
        <v>89016</v>
      </c>
      <c r="AT97" s="259">
        <f t="shared" si="108"/>
        <v>162666</v>
      </c>
      <c r="AU97" s="259">
        <f t="shared" si="109"/>
        <v>-138400</v>
      </c>
      <c r="AV97" s="259">
        <f t="shared" si="109"/>
        <v>-152882</v>
      </c>
      <c r="AW97" s="259">
        <f t="shared" si="109"/>
        <v>-272997</v>
      </c>
      <c r="AX97" s="259">
        <f t="shared" si="109"/>
        <v>-109360</v>
      </c>
      <c r="AY97" s="259">
        <f t="shared" si="109"/>
        <v>66287</v>
      </c>
      <c r="AZ97" s="259">
        <f t="shared" si="109"/>
        <v>-82690.409999999974</v>
      </c>
      <c r="BA97" s="259">
        <f t="shared" si="109"/>
        <v>-39604</v>
      </c>
      <c r="BB97" s="259">
        <f t="shared" si="109"/>
        <v>-42293</v>
      </c>
      <c r="BC97" s="259">
        <f t="shared" si="109"/>
        <v>5264.5399999999936</v>
      </c>
      <c r="BD97" s="259">
        <f t="shared" si="109"/>
        <v>54818</v>
      </c>
      <c r="BE97" s="259">
        <f t="shared" si="110"/>
        <v>-157875</v>
      </c>
      <c r="BF97" s="259">
        <f t="shared" si="110"/>
        <v>-475188</v>
      </c>
    </row>
    <row r="98" spans="1:58" x14ac:dyDescent="0.25">
      <c r="A98" s="4"/>
      <c r="B98" s="35" t="s">
        <v>40</v>
      </c>
      <c r="C98" s="97">
        <f>C84+C91</f>
        <v>409398</v>
      </c>
      <c r="D98" s="98">
        <f t="shared" si="104"/>
        <v>272619</v>
      </c>
      <c r="E98" s="98">
        <f t="shared" si="104"/>
        <v>206669</v>
      </c>
      <c r="F98" s="98">
        <f t="shared" si="104"/>
        <v>170691</v>
      </c>
      <c r="G98" s="98">
        <f t="shared" si="104"/>
        <v>184866</v>
      </c>
      <c r="H98" s="98">
        <f t="shared" si="104"/>
        <v>165594</v>
      </c>
      <c r="I98" s="98">
        <f t="shared" si="104"/>
        <v>138728</v>
      </c>
      <c r="J98" s="98">
        <f t="shared" si="104"/>
        <v>186073</v>
      </c>
      <c r="K98" s="98">
        <f t="shared" si="104"/>
        <v>250238</v>
      </c>
      <c r="L98" s="99">
        <f t="shared" si="104"/>
        <v>315212</v>
      </c>
      <c r="M98" s="98">
        <f t="shared" si="104"/>
        <v>332792</v>
      </c>
      <c r="N98" s="89">
        <f t="shared" si="104"/>
        <v>267787</v>
      </c>
      <c r="O98" s="98">
        <f t="shared" si="104"/>
        <v>289423</v>
      </c>
      <c r="P98" s="98">
        <f t="shared" si="104"/>
        <v>323450</v>
      </c>
      <c r="Q98" s="98">
        <f t="shared" si="104"/>
        <v>189133</v>
      </c>
      <c r="R98" s="98">
        <f t="shared" si="104"/>
        <v>181662</v>
      </c>
      <c r="S98" s="98">
        <f t="shared" si="104"/>
        <v>179797</v>
      </c>
      <c r="T98" s="98">
        <f t="shared" si="104"/>
        <v>175947</v>
      </c>
      <c r="U98" s="98">
        <f t="shared" si="112"/>
        <v>191095.52</v>
      </c>
      <c r="V98" s="98">
        <f t="shared" si="112"/>
        <v>189585</v>
      </c>
      <c r="W98" s="98">
        <f t="shared" si="105"/>
        <v>263316</v>
      </c>
      <c r="X98" s="99">
        <f t="shared" si="105"/>
        <v>358598</v>
      </c>
      <c r="Y98" s="99">
        <f t="shared" si="105"/>
        <v>465337</v>
      </c>
      <c r="Z98" s="99">
        <f t="shared" si="105"/>
        <v>367520</v>
      </c>
      <c r="AA98" s="99">
        <f t="shared" si="105"/>
        <v>365564</v>
      </c>
      <c r="AB98" s="99">
        <f t="shared" si="113"/>
        <v>319496</v>
      </c>
      <c r="AC98" s="99">
        <f t="shared" si="113"/>
        <v>480829</v>
      </c>
      <c r="AD98" s="99">
        <f t="shared" si="106"/>
        <v>74162.100000000006</v>
      </c>
      <c r="AE98" s="99">
        <f t="shared" si="106"/>
        <v>174336</v>
      </c>
      <c r="AF98" s="99">
        <f t="shared" si="106"/>
        <v>226038</v>
      </c>
      <c r="AG98" s="99">
        <f t="shared" si="106"/>
        <v>39454</v>
      </c>
      <c r="AH98" s="99">
        <f t="shared" ref="AH98:AI98" si="120">AH84+AH91</f>
        <v>194495</v>
      </c>
      <c r="AI98" s="99">
        <f t="shared" si="120"/>
        <v>321514</v>
      </c>
      <c r="AJ98" s="99">
        <f t="shared" ref="AJ98" si="121">AJ84+AJ91</f>
        <v>432022</v>
      </c>
      <c r="AK98" s="89">
        <f t="shared" si="108"/>
        <v>119975</v>
      </c>
      <c r="AL98" s="89">
        <f t="shared" si="108"/>
        <v>-50831</v>
      </c>
      <c r="AM98" s="89">
        <f t="shared" si="108"/>
        <v>17536</v>
      </c>
      <c r="AN98" s="89">
        <f t="shared" si="108"/>
        <v>-10971</v>
      </c>
      <c r="AO98" s="89">
        <f t="shared" si="108"/>
        <v>5069</v>
      </c>
      <c r="AP98" s="89">
        <f t="shared" si="108"/>
        <v>-10353</v>
      </c>
      <c r="AQ98" s="88">
        <f t="shared" si="108"/>
        <v>-52367.51999999999</v>
      </c>
      <c r="AR98" s="88">
        <f t="shared" si="108"/>
        <v>-3512</v>
      </c>
      <c r="AS98" s="88">
        <f t="shared" si="108"/>
        <v>-13078</v>
      </c>
      <c r="AT98" s="259">
        <f t="shared" si="108"/>
        <v>-43386</v>
      </c>
      <c r="AU98" s="259">
        <f t="shared" si="109"/>
        <v>-132545</v>
      </c>
      <c r="AV98" s="259">
        <f t="shared" si="109"/>
        <v>-99733</v>
      </c>
      <c r="AW98" s="259">
        <f t="shared" si="109"/>
        <v>-76141</v>
      </c>
      <c r="AX98" s="259">
        <f t="shared" si="109"/>
        <v>3954</v>
      </c>
      <c r="AY98" s="259">
        <f t="shared" si="109"/>
        <v>-291696</v>
      </c>
      <c r="AZ98" s="259">
        <f t="shared" si="109"/>
        <v>107499.9</v>
      </c>
      <c r="BA98" s="259">
        <f t="shared" si="109"/>
        <v>5461</v>
      </c>
      <c r="BB98" s="259">
        <f t="shared" si="109"/>
        <v>-50091</v>
      </c>
      <c r="BC98" s="259">
        <f t="shared" si="109"/>
        <v>151641.51999999999</v>
      </c>
      <c r="BD98" s="259">
        <f t="shared" si="109"/>
        <v>-4910</v>
      </c>
      <c r="BE98" s="259">
        <f t="shared" si="110"/>
        <v>-58198</v>
      </c>
      <c r="BF98" s="259">
        <f t="shared" si="110"/>
        <v>-73424</v>
      </c>
    </row>
    <row r="99" spans="1:58" ht="15.75" thickBot="1" x14ac:dyDescent="0.3">
      <c r="A99" s="4"/>
      <c r="B99" s="37" t="s">
        <v>41</v>
      </c>
      <c r="C99" s="100">
        <f>SUM(C94:C98)</f>
        <v>12106135</v>
      </c>
      <c r="D99" s="159">
        <f t="shared" ref="D99:V99" si="122">SUM(D94:D98)</f>
        <v>9039383</v>
      </c>
      <c r="E99" s="159">
        <f t="shared" si="122"/>
        <v>4742032</v>
      </c>
      <c r="F99" s="159">
        <f t="shared" si="122"/>
        <v>2303947</v>
      </c>
      <c r="G99" s="159">
        <f t="shared" si="122"/>
        <v>1945164</v>
      </c>
      <c r="H99" s="159">
        <f t="shared" si="122"/>
        <v>1756618</v>
      </c>
      <c r="I99" s="159">
        <f t="shared" si="122"/>
        <v>1805710</v>
      </c>
      <c r="J99" s="159">
        <f t="shared" si="122"/>
        <v>2062500</v>
      </c>
      <c r="K99" s="159">
        <f t="shared" si="122"/>
        <v>4734828</v>
      </c>
      <c r="L99" s="160">
        <f t="shared" si="122"/>
        <v>9731684</v>
      </c>
      <c r="M99" s="159">
        <f t="shared" si="122"/>
        <v>12809442</v>
      </c>
      <c r="N99" s="81">
        <f t="shared" si="122"/>
        <v>11104485</v>
      </c>
      <c r="O99" s="159">
        <f t="shared" si="122"/>
        <v>10101706</v>
      </c>
      <c r="P99" s="159">
        <f t="shared" si="122"/>
        <v>8356125</v>
      </c>
      <c r="Q99" s="159">
        <f t="shared" si="122"/>
        <v>6172402</v>
      </c>
      <c r="R99" s="159">
        <f t="shared" si="122"/>
        <v>2476216</v>
      </c>
      <c r="S99" s="159">
        <f t="shared" si="122"/>
        <v>1921778</v>
      </c>
      <c r="T99" s="101">
        <f t="shared" si="122"/>
        <v>1896715</v>
      </c>
      <c r="U99" s="101">
        <f t="shared" si="122"/>
        <v>1826069.8900000001</v>
      </c>
      <c r="V99" s="101">
        <f t="shared" si="122"/>
        <v>2280546</v>
      </c>
      <c r="W99" s="101">
        <f t="shared" ref="W99:AB99" si="123">SUM(W94:W98)</f>
        <v>4267121</v>
      </c>
      <c r="X99" s="389">
        <f t="shared" si="123"/>
        <v>8383009</v>
      </c>
      <c r="Y99" s="389">
        <f t="shared" si="123"/>
        <v>13584399</v>
      </c>
      <c r="Z99" s="389">
        <f t="shared" si="123"/>
        <v>12832479</v>
      </c>
      <c r="AA99" s="389">
        <f t="shared" si="123"/>
        <v>12012718</v>
      </c>
      <c r="AB99" s="389">
        <f t="shared" si="123"/>
        <v>8550153</v>
      </c>
      <c r="AC99" s="99">
        <f>SUM(AC94:AC98)</f>
        <v>5394988</v>
      </c>
      <c r="AD99" s="99">
        <f>SUM(AD94:AD98)</f>
        <v>2577922.06</v>
      </c>
      <c r="AE99" s="99">
        <f>AE85+AE92</f>
        <v>2014920</v>
      </c>
      <c r="AF99" s="99">
        <f>AF85+AF92</f>
        <v>2179490</v>
      </c>
      <c r="AG99" s="99">
        <f>AG85+AG92</f>
        <v>1802581</v>
      </c>
      <c r="AH99" s="99">
        <f t="shared" ref="AH99:AI99" si="124">AH85+AH92</f>
        <v>2126260</v>
      </c>
      <c r="AI99" s="99">
        <f t="shared" si="124"/>
        <v>4870785</v>
      </c>
      <c r="AJ99" s="99">
        <f t="shared" ref="AJ99" si="125">AJ85+AJ92</f>
        <v>11876216</v>
      </c>
      <c r="AK99" s="81">
        <f t="shared" ref="AK99:AR99" si="126">SUM(AK94:AK98)</f>
        <v>2004429</v>
      </c>
      <c r="AL99" s="81">
        <f t="shared" si="126"/>
        <v>683258</v>
      </c>
      <c r="AM99" s="81">
        <f t="shared" si="126"/>
        <v>-1430370</v>
      </c>
      <c r="AN99" s="81">
        <f t="shared" si="126"/>
        <v>-172269</v>
      </c>
      <c r="AO99" s="81">
        <f t="shared" si="126"/>
        <v>23386</v>
      </c>
      <c r="AP99" s="81">
        <f t="shared" si="126"/>
        <v>-140097</v>
      </c>
      <c r="AQ99" s="80">
        <f t="shared" si="126"/>
        <v>-20359.890000000087</v>
      </c>
      <c r="AR99" s="80">
        <f t="shared" si="126"/>
        <v>-218046</v>
      </c>
      <c r="AS99" s="80">
        <f>SUM(AS94:AS98)</f>
        <v>467707</v>
      </c>
      <c r="AT99" s="263">
        <f>SUM(AT94:AT98)</f>
        <v>1348675</v>
      </c>
      <c r="AU99" s="259">
        <f t="shared" ref="AU99:BF99" si="127">M99-Y99</f>
        <v>-774957</v>
      </c>
      <c r="AV99" s="259">
        <f t="shared" si="127"/>
        <v>-1727994</v>
      </c>
      <c r="AW99" s="259">
        <f t="shared" si="127"/>
        <v>-1911012</v>
      </c>
      <c r="AX99" s="259">
        <f t="shared" si="127"/>
        <v>-194028</v>
      </c>
      <c r="AY99" s="259">
        <f t="shared" si="127"/>
        <v>777414</v>
      </c>
      <c r="AZ99" s="259">
        <f t="shared" si="127"/>
        <v>-101706.06000000006</v>
      </c>
      <c r="BA99" s="259">
        <f t="shared" si="127"/>
        <v>-93142</v>
      </c>
      <c r="BB99" s="259">
        <f t="shared" si="127"/>
        <v>-282775</v>
      </c>
      <c r="BC99" s="259">
        <f t="shared" si="127"/>
        <v>23488.89000000013</v>
      </c>
      <c r="BD99" s="259">
        <f t="shared" si="127"/>
        <v>154286</v>
      </c>
      <c r="BE99" s="259">
        <f t="shared" si="127"/>
        <v>-603664</v>
      </c>
      <c r="BF99" s="259">
        <f t="shared" si="127"/>
        <v>-3493207</v>
      </c>
    </row>
    <row r="100" spans="1:58"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314"/>
      <c r="AK100" s="169"/>
      <c r="AL100" s="105"/>
      <c r="AM100" s="106"/>
      <c r="AN100" s="106"/>
      <c r="AO100" s="106"/>
      <c r="AP100" s="106"/>
      <c r="AQ100" s="107"/>
      <c r="AR100" s="316"/>
      <c r="AS100" s="316"/>
      <c r="AT100" s="316"/>
      <c r="AU100" s="407"/>
      <c r="AV100" s="413"/>
      <c r="AW100" s="414"/>
      <c r="AX100" s="414"/>
      <c r="AY100" s="414"/>
      <c r="AZ100" s="414"/>
      <c r="BA100" s="414"/>
      <c r="BB100" s="414"/>
      <c r="BC100" s="414"/>
      <c r="BD100" s="414"/>
      <c r="BE100" s="414"/>
      <c r="BF100" s="414"/>
    </row>
    <row r="101" spans="1:58"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71">
        <v>2425754.1</v>
      </c>
      <c r="AH101" s="771">
        <v>2387264.5499999998</v>
      </c>
      <c r="AI101" s="771">
        <v>5549704.0800000001</v>
      </c>
      <c r="AJ101" s="771">
        <v>5998795.0599999996</v>
      </c>
      <c r="AK101" s="89">
        <f t="shared" ref="AK101:AT105" si="128">C101-O101</f>
        <v>-63399.959999999963</v>
      </c>
      <c r="AL101" s="89">
        <f t="shared" si="128"/>
        <v>824301.08000000007</v>
      </c>
      <c r="AM101" s="89">
        <f t="shared" si="128"/>
        <v>41405.510000000242</v>
      </c>
      <c r="AN101" s="89">
        <f t="shared" si="128"/>
        <v>-1367566.7000000002</v>
      </c>
      <c r="AO101" s="89">
        <f t="shared" si="128"/>
        <v>-4219.5500000000466</v>
      </c>
      <c r="AP101" s="89">
        <f t="shared" si="128"/>
        <v>-78542.339999999851</v>
      </c>
      <c r="AQ101" s="88">
        <f t="shared" si="128"/>
        <v>-95980.909999999916</v>
      </c>
      <c r="AR101" s="88">
        <f t="shared" si="128"/>
        <v>-102391.82000000007</v>
      </c>
      <c r="AS101" s="88">
        <f t="shared" si="128"/>
        <v>-182768.3899999999</v>
      </c>
      <c r="AT101" s="259">
        <f t="shared" si="128"/>
        <v>384867.53000000026</v>
      </c>
      <c r="AU101" s="259">
        <f t="shared" ref="AU101:BD105" si="129">M101-Y101</f>
        <v>120063.45999999996</v>
      </c>
      <c r="AV101" s="259">
        <f t="shared" si="129"/>
        <v>469838.53000000026</v>
      </c>
      <c r="AW101" s="259">
        <f t="shared" si="129"/>
        <v>-1872257.4100000001</v>
      </c>
      <c r="AX101" s="259">
        <f t="shared" si="129"/>
        <v>-338534.37000000011</v>
      </c>
      <c r="AY101" s="259">
        <f t="shared" si="129"/>
        <v>-1980397.7199999997</v>
      </c>
      <c r="AZ101" s="259">
        <f t="shared" si="129"/>
        <v>-1939397.6600000001</v>
      </c>
      <c r="BA101" s="259">
        <f t="shared" si="129"/>
        <v>-1479117.0999999999</v>
      </c>
      <c r="BB101" s="259">
        <f t="shared" si="129"/>
        <v>-1993541.1099999999</v>
      </c>
      <c r="BC101" s="259">
        <f t="shared" si="129"/>
        <v>-1049589.6300000001</v>
      </c>
      <c r="BD101" s="259">
        <f t="shared" si="129"/>
        <v>-902993.4299999997</v>
      </c>
      <c r="BE101" s="259">
        <f t="shared" ref="BE101:BN105" si="130">W101-AI101</f>
        <v>-3996024.8600000003</v>
      </c>
      <c r="BF101" s="259">
        <f t="shared" si="130"/>
        <v>-2906927.6599999997</v>
      </c>
    </row>
    <row r="102" spans="1:58"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98"/>
      <c r="AK102" s="89">
        <f t="shared" si="128"/>
        <v>-71175.680000000168</v>
      </c>
      <c r="AL102" s="89">
        <f t="shared" si="128"/>
        <v>632422.84</v>
      </c>
      <c r="AM102" s="89">
        <f t="shared" si="128"/>
        <v>322578.69999999995</v>
      </c>
      <c r="AN102" s="89">
        <f t="shared" si="128"/>
        <v>-206223.95</v>
      </c>
      <c r="AO102" s="89">
        <f t="shared" si="128"/>
        <v>-79274.97</v>
      </c>
      <c r="AP102" s="89">
        <f t="shared" si="128"/>
        <v>42763.22</v>
      </c>
      <c r="AQ102" s="88">
        <f t="shared" si="128"/>
        <v>34034.979999999981</v>
      </c>
      <c r="AR102" s="88">
        <f t="shared" si="128"/>
        <v>46881.5</v>
      </c>
      <c r="AS102" s="88">
        <f t="shared" si="128"/>
        <v>156797.55000000002</v>
      </c>
      <c r="AT102" s="259">
        <f t="shared" si="128"/>
        <v>175499.97000000003</v>
      </c>
      <c r="AU102" s="259">
        <f t="shared" si="129"/>
        <v>772702.54999999993</v>
      </c>
      <c r="AV102" s="259">
        <f t="shared" si="129"/>
        <v>337244.95000000007</v>
      </c>
      <c r="AW102" s="259">
        <f t="shared" si="129"/>
        <v>-317334.64999999991</v>
      </c>
      <c r="AX102" s="259">
        <f t="shared" si="129"/>
        <v>-1093840.3999999999</v>
      </c>
      <c r="AY102" s="259">
        <f t="shared" si="129"/>
        <v>790662.2</v>
      </c>
      <c r="AZ102" s="259">
        <f t="shared" si="129"/>
        <v>540631.37</v>
      </c>
      <c r="BA102" s="259">
        <f t="shared" si="129"/>
        <v>322995.63</v>
      </c>
      <c r="BB102" s="259">
        <f t="shared" si="129"/>
        <v>163410.35999999999</v>
      </c>
      <c r="BC102" s="259">
        <f t="shared" si="129"/>
        <v>144194.82</v>
      </c>
      <c r="BD102" s="259">
        <f t="shared" si="129"/>
        <v>142063.85</v>
      </c>
      <c r="BE102" s="259">
        <f t="shared" si="130"/>
        <v>131282.1</v>
      </c>
      <c r="BF102" s="259">
        <f t="shared" si="130"/>
        <v>363426.81</v>
      </c>
    </row>
    <row r="103" spans="1:58"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98"/>
      <c r="AK103" s="89">
        <f t="shared" si="128"/>
        <v>669.80000000004657</v>
      </c>
      <c r="AL103" s="89">
        <f t="shared" si="128"/>
        <v>308617.88</v>
      </c>
      <c r="AM103" s="89">
        <f t="shared" si="128"/>
        <v>49828.900000000023</v>
      </c>
      <c r="AN103" s="89">
        <f t="shared" si="128"/>
        <v>-272746.19999999995</v>
      </c>
      <c r="AO103" s="89">
        <f t="shared" si="128"/>
        <v>-19559.190000000002</v>
      </c>
      <c r="AP103" s="89">
        <f t="shared" si="128"/>
        <v>-44524.790000000008</v>
      </c>
      <c r="AQ103" s="78">
        <f t="shared" si="128"/>
        <v>-59605.389999999985</v>
      </c>
      <c r="AR103" s="88">
        <f t="shared" si="128"/>
        <v>13277</v>
      </c>
      <c r="AS103" s="88">
        <f t="shared" si="128"/>
        <v>20382.090000000026</v>
      </c>
      <c r="AT103" s="259">
        <f t="shared" si="128"/>
        <v>176469.57999999996</v>
      </c>
      <c r="AU103" s="259">
        <f t="shared" si="129"/>
        <v>28335.170000000042</v>
      </c>
      <c r="AV103" s="259">
        <f t="shared" si="129"/>
        <v>64550.75</v>
      </c>
      <c r="AW103" s="259">
        <f t="shared" si="129"/>
        <v>-511618.30000000005</v>
      </c>
      <c r="AX103" s="259">
        <f t="shared" si="129"/>
        <v>-276256.69000000006</v>
      </c>
      <c r="AY103" s="259">
        <f t="shared" si="129"/>
        <v>686592.76</v>
      </c>
      <c r="AZ103" s="259">
        <f t="shared" si="129"/>
        <v>662227.56999999995</v>
      </c>
      <c r="BA103" s="259">
        <f t="shared" si="129"/>
        <v>269127.25</v>
      </c>
      <c r="BB103" s="259">
        <f t="shared" si="129"/>
        <v>226509.85</v>
      </c>
      <c r="BC103" s="259">
        <f t="shared" si="129"/>
        <v>230746.62</v>
      </c>
      <c r="BD103" s="259">
        <f t="shared" si="129"/>
        <v>194491.59</v>
      </c>
      <c r="BE103" s="259">
        <f t="shared" si="130"/>
        <v>200497.33</v>
      </c>
      <c r="BF103" s="259">
        <f t="shared" si="130"/>
        <v>465900.4</v>
      </c>
    </row>
    <row r="104" spans="1:58"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98"/>
      <c r="AK104" s="89">
        <f t="shared" si="128"/>
        <v>252368.70000000019</v>
      </c>
      <c r="AL104" s="89">
        <f t="shared" si="128"/>
        <v>566063.77</v>
      </c>
      <c r="AM104" s="89">
        <f t="shared" si="128"/>
        <v>217436.79999999993</v>
      </c>
      <c r="AN104" s="89">
        <f t="shared" si="128"/>
        <v>-254317.65999999992</v>
      </c>
      <c r="AO104" s="89">
        <f t="shared" si="128"/>
        <v>51841.589999999967</v>
      </c>
      <c r="AP104" s="89">
        <f t="shared" si="128"/>
        <v>-14114.23000000001</v>
      </c>
      <c r="AQ104" s="99">
        <f t="shared" si="128"/>
        <v>-45594.84</v>
      </c>
      <c r="AR104" s="88">
        <f t="shared" si="128"/>
        <v>-14086.879999999976</v>
      </c>
      <c r="AS104" s="88">
        <f t="shared" si="128"/>
        <v>-5591.4830000000075</v>
      </c>
      <c r="AT104" s="259">
        <f t="shared" si="128"/>
        <v>191602.33000000007</v>
      </c>
      <c r="AU104" s="259">
        <f t="shared" si="129"/>
        <v>102904.24000000011</v>
      </c>
      <c r="AV104" s="259">
        <f t="shared" si="129"/>
        <v>81345.929999999935</v>
      </c>
      <c r="AW104" s="259">
        <f t="shared" si="129"/>
        <v>-780278.00000000023</v>
      </c>
      <c r="AX104" s="259">
        <f t="shared" si="129"/>
        <v>-262286.5</v>
      </c>
      <c r="AY104" s="259">
        <f t="shared" si="129"/>
        <v>850744.08</v>
      </c>
      <c r="AZ104" s="259">
        <f t="shared" si="129"/>
        <v>841788.72</v>
      </c>
      <c r="BA104" s="259">
        <f t="shared" si="129"/>
        <v>321609.38</v>
      </c>
      <c r="BB104" s="259">
        <f t="shared" si="129"/>
        <v>222264.56</v>
      </c>
      <c r="BC104" s="259">
        <f t="shared" si="129"/>
        <v>231548.13</v>
      </c>
      <c r="BD104" s="259">
        <f t="shared" si="129"/>
        <v>246717.02</v>
      </c>
      <c r="BE104" s="259">
        <f t="shared" si="130"/>
        <v>258288.5</v>
      </c>
      <c r="BF104" s="259">
        <f t="shared" si="130"/>
        <v>618248.94999999995</v>
      </c>
    </row>
    <row r="105" spans="1:58"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98"/>
      <c r="AK105" s="89">
        <f t="shared" si="128"/>
        <v>72836.100000000035</v>
      </c>
      <c r="AL105" s="89">
        <f t="shared" si="128"/>
        <v>341738.47000000003</v>
      </c>
      <c r="AM105" s="89">
        <f t="shared" si="128"/>
        <v>-175321.7</v>
      </c>
      <c r="AN105" s="89">
        <f t="shared" si="128"/>
        <v>53669.969999999972</v>
      </c>
      <c r="AO105" s="89">
        <f t="shared" si="128"/>
        <v>42250.890000000014</v>
      </c>
      <c r="AP105" s="89">
        <f t="shared" si="128"/>
        <v>-65647.81</v>
      </c>
      <c r="AQ105" s="99">
        <f t="shared" si="128"/>
        <v>3572.6499999999651</v>
      </c>
      <c r="AR105" s="88">
        <f t="shared" si="128"/>
        <v>-111172.31</v>
      </c>
      <c r="AS105" s="88">
        <f t="shared" si="128"/>
        <v>159158.39000000001</v>
      </c>
      <c r="AT105" s="259">
        <f t="shared" si="128"/>
        <v>-224319.06</v>
      </c>
      <c r="AU105" s="259">
        <f t="shared" si="129"/>
        <v>-49412.619999999995</v>
      </c>
      <c r="AV105" s="259">
        <f t="shared" si="129"/>
        <v>-61179.790000000037</v>
      </c>
      <c r="AW105" s="259">
        <f t="shared" si="129"/>
        <v>-473186.25999999995</v>
      </c>
      <c r="AX105" s="259">
        <f t="shared" si="129"/>
        <v>-209011.41999999998</v>
      </c>
      <c r="AY105" s="259">
        <f t="shared" si="129"/>
        <v>376956.64</v>
      </c>
      <c r="AZ105" s="259">
        <f t="shared" si="129"/>
        <v>528877.03</v>
      </c>
      <c r="BA105" s="259">
        <f t="shared" si="129"/>
        <v>353511.97</v>
      </c>
      <c r="BB105" s="259">
        <f t="shared" si="129"/>
        <v>420958.27</v>
      </c>
      <c r="BC105" s="259">
        <f t="shared" si="129"/>
        <v>337894.28</v>
      </c>
      <c r="BD105" s="259">
        <f t="shared" si="129"/>
        <v>389343.91</v>
      </c>
      <c r="BE105" s="259">
        <f t="shared" si="130"/>
        <v>188692.81</v>
      </c>
      <c r="BF105" s="259">
        <f t="shared" si="130"/>
        <v>640813.85</v>
      </c>
    </row>
    <row r="106" spans="1:58" x14ac:dyDescent="0.25">
      <c r="A106" s="4"/>
      <c r="B106" s="35" t="s">
        <v>41</v>
      </c>
      <c r="C106" s="108">
        <f>SUM(C101:C105)</f>
        <v>11188088.32</v>
      </c>
      <c r="D106" s="79">
        <f>SUM(D101:D105)</f>
        <v>10805898.709999999</v>
      </c>
      <c r="E106" s="109">
        <f t="shared" ref="E106:AR106" si="131">SUM(E101:E105)</f>
        <v>7229387.3500000006</v>
      </c>
      <c r="F106" s="109">
        <f t="shared" si="131"/>
        <v>4283224.1400000006</v>
      </c>
      <c r="G106" s="79">
        <f t="shared" si="131"/>
        <v>3132255.3400000003</v>
      </c>
      <c r="H106" s="109">
        <f t="shared" si="131"/>
        <v>2333644.9900000002</v>
      </c>
      <c r="I106" s="109">
        <f t="shared" si="131"/>
        <v>2156974.81</v>
      </c>
      <c r="J106" s="109">
        <f t="shared" si="131"/>
        <v>2289394.9800000004</v>
      </c>
      <c r="K106" s="109">
        <f t="shared" si="131"/>
        <v>2480418.1170000001</v>
      </c>
      <c r="L106" s="110">
        <f t="shared" si="131"/>
        <v>5884377.7599999998</v>
      </c>
      <c r="M106" s="79">
        <f t="shared" si="131"/>
        <v>8969301.7699999996</v>
      </c>
      <c r="N106" s="89">
        <f t="shared" si="131"/>
        <v>10565980.050000001</v>
      </c>
      <c r="O106" s="109">
        <f t="shared" si="131"/>
        <v>10996789.360000001</v>
      </c>
      <c r="P106" s="98">
        <f t="shared" si="131"/>
        <v>8132754.6699999999</v>
      </c>
      <c r="Q106" s="109">
        <f t="shared" si="131"/>
        <v>6773459.1399999997</v>
      </c>
      <c r="R106" s="98">
        <f t="shared" si="131"/>
        <v>6330408.6800000006</v>
      </c>
      <c r="S106" s="109">
        <f t="shared" si="131"/>
        <v>3141216.5700000003</v>
      </c>
      <c r="T106" s="79">
        <f t="shared" si="131"/>
        <v>2493710.94</v>
      </c>
      <c r="U106" s="180">
        <f t="shared" si="131"/>
        <v>2320548.3200000003</v>
      </c>
      <c r="V106" s="180">
        <f t="shared" si="131"/>
        <v>2456887.4900000002</v>
      </c>
      <c r="W106" s="180">
        <f t="shared" ref="W106:AB106" si="132">SUM(W101:W105)</f>
        <v>2332439.9600000004</v>
      </c>
      <c r="X106" s="99">
        <f t="shared" si="132"/>
        <v>5180257.4099999992</v>
      </c>
      <c r="Y106" s="99">
        <f t="shared" si="132"/>
        <v>7994708.9700000007</v>
      </c>
      <c r="Z106" s="99">
        <f t="shared" si="132"/>
        <v>9674179.6799999997</v>
      </c>
      <c r="AA106" s="99">
        <f t="shared" si="132"/>
        <v>14951463.98</v>
      </c>
      <c r="AB106" s="99">
        <f t="shared" si="132"/>
        <v>10312684.049999999</v>
      </c>
      <c r="AC106" s="99">
        <f t="shared" ref="AC106:AI106" si="133">SUM(AC101:AC105)</f>
        <v>6048901.1799999997</v>
      </c>
      <c r="AD106" s="99">
        <f t="shared" si="133"/>
        <v>5696281.6500000004</v>
      </c>
      <c r="AE106" s="99">
        <f t="shared" si="133"/>
        <v>3353089.44</v>
      </c>
      <c r="AF106" s="99">
        <f t="shared" si="133"/>
        <v>3454109.01</v>
      </c>
      <c r="AG106" s="99">
        <f t="shared" si="133"/>
        <v>2425754.1</v>
      </c>
      <c r="AH106" s="99">
        <f t="shared" si="133"/>
        <v>2387264.5499999998</v>
      </c>
      <c r="AI106" s="99">
        <f t="shared" si="133"/>
        <v>5549704.0800000001</v>
      </c>
      <c r="AJ106" s="99">
        <f t="shared" ref="AJ106" si="134">SUM(AJ101:AJ105)</f>
        <v>5998795.0599999996</v>
      </c>
      <c r="AK106" s="109">
        <f t="shared" si="131"/>
        <v>191298.96000000014</v>
      </c>
      <c r="AL106" s="79">
        <f t="shared" si="131"/>
        <v>2673144.04</v>
      </c>
      <c r="AM106" s="77">
        <f t="shared" si="131"/>
        <v>455928.21000000014</v>
      </c>
      <c r="AN106" s="77">
        <f t="shared" si="131"/>
        <v>-2047184.5399999998</v>
      </c>
      <c r="AO106" s="77">
        <f t="shared" si="131"/>
        <v>-8961.2300000000687</v>
      </c>
      <c r="AP106" s="109">
        <f t="shared" si="131"/>
        <v>-160065.94999999987</v>
      </c>
      <c r="AQ106" s="110">
        <f t="shared" si="131"/>
        <v>-163573.50999999995</v>
      </c>
      <c r="AR106" s="110">
        <f t="shared" si="131"/>
        <v>-167492.51000000004</v>
      </c>
      <c r="AS106" s="110">
        <f>SUM(AS101:AS105)</f>
        <v>147978.15700000015</v>
      </c>
      <c r="AT106" s="109">
        <f>SUM(AT101:AT105)</f>
        <v>704120.35000000033</v>
      </c>
      <c r="AU106" s="259">
        <f t="shared" ref="AU106:BF106" si="135">M106-Y106</f>
        <v>974592.79999999888</v>
      </c>
      <c r="AV106" s="259">
        <f t="shared" si="135"/>
        <v>891800.37000000104</v>
      </c>
      <c r="AW106" s="259">
        <f t="shared" si="135"/>
        <v>-3954674.6199999992</v>
      </c>
      <c r="AX106" s="259">
        <f t="shared" si="135"/>
        <v>-2179929.379999999</v>
      </c>
      <c r="AY106" s="259">
        <f t="shared" si="135"/>
        <v>724557.96</v>
      </c>
      <c r="AZ106" s="259">
        <f t="shared" si="135"/>
        <v>634127.03000000026</v>
      </c>
      <c r="BA106" s="259">
        <f t="shared" si="135"/>
        <v>-211872.86999999965</v>
      </c>
      <c r="BB106" s="259">
        <f t="shared" si="135"/>
        <v>-960398.06999999983</v>
      </c>
      <c r="BC106" s="259">
        <f t="shared" si="135"/>
        <v>-105205.7799999998</v>
      </c>
      <c r="BD106" s="259">
        <f t="shared" si="135"/>
        <v>69622.94000000041</v>
      </c>
      <c r="BE106" s="259">
        <f t="shared" si="135"/>
        <v>-3217264.1199999996</v>
      </c>
      <c r="BF106" s="259">
        <f t="shared" si="135"/>
        <v>-818537.65000000037</v>
      </c>
    </row>
    <row r="107" spans="1:58"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325"/>
      <c r="AK107" s="113"/>
      <c r="AL107" s="115"/>
      <c r="AM107" s="116"/>
      <c r="AN107" s="116"/>
      <c r="AO107" s="116"/>
      <c r="AP107" s="116"/>
      <c r="AQ107" s="117"/>
      <c r="AR107" s="317"/>
      <c r="AS107" s="317"/>
      <c r="AT107" s="317"/>
      <c r="AU107" s="408"/>
      <c r="AV107" s="415"/>
      <c r="AW107" s="416"/>
      <c r="AX107" s="416"/>
      <c r="AY107" s="416"/>
      <c r="AZ107" s="416"/>
      <c r="BA107" s="416"/>
      <c r="BB107" s="416"/>
      <c r="BC107" s="416"/>
      <c r="BD107" s="416"/>
      <c r="BE107" s="416"/>
      <c r="BF107" s="416"/>
    </row>
    <row r="108" spans="1:58"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326">
        <v>36512</v>
      </c>
      <c r="AK108" s="120">
        <f t="shared" ref="AK108:AT112" si="136">C108-O108</f>
        <v>-5045</v>
      </c>
      <c r="AL108" s="120">
        <f t="shared" si="136"/>
        <v>-249</v>
      </c>
      <c r="AM108" s="120">
        <f t="shared" si="136"/>
        <v>1883</v>
      </c>
      <c r="AN108" s="120">
        <f t="shared" si="136"/>
        <v>-10250</v>
      </c>
      <c r="AO108" s="120">
        <f t="shared" si="136"/>
        <v>77</v>
      </c>
      <c r="AP108" s="120">
        <f t="shared" si="136"/>
        <v>-1471</v>
      </c>
      <c r="AQ108" s="121">
        <f t="shared" si="136"/>
        <v>-1931</v>
      </c>
      <c r="AR108" s="121">
        <f t="shared" si="136"/>
        <v>746</v>
      </c>
      <c r="AS108" s="121">
        <f t="shared" si="136"/>
        <v>-1730</v>
      </c>
      <c r="AT108" s="261">
        <f t="shared" si="136"/>
        <v>-2085</v>
      </c>
      <c r="AU108" s="261">
        <f t="shared" ref="AU108:BD112" si="137">M108-Y108</f>
        <v>-866</v>
      </c>
      <c r="AV108" s="261">
        <f t="shared" si="137"/>
        <v>3280</v>
      </c>
      <c r="AW108" s="261">
        <f t="shared" si="137"/>
        <v>-4139</v>
      </c>
      <c r="AX108" s="261">
        <f t="shared" si="137"/>
        <v>2135</v>
      </c>
      <c r="AY108" s="261">
        <f t="shared" si="137"/>
        <v>-11835</v>
      </c>
      <c r="AZ108" s="261">
        <f t="shared" si="137"/>
        <v>-5972</v>
      </c>
      <c r="BA108" s="261">
        <f t="shared" si="137"/>
        <v>-3662</v>
      </c>
      <c r="BB108" s="261">
        <f t="shared" si="137"/>
        <v>-13872</v>
      </c>
      <c r="BC108" s="261">
        <f t="shared" si="137"/>
        <v>-5341</v>
      </c>
      <c r="BD108" s="261">
        <f t="shared" si="137"/>
        <v>-4938</v>
      </c>
      <c r="BE108" s="261">
        <f t="shared" ref="BE108:BN112" si="138">W108-AI108</f>
        <v>-19520</v>
      </c>
      <c r="BF108" s="261">
        <f t="shared" si="138"/>
        <v>-559</v>
      </c>
    </row>
    <row r="109" spans="1:58"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326"/>
      <c r="AK109" s="120">
        <f t="shared" si="136"/>
        <v>-2676</v>
      </c>
      <c r="AL109" s="120">
        <f t="shared" si="136"/>
        <v>2804</v>
      </c>
      <c r="AM109" s="120">
        <f t="shared" si="136"/>
        <v>1702</v>
      </c>
      <c r="AN109" s="120">
        <f t="shared" si="136"/>
        <v>-2838</v>
      </c>
      <c r="AO109" s="120">
        <f t="shared" si="136"/>
        <v>-303</v>
      </c>
      <c r="AP109" s="120">
        <f t="shared" si="136"/>
        <v>600</v>
      </c>
      <c r="AQ109" s="121">
        <f t="shared" si="136"/>
        <v>323</v>
      </c>
      <c r="AR109" s="121">
        <f t="shared" si="136"/>
        <v>683</v>
      </c>
      <c r="AS109" s="121">
        <f t="shared" si="136"/>
        <v>1322</v>
      </c>
      <c r="AT109" s="261">
        <f t="shared" si="136"/>
        <v>491</v>
      </c>
      <c r="AU109" s="261">
        <f t="shared" si="137"/>
        <v>4822</v>
      </c>
      <c r="AV109" s="261">
        <f t="shared" si="137"/>
        <v>2420</v>
      </c>
      <c r="AW109" s="261">
        <f t="shared" si="137"/>
        <v>249</v>
      </c>
      <c r="AX109" s="261">
        <f t="shared" si="137"/>
        <v>-4103</v>
      </c>
      <c r="AY109" s="261">
        <f t="shared" si="137"/>
        <v>8029</v>
      </c>
      <c r="AZ109" s="261">
        <f t="shared" si="137"/>
        <v>8259</v>
      </c>
      <c r="BA109" s="261">
        <f t="shared" si="137"/>
        <v>3985</v>
      </c>
      <c r="BB109" s="261">
        <f t="shared" si="137"/>
        <v>3239</v>
      </c>
      <c r="BC109" s="261">
        <f t="shared" si="137"/>
        <v>3654</v>
      </c>
      <c r="BD109" s="261">
        <f t="shared" si="137"/>
        <v>3666</v>
      </c>
      <c r="BE109" s="261">
        <f t="shared" si="138"/>
        <v>3130</v>
      </c>
      <c r="BF109" s="261">
        <f t="shared" si="138"/>
        <v>4775</v>
      </c>
    </row>
    <row r="110" spans="1:58"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326"/>
      <c r="AK110" s="120">
        <f t="shared" si="136"/>
        <v>-619</v>
      </c>
      <c r="AL110" s="120">
        <f t="shared" si="136"/>
        <v>406</v>
      </c>
      <c r="AM110" s="120">
        <f t="shared" si="136"/>
        <v>247</v>
      </c>
      <c r="AN110" s="120">
        <f t="shared" si="136"/>
        <v>-971</v>
      </c>
      <c r="AO110" s="120">
        <f t="shared" si="136"/>
        <v>8</v>
      </c>
      <c r="AP110" s="120">
        <f t="shared" si="136"/>
        <v>-125</v>
      </c>
      <c r="AQ110" s="121">
        <f t="shared" si="136"/>
        <v>-177</v>
      </c>
      <c r="AR110" s="121">
        <f t="shared" si="136"/>
        <v>222</v>
      </c>
      <c r="AS110" s="121">
        <f t="shared" si="136"/>
        <v>-86</v>
      </c>
      <c r="AT110" s="261">
        <f t="shared" si="136"/>
        <v>-14</v>
      </c>
      <c r="AU110" s="261">
        <f t="shared" si="137"/>
        <v>-241</v>
      </c>
      <c r="AV110" s="261">
        <f t="shared" si="137"/>
        <v>302</v>
      </c>
      <c r="AW110" s="261">
        <f t="shared" si="137"/>
        <v>-590</v>
      </c>
      <c r="AX110" s="261">
        <f t="shared" si="137"/>
        <v>-415</v>
      </c>
      <c r="AY110" s="261">
        <f t="shared" si="137"/>
        <v>2709</v>
      </c>
      <c r="AZ110" s="261">
        <f t="shared" si="137"/>
        <v>3920</v>
      </c>
      <c r="BA110" s="261">
        <f t="shared" si="137"/>
        <v>3094</v>
      </c>
      <c r="BB110" s="261">
        <f t="shared" si="137"/>
        <v>3053</v>
      </c>
      <c r="BC110" s="261">
        <f t="shared" si="137"/>
        <v>3107</v>
      </c>
      <c r="BD110" s="261">
        <f t="shared" si="137"/>
        <v>2979</v>
      </c>
      <c r="BE110" s="261">
        <f t="shared" si="138"/>
        <v>2659</v>
      </c>
      <c r="BF110" s="261">
        <f t="shared" si="138"/>
        <v>3469</v>
      </c>
    </row>
    <row r="111" spans="1:58"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326"/>
      <c r="AK111" s="120">
        <f t="shared" si="136"/>
        <v>-49</v>
      </c>
      <c r="AL111" s="120">
        <f t="shared" si="136"/>
        <v>124</v>
      </c>
      <c r="AM111" s="120">
        <f t="shared" si="136"/>
        <v>84</v>
      </c>
      <c r="AN111" s="120">
        <f t="shared" si="136"/>
        <v>-130</v>
      </c>
      <c r="AO111" s="120">
        <f t="shared" si="136"/>
        <v>52</v>
      </c>
      <c r="AP111" s="120">
        <f t="shared" si="136"/>
        <v>19</v>
      </c>
      <c r="AQ111" s="121">
        <f t="shared" si="136"/>
        <v>-26</v>
      </c>
      <c r="AR111" s="121">
        <f t="shared" si="136"/>
        <v>81</v>
      </c>
      <c r="AS111" s="121">
        <f t="shared" si="136"/>
        <v>9</v>
      </c>
      <c r="AT111" s="261">
        <f t="shared" si="136"/>
        <v>34</v>
      </c>
      <c r="AU111" s="261">
        <f t="shared" si="137"/>
        <v>-34</v>
      </c>
      <c r="AV111" s="261">
        <f t="shared" si="137"/>
        <v>22</v>
      </c>
      <c r="AW111" s="261">
        <f t="shared" si="137"/>
        <v>-182</v>
      </c>
      <c r="AX111" s="261">
        <f t="shared" si="137"/>
        <v>-44</v>
      </c>
      <c r="AY111" s="261">
        <f t="shared" si="137"/>
        <v>402</v>
      </c>
      <c r="AZ111" s="261">
        <f t="shared" si="137"/>
        <v>608</v>
      </c>
      <c r="BA111" s="261">
        <f t="shared" si="137"/>
        <v>506</v>
      </c>
      <c r="BB111" s="261">
        <f t="shared" si="137"/>
        <v>470</v>
      </c>
      <c r="BC111" s="261">
        <f t="shared" si="137"/>
        <v>497</v>
      </c>
      <c r="BD111" s="261">
        <f t="shared" si="137"/>
        <v>456</v>
      </c>
      <c r="BE111" s="261">
        <f t="shared" si="138"/>
        <v>397</v>
      </c>
      <c r="BF111" s="261">
        <f t="shared" si="138"/>
        <v>528</v>
      </c>
    </row>
    <row r="112" spans="1:58"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326"/>
      <c r="AK112" s="120">
        <f t="shared" si="136"/>
        <v>0</v>
      </c>
      <c r="AL112" s="120">
        <f t="shared" si="136"/>
        <v>13</v>
      </c>
      <c r="AM112" s="120">
        <f t="shared" si="136"/>
        <v>-7</v>
      </c>
      <c r="AN112" s="120">
        <f t="shared" si="136"/>
        <v>-8</v>
      </c>
      <c r="AO112" s="120">
        <f t="shared" si="136"/>
        <v>2</v>
      </c>
      <c r="AP112" s="120">
        <f t="shared" si="136"/>
        <v>1</v>
      </c>
      <c r="AQ112" s="121">
        <f t="shared" si="136"/>
        <v>7</v>
      </c>
      <c r="AR112" s="121">
        <f t="shared" si="136"/>
        <v>-11</v>
      </c>
      <c r="AS112" s="121">
        <f t="shared" si="136"/>
        <v>6</v>
      </c>
      <c r="AT112" s="261">
        <f t="shared" si="136"/>
        <v>-1</v>
      </c>
      <c r="AU112" s="261">
        <f t="shared" si="137"/>
        <v>-4</v>
      </c>
      <c r="AV112" s="261">
        <f t="shared" si="137"/>
        <v>1</v>
      </c>
      <c r="AW112" s="261">
        <f t="shared" si="137"/>
        <v>-21</v>
      </c>
      <c r="AX112" s="261">
        <f t="shared" si="137"/>
        <v>-3</v>
      </c>
      <c r="AY112" s="261">
        <f t="shared" si="137"/>
        <v>18</v>
      </c>
      <c r="AZ112" s="261">
        <f t="shared" si="137"/>
        <v>36</v>
      </c>
      <c r="BA112" s="261">
        <f t="shared" si="137"/>
        <v>32</v>
      </c>
      <c r="BB112" s="261">
        <f t="shared" si="137"/>
        <v>29</v>
      </c>
      <c r="BC112" s="261">
        <f t="shared" si="137"/>
        <v>28</v>
      </c>
      <c r="BD112" s="261">
        <f t="shared" si="137"/>
        <v>31</v>
      </c>
      <c r="BE112" s="261">
        <f t="shared" si="138"/>
        <v>20</v>
      </c>
      <c r="BF112" s="261">
        <f t="shared" si="138"/>
        <v>33</v>
      </c>
    </row>
    <row r="113" spans="1:58" ht="15.75" thickBot="1" x14ac:dyDescent="0.3">
      <c r="A113" s="4"/>
      <c r="B113" s="37" t="s">
        <v>41</v>
      </c>
      <c r="C113" s="122">
        <f>SUM(C108:C112)</f>
        <v>42353</v>
      </c>
      <c r="D113" s="60">
        <f>SUM(D108:D112)</f>
        <v>44547</v>
      </c>
      <c r="E113" s="60">
        <f t="shared" ref="E113:AR113" si="139">SUM(E108:E112)</f>
        <v>44377</v>
      </c>
      <c r="F113" s="60">
        <f t="shared" si="139"/>
        <v>37017</v>
      </c>
      <c r="G113" s="60">
        <f t="shared" si="139"/>
        <v>38500</v>
      </c>
      <c r="H113" s="60">
        <f t="shared" si="139"/>
        <v>35554</v>
      </c>
      <c r="I113" s="60">
        <f t="shared" si="139"/>
        <v>35608</v>
      </c>
      <c r="J113" s="60">
        <f t="shared" si="139"/>
        <v>39386</v>
      </c>
      <c r="K113" s="60">
        <f t="shared" si="139"/>
        <v>32097</v>
      </c>
      <c r="L113" s="163">
        <f t="shared" si="139"/>
        <v>43183</v>
      </c>
      <c r="M113" s="60">
        <f t="shared" si="139"/>
        <v>43849</v>
      </c>
      <c r="N113" s="60">
        <f t="shared" si="139"/>
        <v>44561</v>
      </c>
      <c r="O113" s="60">
        <f t="shared" si="139"/>
        <v>50742</v>
      </c>
      <c r="P113" s="60">
        <f t="shared" si="139"/>
        <v>41449</v>
      </c>
      <c r="Q113" s="60">
        <f t="shared" si="139"/>
        <v>40468</v>
      </c>
      <c r="R113" s="60">
        <f t="shared" si="139"/>
        <v>51214</v>
      </c>
      <c r="S113" s="60">
        <f t="shared" si="139"/>
        <v>38664</v>
      </c>
      <c r="T113" s="60">
        <f t="shared" si="139"/>
        <v>36530</v>
      </c>
      <c r="U113" s="187">
        <f t="shared" si="139"/>
        <v>37412</v>
      </c>
      <c r="V113" s="187">
        <f t="shared" si="139"/>
        <v>37665</v>
      </c>
      <c r="W113" s="187">
        <f t="shared" ref="W113:AB113" si="140">SUM(W108:W112)</f>
        <v>32576</v>
      </c>
      <c r="X113" s="59">
        <f t="shared" si="140"/>
        <v>44758</v>
      </c>
      <c r="Y113" s="59">
        <f t="shared" si="140"/>
        <v>40172</v>
      </c>
      <c r="Z113" s="59">
        <f t="shared" si="140"/>
        <v>38536</v>
      </c>
      <c r="AA113" s="59">
        <f t="shared" si="140"/>
        <v>55425</v>
      </c>
      <c r="AB113" s="59">
        <f t="shared" si="140"/>
        <v>43879</v>
      </c>
      <c r="AC113" s="163">
        <f t="shared" ref="AC113:AI113" si="141">SUM(AC108:AC112)</f>
        <v>41145</v>
      </c>
      <c r="AD113" s="163">
        <f t="shared" si="141"/>
        <v>44363</v>
      </c>
      <c r="AE113" s="163">
        <f t="shared" si="141"/>
        <v>34709</v>
      </c>
      <c r="AF113" s="163">
        <f t="shared" si="141"/>
        <v>43611</v>
      </c>
      <c r="AG113" s="163">
        <f t="shared" si="141"/>
        <v>35467</v>
      </c>
      <c r="AH113" s="163">
        <f t="shared" si="141"/>
        <v>35471</v>
      </c>
      <c r="AI113" s="163">
        <f t="shared" si="141"/>
        <v>45890</v>
      </c>
      <c r="AJ113" s="163">
        <f t="shared" ref="AJ113" si="142">SUM(AJ108:AJ112)</f>
        <v>36512</v>
      </c>
      <c r="AK113" s="60">
        <f t="shared" si="139"/>
        <v>-8389</v>
      </c>
      <c r="AL113" s="60">
        <f t="shared" si="139"/>
        <v>3098</v>
      </c>
      <c r="AM113" s="60">
        <f t="shared" si="139"/>
        <v>3909</v>
      </c>
      <c r="AN113" s="60">
        <f t="shared" si="139"/>
        <v>-14197</v>
      </c>
      <c r="AO113" s="60">
        <f t="shared" si="139"/>
        <v>-164</v>
      </c>
      <c r="AP113" s="60">
        <f t="shared" si="139"/>
        <v>-976</v>
      </c>
      <c r="AQ113" s="59">
        <f t="shared" si="139"/>
        <v>-1804</v>
      </c>
      <c r="AR113" s="59">
        <f t="shared" si="139"/>
        <v>1721</v>
      </c>
      <c r="AS113" s="59">
        <f>SUM(AS108:AS112)</f>
        <v>-479</v>
      </c>
      <c r="AT113" s="262">
        <f>SUM(AT108:AT112)</f>
        <v>-1575</v>
      </c>
      <c r="AU113" s="261">
        <f t="shared" ref="AU113:BF113" si="143">M113-Y113</f>
        <v>3677</v>
      </c>
      <c r="AV113" s="261">
        <f t="shared" si="143"/>
        <v>6025</v>
      </c>
      <c r="AW113" s="261">
        <f t="shared" si="143"/>
        <v>-4683</v>
      </c>
      <c r="AX113" s="261">
        <f t="shared" si="143"/>
        <v>-2430</v>
      </c>
      <c r="AY113" s="261">
        <f t="shared" si="143"/>
        <v>-677</v>
      </c>
      <c r="AZ113" s="261">
        <f t="shared" si="143"/>
        <v>6851</v>
      </c>
      <c r="BA113" s="261">
        <f t="shared" si="143"/>
        <v>3955</v>
      </c>
      <c r="BB113" s="261">
        <f t="shared" si="143"/>
        <v>-7081</v>
      </c>
      <c r="BC113" s="261">
        <f t="shared" si="143"/>
        <v>1945</v>
      </c>
      <c r="BD113" s="261">
        <f t="shared" si="143"/>
        <v>2194</v>
      </c>
      <c r="BE113" s="261">
        <f t="shared" si="143"/>
        <v>-13314</v>
      </c>
      <c r="BF113" s="261">
        <f t="shared" si="143"/>
        <v>8246</v>
      </c>
    </row>
    <row r="114" spans="1:58"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315"/>
      <c r="AK114" s="125"/>
      <c r="AL114" s="127"/>
      <c r="AM114" s="128"/>
      <c r="AN114" s="128"/>
      <c r="AO114" s="128"/>
      <c r="AP114" s="128"/>
      <c r="AQ114" s="129"/>
      <c r="AR114" s="231"/>
      <c r="AS114" s="231"/>
      <c r="AT114" s="231"/>
      <c r="AU114" s="404"/>
      <c r="AV114" s="212"/>
      <c r="AW114" s="410"/>
      <c r="AX114" s="410"/>
      <c r="AY114" s="410"/>
      <c r="AZ114" s="410"/>
      <c r="BA114" s="410"/>
      <c r="BB114" s="410"/>
      <c r="BC114" s="410"/>
      <c r="BD114" s="410"/>
      <c r="BE114" s="410"/>
      <c r="BF114" s="410"/>
    </row>
    <row r="115" spans="1:58" x14ac:dyDescent="0.25">
      <c r="A115" s="4"/>
      <c r="B115" s="35" t="s">
        <v>36</v>
      </c>
      <c r="C115" s="97">
        <f>C94-C101</f>
        <v>1095955.7199999997</v>
      </c>
      <c r="D115" s="89">
        <f>D94-D101</f>
        <v>-583025.21</v>
      </c>
      <c r="E115" s="89">
        <f t="shared" ref="E115:V115" si="144">E94-E101</f>
        <v>-1273980.9700000002</v>
      </c>
      <c r="F115" s="89">
        <f t="shared" si="144"/>
        <v>-754083.29</v>
      </c>
      <c r="G115" s="89">
        <f t="shared" si="144"/>
        <v>-678775.79</v>
      </c>
      <c r="H115" s="89">
        <f t="shared" si="144"/>
        <v>-308283.56000000006</v>
      </c>
      <c r="I115" s="89">
        <f t="shared" si="144"/>
        <v>-186856.56000000006</v>
      </c>
      <c r="J115" s="89">
        <f t="shared" si="144"/>
        <v>-177026.30000000005</v>
      </c>
      <c r="K115" s="89">
        <f t="shared" si="144"/>
        <v>1461687.17</v>
      </c>
      <c r="L115" s="99">
        <f t="shared" si="144"/>
        <v>2530458.0699999998</v>
      </c>
      <c r="M115" s="89">
        <f t="shared" si="144"/>
        <v>2773012.87</v>
      </c>
      <c r="N115" s="87">
        <f>N94-N101</f>
        <v>767793.09999999963</v>
      </c>
      <c r="O115" s="89">
        <f t="shared" si="144"/>
        <v>-64992.240000000224</v>
      </c>
      <c r="P115" s="89">
        <f t="shared" si="144"/>
        <v>-5602.1299999998882</v>
      </c>
      <c r="Q115" s="89">
        <f t="shared" si="144"/>
        <v>-98451.459999999963</v>
      </c>
      <c r="R115" s="89">
        <f t="shared" si="144"/>
        <v>-2175016.9900000002</v>
      </c>
      <c r="S115" s="89">
        <f t="shared" si="144"/>
        <v>-678991.34000000008</v>
      </c>
      <c r="T115" s="89">
        <f t="shared" si="144"/>
        <v>-293801.89999999991</v>
      </c>
      <c r="U115" s="189">
        <f t="shared" si="144"/>
        <v>-212622.34999999986</v>
      </c>
      <c r="V115" s="189">
        <f t="shared" si="144"/>
        <v>-104017.12000000011</v>
      </c>
      <c r="W115" s="189">
        <f t="shared" ref="W115:AC119" si="145">W94-W101</f>
        <v>1021609.78</v>
      </c>
      <c r="X115" s="78">
        <f t="shared" si="145"/>
        <v>2046329.6</v>
      </c>
      <c r="Y115" s="78">
        <f t="shared" si="145"/>
        <v>3370052.33</v>
      </c>
      <c r="Z115" s="78">
        <f t="shared" si="145"/>
        <v>2309745.63</v>
      </c>
      <c r="AA115" s="78">
        <f t="shared" si="145"/>
        <v>-734639.65000000037</v>
      </c>
      <c r="AB115" s="78">
        <f t="shared" si="145"/>
        <v>-184691.5</v>
      </c>
      <c r="AC115" s="78">
        <f t="shared" si="145"/>
        <v>-2887691.1799999997</v>
      </c>
      <c r="AD115" s="78">
        <f t="shared" ref="AD115:AI119" si="146">AD94-AD101</f>
        <v>-4011621.1100000003</v>
      </c>
      <c r="AE115" s="78">
        <f t="shared" si="146"/>
        <v>-2091890.44</v>
      </c>
      <c r="AF115" s="78">
        <f t="shared" si="146"/>
        <v>-2155325.0099999998</v>
      </c>
      <c r="AG115" s="78">
        <f t="shared" si="146"/>
        <v>-1200665.1000000001</v>
      </c>
      <c r="AH115" s="78">
        <f t="shared" si="146"/>
        <v>-1096308.5499999998</v>
      </c>
      <c r="AI115" s="78">
        <f t="shared" si="146"/>
        <v>-2741657.08</v>
      </c>
      <c r="AJ115" s="78">
        <f t="shared" ref="AJ115" si="147">AJ94-AJ101</f>
        <v>1374531.9400000004</v>
      </c>
      <c r="AK115" s="89">
        <f t="shared" ref="AK115:AT119" si="148">C115-O115</f>
        <v>1160947.96</v>
      </c>
      <c r="AL115" s="89">
        <f t="shared" si="148"/>
        <v>-577423.08000000007</v>
      </c>
      <c r="AM115" s="89">
        <f t="shared" si="148"/>
        <v>-1175529.5100000002</v>
      </c>
      <c r="AN115" s="89">
        <f t="shared" si="148"/>
        <v>1420933.7000000002</v>
      </c>
      <c r="AO115" s="89">
        <f t="shared" si="148"/>
        <v>215.55000000004657</v>
      </c>
      <c r="AP115" s="89">
        <f t="shared" si="148"/>
        <v>-14481.660000000149</v>
      </c>
      <c r="AQ115" s="88">
        <f t="shared" si="148"/>
        <v>25765.789999999804</v>
      </c>
      <c r="AR115" s="88">
        <f t="shared" si="148"/>
        <v>-73009.179999999935</v>
      </c>
      <c r="AS115" s="88">
        <f t="shared" si="148"/>
        <v>440077.3899999999</v>
      </c>
      <c r="AT115" s="259">
        <f t="shared" si="148"/>
        <v>484128.46999999974</v>
      </c>
      <c r="AU115" s="259">
        <f t="shared" ref="AU115:BD119" si="149">M115-Y115</f>
        <v>-597039.46</v>
      </c>
      <c r="AV115" s="259">
        <f t="shared" si="149"/>
        <v>-1541952.5300000003</v>
      </c>
      <c r="AW115" s="259">
        <f t="shared" si="149"/>
        <v>669647.41000000015</v>
      </c>
      <c r="AX115" s="259">
        <f t="shared" si="149"/>
        <v>179089.37000000011</v>
      </c>
      <c r="AY115" s="259">
        <f t="shared" si="149"/>
        <v>2789239.7199999997</v>
      </c>
      <c r="AZ115" s="259">
        <f t="shared" si="149"/>
        <v>1836604.12</v>
      </c>
      <c r="BA115" s="259">
        <f t="shared" si="149"/>
        <v>1412899.0999999999</v>
      </c>
      <c r="BB115" s="259">
        <f t="shared" si="149"/>
        <v>1861523.1099999999</v>
      </c>
      <c r="BC115" s="259">
        <f t="shared" si="149"/>
        <v>988042.75000000023</v>
      </c>
      <c r="BD115" s="259">
        <f t="shared" si="149"/>
        <v>992291.4299999997</v>
      </c>
      <c r="BE115" s="259">
        <f t="shared" ref="BE115:BN119" si="150">W115-AI115</f>
        <v>3763266.8600000003</v>
      </c>
      <c r="BF115" s="259">
        <f t="shared" si="150"/>
        <v>671797.65999999968</v>
      </c>
    </row>
    <row r="116" spans="1:58" x14ac:dyDescent="0.25">
      <c r="A116" s="4"/>
      <c r="B116" s="35" t="s">
        <v>37</v>
      </c>
      <c r="C116" s="97">
        <f t="shared" ref="C116:D119" si="151">C95-C102</f>
        <v>180782.34000000008</v>
      </c>
      <c r="D116" s="89">
        <f t="shared" si="151"/>
        <v>-247261.17999999993</v>
      </c>
      <c r="E116" s="89">
        <f t="shared" ref="E116:V116" si="152">E95-E102</f>
        <v>-604845.89999999991</v>
      </c>
      <c r="F116" s="89">
        <f t="shared" si="152"/>
        <v>-46128.419999999984</v>
      </c>
      <c r="G116" s="89">
        <f t="shared" si="152"/>
        <v>-44653.66</v>
      </c>
      <c r="H116" s="89">
        <f t="shared" si="152"/>
        <v>-20446.579999999987</v>
      </c>
      <c r="I116" s="89">
        <f t="shared" si="152"/>
        <v>13193.200000000012</v>
      </c>
      <c r="J116" s="89">
        <f t="shared" si="152"/>
        <v>36293.649999999994</v>
      </c>
      <c r="K116" s="89">
        <f t="shared" si="152"/>
        <v>294874.34999999998</v>
      </c>
      <c r="L116" s="99">
        <f t="shared" si="152"/>
        <v>577135.22</v>
      </c>
      <c r="M116" s="89">
        <f t="shared" si="152"/>
        <v>58989.330000000075</v>
      </c>
      <c r="N116" s="87">
        <f t="shared" si="152"/>
        <v>39711.429999999935</v>
      </c>
      <c r="O116" s="89">
        <f t="shared" si="152"/>
        <v>-90617.340000000084</v>
      </c>
      <c r="P116" s="89">
        <f t="shared" si="152"/>
        <v>376579.66000000003</v>
      </c>
      <c r="Q116" s="89">
        <f t="shared" si="152"/>
        <v>-100223.19999999995</v>
      </c>
      <c r="R116" s="89">
        <f t="shared" si="152"/>
        <v>-273055.37</v>
      </c>
      <c r="S116" s="89">
        <f t="shared" si="152"/>
        <v>-131951.63</v>
      </c>
      <c r="T116" s="89">
        <f t="shared" si="152"/>
        <v>33110.640000000014</v>
      </c>
      <c r="U116" s="88">
        <f t="shared" si="152"/>
        <v>51725.449999999983</v>
      </c>
      <c r="V116" s="189">
        <f t="shared" si="152"/>
        <v>104036.15</v>
      </c>
      <c r="W116" s="189">
        <f t="shared" si="145"/>
        <v>373824.9</v>
      </c>
      <c r="X116" s="78">
        <f t="shared" si="145"/>
        <v>624483.18999999994</v>
      </c>
      <c r="Y116" s="78">
        <f t="shared" si="145"/>
        <v>846437.88</v>
      </c>
      <c r="Z116" s="78">
        <f t="shared" si="145"/>
        <v>558372.38</v>
      </c>
      <c r="AA116" s="78">
        <f t="shared" si="145"/>
        <v>-281689.99</v>
      </c>
      <c r="AB116" s="78">
        <f t="shared" ref="AB116:AC119" si="153">AB95-AB102</f>
        <v>-820226.74</v>
      </c>
      <c r="AC116" s="78">
        <f t="shared" si="153"/>
        <v>564271</v>
      </c>
      <c r="AD116" s="78">
        <f t="shared" si="146"/>
        <v>247702.00999999998</v>
      </c>
      <c r="AE116" s="78">
        <f t="shared" si="146"/>
        <v>169120</v>
      </c>
      <c r="AF116" s="78">
        <f t="shared" si="146"/>
        <v>239074</v>
      </c>
      <c r="AG116" s="78">
        <f t="shared" si="146"/>
        <v>212229</v>
      </c>
      <c r="AH116" s="78">
        <f t="shared" ref="AH116:AI116" si="154">AH95-AH102</f>
        <v>229178</v>
      </c>
      <c r="AI116" s="78">
        <f t="shared" si="154"/>
        <v>607293</v>
      </c>
      <c r="AJ116" s="78">
        <f t="shared" ref="AJ116" si="155">AJ95-AJ102</f>
        <v>1351125</v>
      </c>
      <c r="AK116" s="89">
        <f t="shared" si="148"/>
        <v>271399.68000000017</v>
      </c>
      <c r="AL116" s="89">
        <f t="shared" si="148"/>
        <v>-623840.84</v>
      </c>
      <c r="AM116" s="89">
        <f t="shared" si="148"/>
        <v>-504622.69999999995</v>
      </c>
      <c r="AN116" s="89">
        <f t="shared" si="148"/>
        <v>226926.95</v>
      </c>
      <c r="AO116" s="89">
        <f t="shared" si="148"/>
        <v>87297.97</v>
      </c>
      <c r="AP116" s="89">
        <f t="shared" si="148"/>
        <v>-53557.22</v>
      </c>
      <c r="AQ116" s="88">
        <f t="shared" si="148"/>
        <v>-38532.249999999971</v>
      </c>
      <c r="AR116" s="88">
        <f t="shared" si="148"/>
        <v>-67742.5</v>
      </c>
      <c r="AS116" s="88">
        <f t="shared" si="148"/>
        <v>-78950.550000000047</v>
      </c>
      <c r="AT116" s="259">
        <f t="shared" si="148"/>
        <v>-47347.969999999972</v>
      </c>
      <c r="AU116" s="259">
        <f t="shared" si="149"/>
        <v>-787448.54999999993</v>
      </c>
      <c r="AV116" s="259">
        <f t="shared" si="149"/>
        <v>-518660.95000000007</v>
      </c>
      <c r="AW116" s="259">
        <f t="shared" si="149"/>
        <v>191072.64999999991</v>
      </c>
      <c r="AX116" s="259">
        <f t="shared" si="149"/>
        <v>1196806.3999999999</v>
      </c>
      <c r="AY116" s="259">
        <f t="shared" si="149"/>
        <v>-664494.19999999995</v>
      </c>
      <c r="AZ116" s="259">
        <f t="shared" si="149"/>
        <v>-520757.38</v>
      </c>
      <c r="BA116" s="259">
        <f t="shared" si="149"/>
        <v>-301071.63</v>
      </c>
      <c r="BB116" s="259">
        <f t="shared" si="149"/>
        <v>-205963.36</v>
      </c>
      <c r="BC116" s="259">
        <f t="shared" si="149"/>
        <v>-160503.55000000002</v>
      </c>
      <c r="BD116" s="259">
        <f t="shared" si="149"/>
        <v>-125141.85</v>
      </c>
      <c r="BE116" s="259">
        <f t="shared" si="150"/>
        <v>-233468.09999999998</v>
      </c>
      <c r="BF116" s="259">
        <f t="shared" si="150"/>
        <v>-726641.81</v>
      </c>
    </row>
    <row r="117" spans="1:58" x14ac:dyDescent="0.25">
      <c r="A117" s="4"/>
      <c r="B117" s="35" t="s">
        <v>38</v>
      </c>
      <c r="C117" s="97">
        <f t="shared" si="151"/>
        <v>36741.139999999898</v>
      </c>
      <c r="D117" s="89">
        <f t="shared" si="151"/>
        <v>-329815.71999999997</v>
      </c>
      <c r="E117" s="89">
        <f t="shared" ref="E117:V117" si="156">E96-E103</f>
        <v>-272123.66000000003</v>
      </c>
      <c r="F117" s="89">
        <f t="shared" si="156"/>
        <v>-126996.37</v>
      </c>
      <c r="G117" s="89">
        <f t="shared" si="156"/>
        <v>-65639.06</v>
      </c>
      <c r="H117" s="89">
        <f t="shared" si="156"/>
        <v>-20065.059999999998</v>
      </c>
      <c r="I117" s="89">
        <f t="shared" si="156"/>
        <v>3621.7699999999895</v>
      </c>
      <c r="J117" s="89">
        <f t="shared" si="156"/>
        <v>-3837.5899999999965</v>
      </c>
      <c r="K117" s="89">
        <f t="shared" si="156"/>
        <v>221984.58</v>
      </c>
      <c r="L117" s="99">
        <f t="shared" si="156"/>
        <v>419358.02</v>
      </c>
      <c r="M117" s="89">
        <f t="shared" si="156"/>
        <v>545557.32999999996</v>
      </c>
      <c r="N117" s="87">
        <f t="shared" si="156"/>
        <v>-36967.419999999925</v>
      </c>
      <c r="O117" s="89">
        <f t="shared" si="156"/>
        <v>-237559.06000000006</v>
      </c>
      <c r="P117" s="89">
        <f t="shared" si="156"/>
        <v>-103259.83999999997</v>
      </c>
      <c r="Q117" s="89">
        <f t="shared" si="156"/>
        <v>-126114.76000000001</v>
      </c>
      <c r="R117" s="89">
        <f t="shared" si="156"/>
        <v>-466460.56999999995</v>
      </c>
      <c r="S117" s="89">
        <f>S96-S103</f>
        <v>-98781.25</v>
      </c>
      <c r="T117" s="89">
        <f t="shared" si="156"/>
        <v>-48814.850000000006</v>
      </c>
      <c r="U117" s="88">
        <f t="shared" si="156"/>
        <v>-86039.18</v>
      </c>
      <c r="V117" s="189">
        <f t="shared" si="156"/>
        <v>6367.4100000000035</v>
      </c>
      <c r="W117" s="189">
        <f t="shared" si="145"/>
        <v>185753.67</v>
      </c>
      <c r="X117" s="78">
        <f t="shared" si="145"/>
        <v>363580.6</v>
      </c>
      <c r="Y117" s="78">
        <f t="shared" si="145"/>
        <v>586182.5</v>
      </c>
      <c r="Z117" s="78">
        <f t="shared" si="145"/>
        <v>249432.33000000007</v>
      </c>
      <c r="AA117" s="78">
        <f t="shared" si="145"/>
        <v>-516175.3600000001</v>
      </c>
      <c r="AB117" s="78">
        <f t="shared" si="153"/>
        <v>-347373.53</v>
      </c>
      <c r="AC117" s="78">
        <f t="shared" si="153"/>
        <v>492665</v>
      </c>
      <c r="AD117" s="78">
        <f t="shared" si="146"/>
        <v>239363</v>
      </c>
      <c r="AE117" s="78">
        <f t="shared" si="146"/>
        <v>185051</v>
      </c>
      <c r="AF117" s="78">
        <f t="shared" si="146"/>
        <v>193515</v>
      </c>
      <c r="AG117" s="78">
        <f t="shared" si="146"/>
        <v>200269</v>
      </c>
      <c r="AH117" s="78">
        <f t="shared" ref="AH117:AI117" si="157">AH96-AH103</f>
        <v>202701</v>
      </c>
      <c r="AI117" s="78">
        <f t="shared" si="157"/>
        <v>438898</v>
      </c>
      <c r="AJ117" s="78">
        <f t="shared" ref="AJ117" si="158">AJ96-AJ103</f>
        <v>1175731</v>
      </c>
      <c r="AK117" s="89">
        <f t="shared" si="148"/>
        <v>274300.19999999995</v>
      </c>
      <c r="AL117" s="89">
        <f t="shared" si="148"/>
        <v>-226555.88</v>
      </c>
      <c r="AM117" s="89">
        <f t="shared" si="148"/>
        <v>-146008.90000000002</v>
      </c>
      <c r="AN117" s="89">
        <f t="shared" si="148"/>
        <v>339464.19999999995</v>
      </c>
      <c r="AO117" s="89">
        <f t="shared" si="148"/>
        <v>33142.19</v>
      </c>
      <c r="AP117" s="89">
        <f t="shared" si="148"/>
        <v>28749.790000000008</v>
      </c>
      <c r="AQ117" s="88">
        <f t="shared" si="148"/>
        <v>89660.949999999983</v>
      </c>
      <c r="AR117" s="88">
        <f t="shared" si="148"/>
        <v>-10205</v>
      </c>
      <c r="AS117" s="88">
        <f t="shared" si="148"/>
        <v>36230.909999999974</v>
      </c>
      <c r="AT117" s="259">
        <f t="shared" si="148"/>
        <v>55777.420000000042</v>
      </c>
      <c r="AU117" s="259">
        <f t="shared" si="149"/>
        <v>-40625.170000000042</v>
      </c>
      <c r="AV117" s="259">
        <f t="shared" si="149"/>
        <v>-286399.75</v>
      </c>
      <c r="AW117" s="259">
        <f t="shared" si="149"/>
        <v>278616.30000000005</v>
      </c>
      <c r="AX117" s="259">
        <f t="shared" si="149"/>
        <v>244113.69000000006</v>
      </c>
      <c r="AY117" s="259">
        <f t="shared" si="149"/>
        <v>-618779.76</v>
      </c>
      <c r="AZ117" s="259">
        <f t="shared" si="149"/>
        <v>-705823.57</v>
      </c>
      <c r="BA117" s="259">
        <f t="shared" si="149"/>
        <v>-283832.25</v>
      </c>
      <c r="BB117" s="259">
        <f t="shared" si="149"/>
        <v>-242329.85</v>
      </c>
      <c r="BC117" s="259">
        <f t="shared" si="149"/>
        <v>-286308.18</v>
      </c>
      <c r="BD117" s="259">
        <f t="shared" si="149"/>
        <v>-196333.59</v>
      </c>
      <c r="BE117" s="259">
        <f t="shared" si="150"/>
        <v>-253144.33</v>
      </c>
      <c r="BF117" s="259">
        <f t="shared" si="150"/>
        <v>-812150.4</v>
      </c>
    </row>
    <row r="118" spans="1:58" x14ac:dyDescent="0.25">
      <c r="A118" s="4"/>
      <c r="B118" s="35" t="s">
        <v>39</v>
      </c>
      <c r="C118" s="97">
        <f t="shared" si="151"/>
        <v>-261964.59000000008</v>
      </c>
      <c r="D118" s="89">
        <f t="shared" si="151"/>
        <v>-188087.92999999993</v>
      </c>
      <c r="E118" s="89">
        <f t="shared" ref="E118:V118" si="159">E97-E104</f>
        <v>-341438.87999999989</v>
      </c>
      <c r="F118" s="89">
        <f t="shared" si="159"/>
        <v>-640213.06000000006</v>
      </c>
      <c r="G118" s="89">
        <f t="shared" si="159"/>
        <v>-187125.96999999997</v>
      </c>
      <c r="H118" s="89">
        <f t="shared" si="159"/>
        <v>-38515.329999999987</v>
      </c>
      <c r="I118" s="89">
        <f t="shared" si="159"/>
        <v>21515.709999999992</v>
      </c>
      <c r="J118" s="89">
        <f t="shared" si="159"/>
        <v>9773.859999999986</v>
      </c>
      <c r="K118" s="89">
        <f t="shared" si="159"/>
        <v>373476.98300000001</v>
      </c>
      <c r="L118" s="99">
        <f t="shared" si="159"/>
        <v>421637.72</v>
      </c>
      <c r="M118" s="89">
        <f t="shared" si="159"/>
        <v>600628.64999999991</v>
      </c>
      <c r="N118" s="87">
        <f t="shared" si="159"/>
        <v>-31336.189999999944</v>
      </c>
      <c r="O118" s="89">
        <f t="shared" si="159"/>
        <v>-321307.8899999999</v>
      </c>
      <c r="P118" s="89">
        <f t="shared" si="159"/>
        <v>-18591.159999999916</v>
      </c>
      <c r="Q118" s="89">
        <f t="shared" si="159"/>
        <v>-88444.079999999958</v>
      </c>
      <c r="R118" s="89">
        <f t="shared" si="159"/>
        <v>-592444.72</v>
      </c>
      <c r="S118" s="89">
        <f t="shared" si="159"/>
        <v>-135999.38</v>
      </c>
      <c r="T118" s="89">
        <f t="shared" si="159"/>
        <v>-42478.559999999998</v>
      </c>
      <c r="U118" s="88">
        <f t="shared" si="159"/>
        <v>-100743.59000000001</v>
      </c>
      <c r="V118" s="189">
        <f t="shared" si="159"/>
        <v>17030.98000000001</v>
      </c>
      <c r="W118" s="189">
        <f t="shared" si="145"/>
        <v>278869.5</v>
      </c>
      <c r="X118" s="78">
        <f t="shared" si="145"/>
        <v>450574.05000000005</v>
      </c>
      <c r="Y118" s="78">
        <f t="shared" si="145"/>
        <v>841932.89</v>
      </c>
      <c r="Z118" s="78">
        <f t="shared" si="145"/>
        <v>202891.74</v>
      </c>
      <c r="AA118" s="78">
        <f t="shared" si="145"/>
        <v>-828588.89000000013</v>
      </c>
      <c r="AB118" s="78">
        <f t="shared" si="153"/>
        <v>-171517.65999999992</v>
      </c>
      <c r="AC118" s="78">
        <f t="shared" si="153"/>
        <v>696013</v>
      </c>
      <c r="AD118" s="78">
        <f t="shared" si="146"/>
        <v>332034.40999999997</v>
      </c>
      <c r="AE118" s="78">
        <f t="shared" si="146"/>
        <v>225214</v>
      </c>
      <c r="AF118" s="78">
        <f t="shared" si="146"/>
        <v>222079</v>
      </c>
      <c r="AG118" s="78">
        <f t="shared" si="146"/>
        <v>125540</v>
      </c>
      <c r="AH118" s="78">
        <f t="shared" ref="AH118:AI118" si="160">AH97-AH104</f>
        <v>208930</v>
      </c>
      <c r="AI118" s="78">
        <f t="shared" si="160"/>
        <v>695033</v>
      </c>
      <c r="AJ118" s="78">
        <f t="shared" ref="AJ118" si="161">AJ97-AJ104</f>
        <v>1544011</v>
      </c>
      <c r="AK118" s="89">
        <f t="shared" si="148"/>
        <v>59343.299999999814</v>
      </c>
      <c r="AL118" s="89">
        <f t="shared" si="148"/>
        <v>-169496.77000000002</v>
      </c>
      <c r="AM118" s="89">
        <f t="shared" si="148"/>
        <v>-252994.79999999993</v>
      </c>
      <c r="AN118" s="89">
        <f t="shared" si="148"/>
        <v>-47768.340000000084</v>
      </c>
      <c r="AO118" s="89">
        <f t="shared" si="148"/>
        <v>-51126.589999999967</v>
      </c>
      <c r="AP118" s="89">
        <f t="shared" si="148"/>
        <v>3963.2300000000105</v>
      </c>
      <c r="AQ118" s="88">
        <f t="shared" si="148"/>
        <v>122259.3</v>
      </c>
      <c r="AR118" s="88">
        <f t="shared" si="148"/>
        <v>-7257.1200000000244</v>
      </c>
      <c r="AS118" s="88">
        <f t="shared" si="148"/>
        <v>94607.483000000007</v>
      </c>
      <c r="AT118" s="259">
        <f t="shared" si="148"/>
        <v>-28936.330000000075</v>
      </c>
      <c r="AU118" s="259">
        <f t="shared" si="149"/>
        <v>-241304.24000000011</v>
      </c>
      <c r="AV118" s="259">
        <f t="shared" si="149"/>
        <v>-234227.92999999993</v>
      </c>
      <c r="AW118" s="259">
        <f t="shared" si="149"/>
        <v>507281.00000000023</v>
      </c>
      <c r="AX118" s="259">
        <f t="shared" si="149"/>
        <v>152926.5</v>
      </c>
      <c r="AY118" s="259">
        <f t="shared" si="149"/>
        <v>-784457.08</v>
      </c>
      <c r="AZ118" s="259">
        <f t="shared" si="149"/>
        <v>-924479.12999999989</v>
      </c>
      <c r="BA118" s="259">
        <f t="shared" si="149"/>
        <v>-361213.38</v>
      </c>
      <c r="BB118" s="259">
        <f t="shared" si="149"/>
        <v>-264557.56</v>
      </c>
      <c r="BC118" s="259">
        <f t="shared" si="149"/>
        <v>-226283.59000000003</v>
      </c>
      <c r="BD118" s="259">
        <f t="shared" si="149"/>
        <v>-191899.02</v>
      </c>
      <c r="BE118" s="259">
        <f t="shared" si="150"/>
        <v>-416163.5</v>
      </c>
      <c r="BF118" s="259">
        <f t="shared" si="150"/>
        <v>-1093436.95</v>
      </c>
    </row>
    <row r="119" spans="1:58" x14ac:dyDescent="0.25">
      <c r="A119" s="4"/>
      <c r="B119" s="35" t="s">
        <v>40</v>
      </c>
      <c r="C119" s="97">
        <f t="shared" si="151"/>
        <v>-133467.93000000005</v>
      </c>
      <c r="D119" s="89">
        <f t="shared" si="151"/>
        <v>-418325.67000000004</v>
      </c>
      <c r="E119" s="89">
        <f t="shared" ref="E119:V119" si="162">E98-E105</f>
        <v>5034.0599999999977</v>
      </c>
      <c r="F119" s="89">
        <f t="shared" si="162"/>
        <v>-411856</v>
      </c>
      <c r="G119" s="89">
        <f t="shared" si="162"/>
        <v>-210896.86</v>
      </c>
      <c r="H119" s="89">
        <f t="shared" si="162"/>
        <v>-189716.46000000002</v>
      </c>
      <c r="I119" s="89">
        <f t="shared" si="162"/>
        <v>-202738.93</v>
      </c>
      <c r="J119" s="89">
        <f t="shared" si="162"/>
        <v>-92098.599999999977</v>
      </c>
      <c r="K119" s="89">
        <f t="shared" si="162"/>
        <v>-97613.200000000012</v>
      </c>
      <c r="L119" s="99">
        <f t="shared" si="162"/>
        <v>-101282.78999999998</v>
      </c>
      <c r="M119" s="89">
        <f t="shared" si="162"/>
        <v>-138047.95000000001</v>
      </c>
      <c r="N119" s="87">
        <f t="shared" si="162"/>
        <v>-200695.96999999997</v>
      </c>
      <c r="O119" s="89">
        <f t="shared" si="162"/>
        <v>-180606.83000000002</v>
      </c>
      <c r="P119" s="89">
        <f t="shared" si="162"/>
        <v>-25756.200000000012</v>
      </c>
      <c r="Q119" s="89">
        <f t="shared" si="162"/>
        <v>-187823.64</v>
      </c>
      <c r="R119" s="89">
        <f t="shared" si="162"/>
        <v>-347215.03</v>
      </c>
      <c r="S119" s="89">
        <f t="shared" si="162"/>
        <v>-173714.96999999997</v>
      </c>
      <c r="T119" s="89">
        <f t="shared" si="162"/>
        <v>-245011.27000000002</v>
      </c>
      <c r="U119" s="88">
        <f t="shared" si="162"/>
        <v>-146798.76000000004</v>
      </c>
      <c r="V119" s="189">
        <f t="shared" si="162"/>
        <v>-199758.90999999997</v>
      </c>
      <c r="W119" s="189">
        <f t="shared" si="145"/>
        <v>74623.19</v>
      </c>
      <c r="X119" s="78">
        <f t="shared" si="145"/>
        <v>-282215.84999999998</v>
      </c>
      <c r="Y119" s="78">
        <f t="shared" si="145"/>
        <v>-54915.570000000007</v>
      </c>
      <c r="Z119" s="78">
        <f t="shared" si="145"/>
        <v>-162142.76</v>
      </c>
      <c r="AA119" s="78">
        <f t="shared" si="145"/>
        <v>-577652.09</v>
      </c>
      <c r="AB119" s="78">
        <f t="shared" si="153"/>
        <v>-238721.62</v>
      </c>
      <c r="AC119" s="78">
        <f t="shared" si="153"/>
        <v>480829</v>
      </c>
      <c r="AD119" s="78">
        <f t="shared" si="146"/>
        <v>74162.100000000006</v>
      </c>
      <c r="AE119" s="78">
        <f t="shared" si="146"/>
        <v>174336</v>
      </c>
      <c r="AF119" s="78">
        <f t="shared" si="146"/>
        <v>226038</v>
      </c>
      <c r="AG119" s="78">
        <f t="shared" si="146"/>
        <v>39454</v>
      </c>
      <c r="AH119" s="78">
        <f t="shared" ref="AH119:AI119" si="163">AH98-AH105</f>
        <v>194495</v>
      </c>
      <c r="AI119" s="78">
        <f t="shared" si="163"/>
        <v>321514</v>
      </c>
      <c r="AJ119" s="78">
        <f t="shared" ref="AJ119" si="164">AJ98-AJ105</f>
        <v>432022</v>
      </c>
      <c r="AK119" s="89">
        <f t="shared" si="148"/>
        <v>47138.899999999965</v>
      </c>
      <c r="AL119" s="89">
        <f t="shared" si="148"/>
        <v>-392569.47000000003</v>
      </c>
      <c r="AM119" s="89">
        <f t="shared" si="148"/>
        <v>192857.7</v>
      </c>
      <c r="AN119" s="89">
        <f t="shared" si="148"/>
        <v>-64640.969999999972</v>
      </c>
      <c r="AO119" s="89">
        <f t="shared" si="148"/>
        <v>-37181.890000000014</v>
      </c>
      <c r="AP119" s="89">
        <f t="shared" si="148"/>
        <v>55294.81</v>
      </c>
      <c r="AQ119" s="88">
        <f t="shared" si="148"/>
        <v>-55940.169999999955</v>
      </c>
      <c r="AR119" s="88">
        <f t="shared" si="148"/>
        <v>107660.31</v>
      </c>
      <c r="AS119" s="88">
        <f t="shared" si="148"/>
        <v>-172236.39</v>
      </c>
      <c r="AT119" s="259">
        <f t="shared" si="148"/>
        <v>180933.06</v>
      </c>
      <c r="AU119" s="259">
        <f t="shared" si="149"/>
        <v>-83132.38</v>
      </c>
      <c r="AV119" s="259">
        <f t="shared" si="149"/>
        <v>-38553.209999999963</v>
      </c>
      <c r="AW119" s="259">
        <f t="shared" si="149"/>
        <v>397045.25999999995</v>
      </c>
      <c r="AX119" s="259">
        <f t="shared" si="149"/>
        <v>212965.41999999998</v>
      </c>
      <c r="AY119" s="259">
        <f t="shared" si="149"/>
        <v>-668652.64</v>
      </c>
      <c r="AZ119" s="259">
        <f t="shared" si="149"/>
        <v>-421377.13</v>
      </c>
      <c r="BA119" s="259">
        <f t="shared" si="149"/>
        <v>-348050.97</v>
      </c>
      <c r="BB119" s="259">
        <f t="shared" si="149"/>
        <v>-471049.27</v>
      </c>
      <c r="BC119" s="259">
        <f t="shared" si="149"/>
        <v>-186252.76000000004</v>
      </c>
      <c r="BD119" s="259">
        <f t="shared" si="149"/>
        <v>-394253.91</v>
      </c>
      <c r="BE119" s="259">
        <f t="shared" si="150"/>
        <v>-246890.81</v>
      </c>
      <c r="BF119" s="259">
        <f t="shared" si="150"/>
        <v>-714237.85</v>
      </c>
    </row>
    <row r="120" spans="1:58" ht="15.75" thickBot="1" x14ac:dyDescent="0.3">
      <c r="A120" s="4"/>
      <c r="B120" s="37" t="s">
        <v>41</v>
      </c>
      <c r="C120" s="100">
        <f>SUM(C115:C119)</f>
        <v>918046.67999999959</v>
      </c>
      <c r="D120" s="81">
        <f>SUM(D115:D119)</f>
        <v>-1766515.71</v>
      </c>
      <c r="E120" s="81">
        <f t="shared" ref="E120:V120" si="165">SUM(E115:E119)</f>
        <v>-2487355.35</v>
      </c>
      <c r="F120" s="81">
        <f t="shared" si="165"/>
        <v>-1979277.1400000001</v>
      </c>
      <c r="G120" s="81">
        <f t="shared" si="165"/>
        <v>-1187091.3399999999</v>
      </c>
      <c r="H120" s="81">
        <f t="shared" si="165"/>
        <v>-577026.99</v>
      </c>
      <c r="I120" s="81">
        <f t="shared" si="165"/>
        <v>-351264.81000000006</v>
      </c>
      <c r="J120" s="81">
        <f t="shared" si="165"/>
        <v>-226894.98000000004</v>
      </c>
      <c r="K120" s="81">
        <f t="shared" si="165"/>
        <v>2254409.8829999999</v>
      </c>
      <c r="L120" s="160">
        <f t="shared" si="165"/>
        <v>3847306.24</v>
      </c>
      <c r="M120" s="81">
        <f t="shared" si="165"/>
        <v>3840140.23</v>
      </c>
      <c r="N120" s="200">
        <f t="shared" si="165"/>
        <v>538504.94999999972</v>
      </c>
      <c r="O120" s="81">
        <f t="shared" si="165"/>
        <v>-895083.36000000034</v>
      </c>
      <c r="P120" s="81">
        <f t="shared" si="165"/>
        <v>223370.33000000025</v>
      </c>
      <c r="Q120" s="81">
        <f t="shared" si="165"/>
        <v>-601057.1399999999</v>
      </c>
      <c r="R120" s="81">
        <f t="shared" si="165"/>
        <v>-3854192.6800000006</v>
      </c>
      <c r="S120" s="81">
        <f>SUM(S115:S119)</f>
        <v>-1219438.57</v>
      </c>
      <c r="T120" s="81">
        <f t="shared" si="165"/>
        <v>-596995.93999999994</v>
      </c>
      <c r="U120" s="80">
        <f t="shared" si="165"/>
        <v>-494478.42999999993</v>
      </c>
      <c r="V120" s="80">
        <f t="shared" si="165"/>
        <v>-176341.49000000008</v>
      </c>
      <c r="W120" s="80">
        <f t="shared" ref="W120:AC120" si="166">SUM(W115:W119)</f>
        <v>1934681.04</v>
      </c>
      <c r="X120" s="80">
        <f t="shared" si="166"/>
        <v>3202751.5900000003</v>
      </c>
      <c r="Y120" s="80">
        <f t="shared" si="166"/>
        <v>5589690.0299999993</v>
      </c>
      <c r="Z120" s="80">
        <f t="shared" si="166"/>
        <v>3158299.3200000003</v>
      </c>
      <c r="AA120" s="80">
        <f t="shared" si="166"/>
        <v>-2938745.9800000004</v>
      </c>
      <c r="AB120" s="80">
        <f t="shared" si="166"/>
        <v>-1762531.0499999998</v>
      </c>
      <c r="AC120" s="80">
        <f t="shared" si="166"/>
        <v>-653913.1799999997</v>
      </c>
      <c r="AD120" s="80">
        <f>SUM(AD115:AD119)</f>
        <v>-3118359.5900000003</v>
      </c>
      <c r="AE120" s="78">
        <f>AE99-AE106</f>
        <v>-1338169.44</v>
      </c>
      <c r="AF120" s="78">
        <f>AF99-AF106</f>
        <v>-1274619.0099999998</v>
      </c>
      <c r="AG120" s="78">
        <f>AG99-AG106</f>
        <v>-623173.10000000009</v>
      </c>
      <c r="AH120" s="78">
        <f t="shared" ref="AH120:AI120" si="167">AH99-AH106</f>
        <v>-261004.54999999981</v>
      </c>
      <c r="AI120" s="78">
        <f t="shared" si="167"/>
        <v>-678919.08000000007</v>
      </c>
      <c r="AJ120" s="78">
        <f t="shared" ref="AJ120" si="168">AJ99-AJ106</f>
        <v>5877420.9400000004</v>
      </c>
      <c r="AK120" s="81">
        <f>SUM(AK115:AK119)</f>
        <v>1813130.0399999998</v>
      </c>
      <c r="AL120" s="81">
        <f t="shared" ref="AL120:AR120" si="169">SUM(AL115:AL119)</f>
        <v>-1989886.0399999998</v>
      </c>
      <c r="AM120" s="81">
        <f t="shared" si="169"/>
        <v>-1886298.2100000002</v>
      </c>
      <c r="AN120" s="81">
        <f t="shared" si="169"/>
        <v>1874915.54</v>
      </c>
      <c r="AO120" s="81">
        <f t="shared" si="169"/>
        <v>32347.230000000069</v>
      </c>
      <c r="AP120" s="81">
        <f t="shared" si="169"/>
        <v>19968.949999999866</v>
      </c>
      <c r="AQ120" s="80">
        <f t="shared" si="169"/>
        <v>143213.61999999985</v>
      </c>
      <c r="AR120" s="80">
        <f t="shared" si="169"/>
        <v>-50553.489999999962</v>
      </c>
      <c r="AS120" s="80">
        <f>SUM(AS115:AS119)</f>
        <v>319728.84299999982</v>
      </c>
      <c r="AT120" s="263">
        <f>SUM(AT115:AT119)</f>
        <v>644554.64999999967</v>
      </c>
      <c r="AU120" s="259">
        <f t="shared" ref="AU120:BF120" si="170">M120-Y120</f>
        <v>-1749549.7999999993</v>
      </c>
      <c r="AV120" s="259">
        <f t="shared" si="170"/>
        <v>-2619794.3700000006</v>
      </c>
      <c r="AW120" s="259">
        <f t="shared" si="170"/>
        <v>2043662.62</v>
      </c>
      <c r="AX120" s="259">
        <f t="shared" si="170"/>
        <v>1985901.3800000001</v>
      </c>
      <c r="AY120" s="259">
        <f t="shared" si="170"/>
        <v>52856.039999999804</v>
      </c>
      <c r="AZ120" s="259">
        <f t="shared" si="170"/>
        <v>-735833.09000000032</v>
      </c>
      <c r="BA120" s="259">
        <f t="shared" si="170"/>
        <v>118730.86999999988</v>
      </c>
      <c r="BB120" s="259">
        <f t="shared" si="170"/>
        <v>677623.06999999983</v>
      </c>
      <c r="BC120" s="259">
        <f t="shared" si="170"/>
        <v>128694.67000000016</v>
      </c>
      <c r="BD120" s="259">
        <f t="shared" si="170"/>
        <v>84663.059999999736</v>
      </c>
      <c r="BE120" s="259">
        <f t="shared" si="170"/>
        <v>2613600.12</v>
      </c>
      <c r="BF120" s="259">
        <f t="shared" si="170"/>
        <v>-2674669.35</v>
      </c>
    </row>
    <row r="121" spans="1:58"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320"/>
      <c r="AK121" s="64"/>
      <c r="AL121" s="65"/>
      <c r="AM121" s="66"/>
      <c r="AN121" s="66"/>
      <c r="AO121" s="66"/>
      <c r="AP121" s="66"/>
      <c r="AQ121" s="67"/>
      <c r="AR121" s="231"/>
      <c r="AS121" s="231"/>
      <c r="AT121" s="231"/>
      <c r="AU121" s="404"/>
      <c r="AV121" s="212"/>
      <c r="AW121" s="410"/>
      <c r="AX121" s="410"/>
      <c r="AY121" s="410"/>
      <c r="AZ121" s="410"/>
      <c r="BA121" s="410"/>
      <c r="BB121" s="410"/>
      <c r="BC121" s="410"/>
      <c r="BD121" s="410"/>
      <c r="BE121" s="410"/>
      <c r="BF121" s="410"/>
    </row>
    <row r="122" spans="1:58"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338">
        <v>0</v>
      </c>
      <c r="AK122" s="58">
        <f t="shared" ref="AK122:AT126" si="171">C122-O122</f>
        <v>-5</v>
      </c>
      <c r="AL122" s="58">
        <f t="shared" si="171"/>
        <v>-7</v>
      </c>
      <c r="AM122" s="58">
        <f t="shared" si="171"/>
        <v>-10</v>
      </c>
      <c r="AN122" s="58">
        <f t="shared" si="171"/>
        <v>-20</v>
      </c>
      <c r="AO122" s="58">
        <f t="shared" si="171"/>
        <v>-16</v>
      </c>
      <c r="AP122" s="58">
        <f t="shared" si="171"/>
        <v>-16</v>
      </c>
      <c r="AQ122" s="70">
        <f t="shared" si="171"/>
        <v>-16</v>
      </c>
      <c r="AR122" s="70">
        <f t="shared" si="171"/>
        <v>-11</v>
      </c>
      <c r="AS122" s="70">
        <f t="shared" si="171"/>
        <v>-23</v>
      </c>
      <c r="AT122" s="242">
        <f t="shared" si="171"/>
        <v>-33</v>
      </c>
      <c r="AU122" s="242">
        <f t="shared" ref="AU122:BD126" si="172">M122-Y122</f>
        <v>-32</v>
      </c>
      <c r="AV122" s="242">
        <f t="shared" si="172"/>
        <v>-38</v>
      </c>
      <c r="AW122" s="242">
        <f t="shared" si="172"/>
        <v>-33</v>
      </c>
      <c r="AX122" s="242">
        <f t="shared" si="172"/>
        <v>-23</v>
      </c>
      <c r="AY122" s="242">
        <f t="shared" si="172"/>
        <v>10</v>
      </c>
      <c r="AZ122" s="242">
        <f t="shared" si="172"/>
        <v>20</v>
      </c>
      <c r="BA122" s="242">
        <f t="shared" si="172"/>
        <v>16</v>
      </c>
      <c r="BB122" s="242">
        <f t="shared" si="172"/>
        <v>16</v>
      </c>
      <c r="BC122" s="242">
        <f t="shared" si="172"/>
        <v>16</v>
      </c>
      <c r="BD122" s="242">
        <f t="shared" si="172"/>
        <v>12</v>
      </c>
      <c r="BE122" s="242">
        <f t="shared" ref="BE122:BN126" si="173">W122-AI122</f>
        <v>25</v>
      </c>
      <c r="BF122" s="242">
        <f t="shared" si="173"/>
        <v>36</v>
      </c>
    </row>
    <row r="123" spans="1:58"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338">
        <v>465</v>
      </c>
      <c r="AK123" s="58">
        <f t="shared" si="171"/>
        <v>39</v>
      </c>
      <c r="AL123" s="58">
        <f t="shared" si="171"/>
        <v>36</v>
      </c>
      <c r="AM123" s="58">
        <f t="shared" si="171"/>
        <v>56</v>
      </c>
      <c r="AN123" s="58">
        <f t="shared" si="171"/>
        <v>-659</v>
      </c>
      <c r="AO123" s="58">
        <f t="shared" si="171"/>
        <v>-1136</v>
      </c>
      <c r="AP123" s="58">
        <f t="shared" si="171"/>
        <v>-931</v>
      </c>
      <c r="AQ123" s="70">
        <f t="shared" si="171"/>
        <v>-575</v>
      </c>
      <c r="AR123" s="70">
        <f t="shared" si="171"/>
        <v>-687</v>
      </c>
      <c r="AS123" s="70">
        <f t="shared" si="171"/>
        <v>-603</v>
      </c>
      <c r="AT123" s="242">
        <f t="shared" si="171"/>
        <v>-458</v>
      </c>
      <c r="AU123" s="242">
        <f t="shared" si="172"/>
        <v>-357</v>
      </c>
      <c r="AV123" s="242">
        <f t="shared" si="172"/>
        <v>-427</v>
      </c>
      <c r="AW123" s="242">
        <f t="shared" si="172"/>
        <v>-375</v>
      </c>
      <c r="AX123" s="242">
        <f t="shared" si="172"/>
        <v>-285</v>
      </c>
      <c r="AY123" s="242">
        <f t="shared" si="172"/>
        <v>-111</v>
      </c>
      <c r="AZ123" s="242">
        <f t="shared" si="172"/>
        <v>-216</v>
      </c>
      <c r="BA123" s="242">
        <f t="shared" si="172"/>
        <v>63</v>
      </c>
      <c r="BB123" s="242">
        <f t="shared" si="172"/>
        <v>-231</v>
      </c>
      <c r="BC123" s="242">
        <f t="shared" si="172"/>
        <v>-374</v>
      </c>
      <c r="BD123" s="242">
        <f t="shared" si="172"/>
        <v>-9</v>
      </c>
      <c r="BE123" s="242">
        <f t="shared" si="173"/>
        <v>9</v>
      </c>
      <c r="BF123" s="242">
        <f t="shared" si="173"/>
        <v>70</v>
      </c>
    </row>
    <row r="124" spans="1:58"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338">
        <v>0</v>
      </c>
      <c r="AK124" s="58">
        <f t="shared" si="171"/>
        <v>0</v>
      </c>
      <c r="AL124" s="58">
        <f t="shared" si="171"/>
        <v>0</v>
      </c>
      <c r="AM124" s="58">
        <f t="shared" si="171"/>
        <v>0</v>
      </c>
      <c r="AN124" s="58">
        <f t="shared" si="171"/>
        <v>0</v>
      </c>
      <c r="AO124" s="58">
        <f t="shared" si="171"/>
        <v>0</v>
      </c>
      <c r="AP124" s="58">
        <f t="shared" si="171"/>
        <v>0</v>
      </c>
      <c r="AQ124" s="57">
        <f t="shared" si="171"/>
        <v>0</v>
      </c>
      <c r="AR124" s="70">
        <f t="shared" si="171"/>
        <v>0</v>
      </c>
      <c r="AS124" s="70">
        <f t="shared" si="171"/>
        <v>0</v>
      </c>
      <c r="AT124" s="242">
        <f t="shared" si="171"/>
        <v>0</v>
      </c>
      <c r="AU124" s="242">
        <f t="shared" si="172"/>
        <v>0</v>
      </c>
      <c r="AV124" s="242">
        <f t="shared" si="172"/>
        <v>0</v>
      </c>
      <c r="AW124" s="242">
        <f t="shared" si="172"/>
        <v>0</v>
      </c>
      <c r="AX124" s="242">
        <f t="shared" si="172"/>
        <v>0</v>
      </c>
      <c r="AY124" s="242">
        <f t="shared" si="172"/>
        <v>0</v>
      </c>
      <c r="AZ124" s="242">
        <f t="shared" si="172"/>
        <v>0</v>
      </c>
      <c r="BA124" s="242">
        <f t="shared" si="172"/>
        <v>0</v>
      </c>
      <c r="BB124" s="242">
        <f t="shared" si="172"/>
        <v>0</v>
      </c>
      <c r="BC124" s="242">
        <f t="shared" si="172"/>
        <v>0</v>
      </c>
      <c r="BD124" s="242">
        <f t="shared" si="172"/>
        <v>0</v>
      </c>
      <c r="BE124" s="242">
        <f t="shared" si="173"/>
        <v>0</v>
      </c>
      <c r="BF124" s="242">
        <f t="shared" si="173"/>
        <v>0</v>
      </c>
    </row>
    <row r="125" spans="1:58"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338">
        <v>0</v>
      </c>
      <c r="AK125" s="58">
        <f t="shared" si="171"/>
        <v>0</v>
      </c>
      <c r="AL125" s="58">
        <f t="shared" si="171"/>
        <v>0</v>
      </c>
      <c r="AM125" s="58">
        <f t="shared" si="171"/>
        <v>0</v>
      </c>
      <c r="AN125" s="58">
        <f t="shared" si="171"/>
        <v>0</v>
      </c>
      <c r="AO125" s="58">
        <f t="shared" si="171"/>
        <v>0</v>
      </c>
      <c r="AP125" s="58">
        <f t="shared" si="171"/>
        <v>0</v>
      </c>
      <c r="AQ125" s="57">
        <f t="shared" si="171"/>
        <v>0</v>
      </c>
      <c r="AR125" s="70">
        <f t="shared" si="171"/>
        <v>0</v>
      </c>
      <c r="AS125" s="70">
        <f t="shared" si="171"/>
        <v>0</v>
      </c>
      <c r="AT125" s="242">
        <f t="shared" si="171"/>
        <v>0</v>
      </c>
      <c r="AU125" s="242">
        <f t="shared" si="172"/>
        <v>0</v>
      </c>
      <c r="AV125" s="242">
        <f t="shared" si="172"/>
        <v>0</v>
      </c>
      <c r="AW125" s="242">
        <f t="shared" si="172"/>
        <v>0</v>
      </c>
      <c r="AX125" s="242">
        <f t="shared" si="172"/>
        <v>0</v>
      </c>
      <c r="AY125" s="242">
        <f t="shared" si="172"/>
        <v>0</v>
      </c>
      <c r="AZ125" s="242">
        <f t="shared" si="172"/>
        <v>0</v>
      </c>
      <c r="BA125" s="242">
        <f t="shared" si="172"/>
        <v>0</v>
      </c>
      <c r="BB125" s="242">
        <f t="shared" si="172"/>
        <v>0</v>
      </c>
      <c r="BC125" s="242">
        <f t="shared" si="172"/>
        <v>0</v>
      </c>
      <c r="BD125" s="242">
        <f t="shared" si="172"/>
        <v>0</v>
      </c>
      <c r="BE125" s="242">
        <f t="shared" si="173"/>
        <v>0</v>
      </c>
      <c r="BF125" s="242">
        <f t="shared" si="173"/>
        <v>0</v>
      </c>
    </row>
    <row r="126" spans="1:58"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338">
        <v>0</v>
      </c>
      <c r="AK126" s="58">
        <f t="shared" si="171"/>
        <v>0</v>
      </c>
      <c r="AL126" s="58">
        <f t="shared" si="171"/>
        <v>0</v>
      </c>
      <c r="AM126" s="58">
        <f t="shared" si="171"/>
        <v>0</v>
      </c>
      <c r="AN126" s="58">
        <f t="shared" si="171"/>
        <v>0</v>
      </c>
      <c r="AO126" s="58">
        <f t="shared" si="171"/>
        <v>0</v>
      </c>
      <c r="AP126" s="58">
        <f t="shared" si="171"/>
        <v>0</v>
      </c>
      <c r="AQ126" s="57">
        <f t="shared" si="171"/>
        <v>0</v>
      </c>
      <c r="AR126" s="70">
        <f t="shared" si="171"/>
        <v>0</v>
      </c>
      <c r="AS126" s="70">
        <f t="shared" si="171"/>
        <v>0</v>
      </c>
      <c r="AT126" s="242">
        <f t="shared" si="171"/>
        <v>0</v>
      </c>
      <c r="AU126" s="242">
        <f t="shared" si="172"/>
        <v>0</v>
      </c>
      <c r="AV126" s="242">
        <f t="shared" si="172"/>
        <v>0</v>
      </c>
      <c r="AW126" s="242">
        <f t="shared" si="172"/>
        <v>0</v>
      </c>
      <c r="AX126" s="242">
        <f t="shared" si="172"/>
        <v>0</v>
      </c>
      <c r="AY126" s="242">
        <f t="shared" si="172"/>
        <v>0</v>
      </c>
      <c r="AZ126" s="242">
        <f t="shared" si="172"/>
        <v>0</v>
      </c>
      <c r="BA126" s="242">
        <f t="shared" si="172"/>
        <v>0</v>
      </c>
      <c r="BB126" s="242">
        <f t="shared" si="172"/>
        <v>0</v>
      </c>
      <c r="BC126" s="242">
        <f t="shared" si="172"/>
        <v>0</v>
      </c>
      <c r="BD126" s="242">
        <f t="shared" si="172"/>
        <v>0</v>
      </c>
      <c r="BE126" s="242">
        <f t="shared" si="173"/>
        <v>0</v>
      </c>
      <c r="BF126" s="242">
        <f t="shared" si="173"/>
        <v>0</v>
      </c>
    </row>
    <row r="127" spans="1:58" x14ac:dyDescent="0.25">
      <c r="A127" s="4"/>
      <c r="B127" s="35" t="s">
        <v>41</v>
      </c>
      <c r="C127" s="131">
        <f t="shared" ref="C127:AC127" si="174">SUM(C122:C126)</f>
        <v>97</v>
      </c>
      <c r="D127" s="58">
        <f t="shared" si="174"/>
        <v>113</v>
      </c>
      <c r="E127" s="58">
        <f t="shared" si="174"/>
        <v>132</v>
      </c>
      <c r="F127" s="58">
        <f t="shared" si="174"/>
        <v>139</v>
      </c>
      <c r="G127" s="58">
        <f t="shared" si="174"/>
        <v>117</v>
      </c>
      <c r="H127" s="58">
        <f t="shared" si="174"/>
        <v>119</v>
      </c>
      <c r="I127" s="58">
        <f t="shared" si="174"/>
        <v>106</v>
      </c>
      <c r="J127" s="58">
        <f t="shared" si="174"/>
        <v>110</v>
      </c>
      <c r="K127" s="58">
        <f t="shared" si="174"/>
        <v>95</v>
      </c>
      <c r="L127" s="130">
        <f t="shared" si="174"/>
        <v>80</v>
      </c>
      <c r="M127" s="58">
        <f t="shared" si="174"/>
        <v>73</v>
      </c>
      <c r="N127" s="58">
        <f t="shared" si="174"/>
        <v>61</v>
      </c>
      <c r="O127" s="58">
        <f t="shared" si="174"/>
        <v>63</v>
      </c>
      <c r="P127" s="58">
        <f t="shared" si="174"/>
        <v>84</v>
      </c>
      <c r="Q127" s="58">
        <f t="shared" si="174"/>
        <v>86</v>
      </c>
      <c r="R127" s="58">
        <f t="shared" si="174"/>
        <v>818</v>
      </c>
      <c r="S127" s="58">
        <f t="shared" si="174"/>
        <v>1269</v>
      </c>
      <c r="T127" s="58">
        <f t="shared" si="174"/>
        <v>1066</v>
      </c>
      <c r="U127" s="70">
        <f t="shared" si="174"/>
        <v>697</v>
      </c>
      <c r="V127" s="70">
        <f t="shared" si="174"/>
        <v>808</v>
      </c>
      <c r="W127" s="70">
        <f t="shared" si="174"/>
        <v>721</v>
      </c>
      <c r="X127" s="70">
        <f t="shared" si="174"/>
        <v>571</v>
      </c>
      <c r="Y127" s="70">
        <f t="shared" si="174"/>
        <v>462</v>
      </c>
      <c r="Z127" s="70">
        <f t="shared" si="174"/>
        <v>526</v>
      </c>
      <c r="AA127" s="70">
        <f t="shared" si="174"/>
        <v>471</v>
      </c>
      <c r="AB127" s="70">
        <f t="shared" si="174"/>
        <v>392</v>
      </c>
      <c r="AC127" s="70">
        <f t="shared" si="174"/>
        <v>187</v>
      </c>
      <c r="AD127" s="70">
        <f t="shared" ref="AD127:AI127" si="175">SUM(AD122:AD126)</f>
        <v>1014</v>
      </c>
      <c r="AE127" s="70">
        <f t="shared" si="175"/>
        <v>1190</v>
      </c>
      <c r="AF127" s="70">
        <f t="shared" si="175"/>
        <v>1281</v>
      </c>
      <c r="AG127" s="70">
        <f t="shared" si="175"/>
        <v>1055</v>
      </c>
      <c r="AH127" s="70">
        <f t="shared" si="175"/>
        <v>805</v>
      </c>
      <c r="AI127" s="70">
        <f t="shared" si="175"/>
        <v>687</v>
      </c>
      <c r="AJ127" s="70">
        <f t="shared" ref="AJ127" si="176">SUM(AJ122:AJ126)</f>
        <v>465</v>
      </c>
      <c r="AK127" s="58">
        <f t="shared" ref="AK127:AT127" si="177">SUM(AK122:AK126)</f>
        <v>34</v>
      </c>
      <c r="AL127" s="58">
        <f t="shared" si="177"/>
        <v>29</v>
      </c>
      <c r="AM127" s="58">
        <f t="shared" si="177"/>
        <v>46</v>
      </c>
      <c r="AN127" s="58">
        <f t="shared" si="177"/>
        <v>-679</v>
      </c>
      <c r="AO127" s="58">
        <f t="shared" si="177"/>
        <v>-1152</v>
      </c>
      <c r="AP127" s="58">
        <f t="shared" si="177"/>
        <v>-947</v>
      </c>
      <c r="AQ127" s="57">
        <f t="shared" si="177"/>
        <v>-591</v>
      </c>
      <c r="AR127" s="57">
        <f t="shared" si="177"/>
        <v>-698</v>
      </c>
      <c r="AS127" s="57">
        <f t="shared" si="177"/>
        <v>-626</v>
      </c>
      <c r="AT127" s="264">
        <f t="shared" si="177"/>
        <v>-491</v>
      </c>
      <c r="AU127" s="242">
        <f t="shared" ref="AU127:BF127" si="178">M127-Y127</f>
        <v>-389</v>
      </c>
      <c r="AV127" s="242">
        <f t="shared" si="178"/>
        <v>-465</v>
      </c>
      <c r="AW127" s="242">
        <f t="shared" si="178"/>
        <v>-408</v>
      </c>
      <c r="AX127" s="242">
        <f t="shared" si="178"/>
        <v>-308</v>
      </c>
      <c r="AY127" s="242">
        <f t="shared" si="178"/>
        <v>-101</v>
      </c>
      <c r="AZ127" s="242">
        <f t="shared" si="178"/>
        <v>-196</v>
      </c>
      <c r="BA127" s="242">
        <f t="shared" si="178"/>
        <v>79</v>
      </c>
      <c r="BB127" s="242">
        <f t="shared" si="178"/>
        <v>-215</v>
      </c>
      <c r="BC127" s="242">
        <f t="shared" si="178"/>
        <v>-358</v>
      </c>
      <c r="BD127" s="242">
        <f t="shared" si="178"/>
        <v>3</v>
      </c>
      <c r="BE127" s="242">
        <f t="shared" si="178"/>
        <v>34</v>
      </c>
      <c r="BF127" s="242">
        <f t="shared" si="178"/>
        <v>106</v>
      </c>
    </row>
    <row r="128" spans="1:58"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265"/>
      <c r="AK128" s="133"/>
      <c r="AL128" s="133"/>
      <c r="AM128" s="66"/>
      <c r="AN128" s="133"/>
      <c r="AO128" s="66"/>
      <c r="AP128" s="133"/>
      <c r="AQ128" s="134"/>
      <c r="AR128" s="231"/>
      <c r="AS128" s="231"/>
      <c r="AT128" s="231"/>
      <c r="AU128" s="404"/>
      <c r="AV128" s="212"/>
      <c r="AW128" s="410"/>
      <c r="AX128" s="410"/>
      <c r="AY128" s="410"/>
      <c r="AZ128" s="410"/>
      <c r="BA128" s="410"/>
      <c r="BB128" s="410"/>
      <c r="BC128" s="410"/>
      <c r="BD128" s="410"/>
      <c r="BE128" s="410"/>
      <c r="BF128" s="410"/>
    </row>
    <row r="129" spans="1:75"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230">
        <v>0</v>
      </c>
      <c r="AK129" s="398">
        <f t="shared" ref="AK129:AT133" si="179">C129-O129</f>
        <v>20</v>
      </c>
      <c r="AL129" s="137">
        <f t="shared" si="179"/>
        <v>584</v>
      </c>
      <c r="AM129" s="137">
        <f t="shared" si="179"/>
        <v>657</v>
      </c>
      <c r="AN129" s="137">
        <f t="shared" si="179"/>
        <v>312</v>
      </c>
      <c r="AO129" s="137">
        <f t="shared" si="179"/>
        <v>164</v>
      </c>
      <c r="AP129" s="137">
        <f t="shared" si="179"/>
        <v>342</v>
      </c>
      <c r="AQ129" s="137">
        <f t="shared" si="179"/>
        <v>213</v>
      </c>
      <c r="AR129" s="137">
        <f t="shared" si="179"/>
        <v>171</v>
      </c>
      <c r="AS129" s="137">
        <f t="shared" si="179"/>
        <v>39</v>
      </c>
      <c r="AT129" s="230">
        <f t="shared" si="179"/>
        <v>8</v>
      </c>
      <c r="AU129" s="230">
        <f t="shared" ref="AU129:BD133" si="180">M129-Y129</f>
        <v>4</v>
      </c>
      <c r="AV129" s="230">
        <f t="shared" si="180"/>
        <v>4</v>
      </c>
      <c r="AW129" s="230">
        <f t="shared" si="180"/>
        <v>1</v>
      </c>
      <c r="AX129" s="230">
        <f t="shared" si="180"/>
        <v>0</v>
      </c>
      <c r="AY129" s="230">
        <f t="shared" si="180"/>
        <v>0</v>
      </c>
      <c r="AZ129" s="230">
        <f t="shared" si="180"/>
        <v>0</v>
      </c>
      <c r="BA129" s="230">
        <f t="shared" si="180"/>
        <v>0</v>
      </c>
      <c r="BB129" s="230">
        <f t="shared" si="180"/>
        <v>-27</v>
      </c>
      <c r="BC129" s="230">
        <f t="shared" si="180"/>
        <v>-550</v>
      </c>
      <c r="BD129" s="230">
        <f t="shared" si="180"/>
        <v>-197</v>
      </c>
      <c r="BE129" s="230">
        <f t="shared" ref="BE129:BN133" si="181">W129-AI129</f>
        <v>-21</v>
      </c>
      <c r="BF129" s="230">
        <f t="shared" si="181"/>
        <v>0</v>
      </c>
    </row>
    <row r="130" spans="1:75"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230">
        <v>0</v>
      </c>
      <c r="AK130" s="398">
        <f t="shared" si="179"/>
        <v>0</v>
      </c>
      <c r="AL130" s="137">
        <f t="shared" si="179"/>
        <v>0</v>
      </c>
      <c r="AM130" s="137">
        <f t="shared" si="179"/>
        <v>84</v>
      </c>
      <c r="AN130" s="137">
        <f t="shared" si="179"/>
        <v>83</v>
      </c>
      <c r="AO130" s="137">
        <f t="shared" si="179"/>
        <v>66</v>
      </c>
      <c r="AP130" s="137">
        <f t="shared" si="179"/>
        <v>125</v>
      </c>
      <c r="AQ130" s="137">
        <f t="shared" si="179"/>
        <v>114</v>
      </c>
      <c r="AR130" s="137">
        <f t="shared" si="179"/>
        <v>80</v>
      </c>
      <c r="AS130" s="137">
        <f t="shared" si="179"/>
        <v>22</v>
      </c>
      <c r="AT130" s="230">
        <f t="shared" si="179"/>
        <v>0</v>
      </c>
      <c r="AU130" s="230">
        <f t="shared" si="180"/>
        <v>0</v>
      </c>
      <c r="AV130" s="230">
        <f t="shared" si="180"/>
        <v>0</v>
      </c>
      <c r="AW130" s="230">
        <f t="shared" si="180"/>
        <v>0</v>
      </c>
      <c r="AX130" s="230">
        <f t="shared" si="180"/>
        <v>0</v>
      </c>
      <c r="AY130" s="230">
        <f t="shared" si="180"/>
        <v>0</v>
      </c>
      <c r="AZ130" s="230">
        <f t="shared" si="180"/>
        <v>0</v>
      </c>
      <c r="BA130" s="230">
        <f t="shared" si="180"/>
        <v>0</v>
      </c>
      <c r="BB130" s="230">
        <f t="shared" si="180"/>
        <v>-6</v>
      </c>
      <c r="BC130" s="230">
        <f t="shared" si="180"/>
        <v>-155</v>
      </c>
      <c r="BD130" s="230">
        <f t="shared" si="180"/>
        <v>-55</v>
      </c>
      <c r="BE130" s="230">
        <f t="shared" si="181"/>
        <v>-5</v>
      </c>
      <c r="BF130" s="230">
        <f t="shared" si="181"/>
        <v>0</v>
      </c>
    </row>
    <row r="131" spans="1:75"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230">
        <v>1</v>
      </c>
      <c r="AK131" s="230">
        <f t="shared" si="179"/>
        <v>14</v>
      </c>
      <c r="AL131" s="137">
        <f t="shared" si="179"/>
        <v>28</v>
      </c>
      <c r="AM131" s="137">
        <f t="shared" si="179"/>
        <v>22</v>
      </c>
      <c r="AN131" s="137">
        <f t="shared" si="179"/>
        <v>18</v>
      </c>
      <c r="AO131" s="137">
        <f t="shared" si="179"/>
        <v>5</v>
      </c>
      <c r="AP131" s="137">
        <f t="shared" si="179"/>
        <v>5</v>
      </c>
      <c r="AQ131" s="141">
        <f t="shared" si="179"/>
        <v>-36</v>
      </c>
      <c r="AR131" s="137">
        <f t="shared" si="179"/>
        <v>-5</v>
      </c>
      <c r="AS131" s="137">
        <f t="shared" si="179"/>
        <v>0</v>
      </c>
      <c r="AT131" s="230">
        <f t="shared" si="179"/>
        <v>0</v>
      </c>
      <c r="AU131" s="230">
        <f t="shared" si="180"/>
        <v>-1</v>
      </c>
      <c r="AV131" s="230">
        <f t="shared" si="180"/>
        <v>10</v>
      </c>
      <c r="AW131" s="230">
        <f t="shared" si="180"/>
        <v>3</v>
      </c>
      <c r="AX131" s="230">
        <f t="shared" si="180"/>
        <v>0</v>
      </c>
      <c r="AY131" s="230">
        <f t="shared" si="180"/>
        <v>0</v>
      </c>
      <c r="AZ131" s="230">
        <f t="shared" si="180"/>
        <v>0</v>
      </c>
      <c r="BA131" s="230">
        <f t="shared" si="180"/>
        <v>0</v>
      </c>
      <c r="BB131" s="230">
        <f t="shared" si="180"/>
        <v>-6</v>
      </c>
      <c r="BC131" s="230">
        <f t="shared" si="180"/>
        <v>25</v>
      </c>
      <c r="BD131" s="230">
        <f t="shared" si="180"/>
        <v>5</v>
      </c>
      <c r="BE131" s="230">
        <f t="shared" si="181"/>
        <v>-6</v>
      </c>
      <c r="BF131" s="230">
        <f t="shared" si="181"/>
        <v>-1</v>
      </c>
    </row>
    <row r="132" spans="1:75"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230">
        <v>2</v>
      </c>
      <c r="AK132" s="230">
        <f t="shared" si="179"/>
        <v>0</v>
      </c>
      <c r="AL132" s="137">
        <f t="shared" si="179"/>
        <v>0</v>
      </c>
      <c r="AM132" s="137">
        <f t="shared" si="179"/>
        <v>0</v>
      </c>
      <c r="AN132" s="137">
        <f t="shared" si="179"/>
        <v>0</v>
      </c>
      <c r="AO132" s="137">
        <f t="shared" si="179"/>
        <v>0</v>
      </c>
      <c r="AP132" s="137">
        <f t="shared" si="179"/>
        <v>0</v>
      </c>
      <c r="AQ132" s="141">
        <f t="shared" si="179"/>
        <v>-3</v>
      </c>
      <c r="AR132" s="137">
        <f t="shared" si="179"/>
        <v>0</v>
      </c>
      <c r="AS132" s="137">
        <f t="shared" si="179"/>
        <v>0</v>
      </c>
      <c r="AT132" s="230">
        <f t="shared" si="179"/>
        <v>0</v>
      </c>
      <c r="AU132" s="230">
        <f t="shared" si="180"/>
        <v>-2</v>
      </c>
      <c r="AV132" s="230">
        <f t="shared" si="180"/>
        <v>0</v>
      </c>
      <c r="AW132" s="230">
        <f t="shared" si="180"/>
        <v>-1</v>
      </c>
      <c r="AX132" s="230">
        <f t="shared" si="180"/>
        <v>0</v>
      </c>
      <c r="AY132" s="230">
        <f t="shared" si="180"/>
        <v>0</v>
      </c>
      <c r="AZ132" s="230">
        <f t="shared" si="180"/>
        <v>0</v>
      </c>
      <c r="BA132" s="230">
        <f t="shared" si="180"/>
        <v>0</v>
      </c>
      <c r="BB132" s="230">
        <f t="shared" si="180"/>
        <v>0</v>
      </c>
      <c r="BC132" s="230">
        <f t="shared" si="180"/>
        <v>-1</v>
      </c>
      <c r="BD132" s="230">
        <f t="shared" si="180"/>
        <v>-1</v>
      </c>
      <c r="BE132" s="230">
        <f t="shared" si="181"/>
        <v>0</v>
      </c>
      <c r="BF132" s="230">
        <f t="shared" si="181"/>
        <v>-2</v>
      </c>
    </row>
    <row r="133" spans="1:75"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230">
        <v>0</v>
      </c>
      <c r="AK133" s="230">
        <f t="shared" si="179"/>
        <v>0</v>
      </c>
      <c r="AL133" s="137">
        <f t="shared" si="179"/>
        <v>0</v>
      </c>
      <c r="AM133" s="137">
        <f t="shared" si="179"/>
        <v>0</v>
      </c>
      <c r="AN133" s="137">
        <f t="shared" si="179"/>
        <v>0</v>
      </c>
      <c r="AO133" s="137">
        <f t="shared" si="179"/>
        <v>0</v>
      </c>
      <c r="AP133" s="137">
        <f t="shared" si="179"/>
        <v>0</v>
      </c>
      <c r="AQ133" s="141">
        <f t="shared" si="179"/>
        <v>-1</v>
      </c>
      <c r="AR133" s="137">
        <f t="shared" si="179"/>
        <v>0</v>
      </c>
      <c r="AS133" s="137">
        <f t="shared" si="179"/>
        <v>0</v>
      </c>
      <c r="AT133" s="230">
        <f t="shared" si="179"/>
        <v>0</v>
      </c>
      <c r="AU133" s="230">
        <f t="shared" si="180"/>
        <v>0</v>
      </c>
      <c r="AV133" s="230">
        <f t="shared" si="180"/>
        <v>0</v>
      </c>
      <c r="AW133" s="230">
        <f t="shared" si="180"/>
        <v>0</v>
      </c>
      <c r="AX133" s="230">
        <f t="shared" si="180"/>
        <v>0</v>
      </c>
      <c r="AY133" s="230">
        <f t="shared" si="180"/>
        <v>0</v>
      </c>
      <c r="AZ133" s="230">
        <f t="shared" si="180"/>
        <v>0</v>
      </c>
      <c r="BA133" s="230">
        <f t="shared" si="180"/>
        <v>0</v>
      </c>
      <c r="BB133" s="230">
        <f t="shared" si="180"/>
        <v>0</v>
      </c>
      <c r="BC133" s="230">
        <f t="shared" si="180"/>
        <v>1</v>
      </c>
      <c r="BD133" s="230">
        <f t="shared" si="180"/>
        <v>0</v>
      </c>
      <c r="BE133" s="230">
        <f t="shared" si="181"/>
        <v>0</v>
      </c>
      <c r="BF133" s="230">
        <f t="shared" si="181"/>
        <v>0</v>
      </c>
    </row>
    <row r="134" spans="1:75" x14ac:dyDescent="0.25">
      <c r="A134" s="4"/>
      <c r="B134" s="35" t="s">
        <v>41</v>
      </c>
      <c r="C134" s="140">
        <f t="shared" ref="C134:AC134" si="182">SUM(C129:C133)</f>
        <v>40</v>
      </c>
      <c r="D134" s="137">
        <f t="shared" si="182"/>
        <v>612</v>
      </c>
      <c r="E134" s="137">
        <f t="shared" si="182"/>
        <v>763</v>
      </c>
      <c r="F134" s="137">
        <f t="shared" si="182"/>
        <v>413</v>
      </c>
      <c r="G134" s="137">
        <f t="shared" si="182"/>
        <v>235</v>
      </c>
      <c r="H134" s="137">
        <f t="shared" si="182"/>
        <v>472</v>
      </c>
      <c r="I134" s="137">
        <f t="shared" si="182"/>
        <v>331</v>
      </c>
      <c r="J134" s="137">
        <f t="shared" si="182"/>
        <v>256</v>
      </c>
      <c r="K134" s="137">
        <f t="shared" si="182"/>
        <v>61</v>
      </c>
      <c r="L134" s="230">
        <f t="shared" si="182"/>
        <v>8</v>
      </c>
      <c r="M134" s="73">
        <f t="shared" si="182"/>
        <v>7</v>
      </c>
      <c r="N134" s="73">
        <f t="shared" si="182"/>
        <v>14</v>
      </c>
      <c r="O134" s="73">
        <f t="shared" si="182"/>
        <v>6</v>
      </c>
      <c r="P134" s="73">
        <f t="shared" si="182"/>
        <v>0</v>
      </c>
      <c r="Q134" s="73">
        <f t="shared" si="182"/>
        <v>0</v>
      </c>
      <c r="R134" s="73">
        <f t="shared" si="182"/>
        <v>0</v>
      </c>
      <c r="S134" s="73">
        <f t="shared" si="182"/>
        <v>0</v>
      </c>
      <c r="T134" s="73">
        <f t="shared" si="182"/>
        <v>0</v>
      </c>
      <c r="U134" s="74">
        <f t="shared" si="182"/>
        <v>44</v>
      </c>
      <c r="V134" s="74">
        <f t="shared" si="182"/>
        <v>10</v>
      </c>
      <c r="W134" s="74">
        <f t="shared" si="182"/>
        <v>0</v>
      </c>
      <c r="X134" s="74">
        <f t="shared" si="182"/>
        <v>0</v>
      </c>
      <c r="Y134" s="74">
        <f t="shared" si="182"/>
        <v>6</v>
      </c>
      <c r="Z134" s="74">
        <f t="shared" si="182"/>
        <v>0</v>
      </c>
      <c r="AA134" s="74">
        <f t="shared" si="182"/>
        <v>3</v>
      </c>
      <c r="AB134" s="74">
        <f t="shared" si="182"/>
        <v>0</v>
      </c>
      <c r="AC134" s="74">
        <f t="shared" si="182"/>
        <v>0</v>
      </c>
      <c r="AD134" s="74">
        <f t="shared" ref="AD134:AI134" si="183">SUM(AD129:AD133)</f>
        <v>0</v>
      </c>
      <c r="AE134" s="74">
        <f t="shared" si="183"/>
        <v>0</v>
      </c>
      <c r="AF134" s="74">
        <f t="shared" si="183"/>
        <v>39</v>
      </c>
      <c r="AG134" s="74">
        <f t="shared" si="183"/>
        <v>724</v>
      </c>
      <c r="AH134" s="74">
        <f t="shared" si="183"/>
        <v>258</v>
      </c>
      <c r="AI134" s="74">
        <f t="shared" si="183"/>
        <v>32</v>
      </c>
      <c r="AJ134" s="74">
        <f t="shared" ref="AJ134" si="184">SUM(AJ129:AJ133)</f>
        <v>3</v>
      </c>
      <c r="AK134" s="230">
        <f t="shared" ref="AK134:AT134" si="185">SUM(AK129:AK133)</f>
        <v>34</v>
      </c>
      <c r="AL134" s="137">
        <f t="shared" si="185"/>
        <v>612</v>
      </c>
      <c r="AM134" s="137">
        <f t="shared" si="185"/>
        <v>763</v>
      </c>
      <c r="AN134" s="137">
        <f t="shared" si="185"/>
        <v>413</v>
      </c>
      <c r="AO134" s="137">
        <f t="shared" si="185"/>
        <v>235</v>
      </c>
      <c r="AP134" s="137">
        <f t="shared" si="185"/>
        <v>472</v>
      </c>
      <c r="AQ134" s="141">
        <f t="shared" si="185"/>
        <v>287</v>
      </c>
      <c r="AR134" s="141">
        <f t="shared" si="185"/>
        <v>246</v>
      </c>
      <c r="AS134" s="141">
        <f t="shared" si="185"/>
        <v>61</v>
      </c>
      <c r="AT134" s="266">
        <f t="shared" si="185"/>
        <v>8</v>
      </c>
      <c r="AU134" s="230">
        <f t="shared" ref="AU134:BF134" si="186">M134-Y134</f>
        <v>1</v>
      </c>
      <c r="AV134" s="230">
        <f t="shared" si="186"/>
        <v>14</v>
      </c>
      <c r="AW134" s="230">
        <f t="shared" si="186"/>
        <v>3</v>
      </c>
      <c r="AX134" s="230">
        <f t="shared" si="186"/>
        <v>0</v>
      </c>
      <c r="AY134" s="230">
        <f t="shared" si="186"/>
        <v>0</v>
      </c>
      <c r="AZ134" s="230">
        <f t="shared" si="186"/>
        <v>0</v>
      </c>
      <c r="BA134" s="230">
        <f t="shared" si="186"/>
        <v>0</v>
      </c>
      <c r="BB134" s="230">
        <f t="shared" si="186"/>
        <v>-39</v>
      </c>
      <c r="BC134" s="230">
        <f t="shared" si="186"/>
        <v>-680</v>
      </c>
      <c r="BD134" s="230">
        <f t="shared" si="186"/>
        <v>-248</v>
      </c>
      <c r="BE134" s="230">
        <f t="shared" si="186"/>
        <v>-32</v>
      </c>
      <c r="BF134" s="230">
        <f t="shared" si="186"/>
        <v>-3</v>
      </c>
    </row>
    <row r="135" spans="1:75"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231"/>
      <c r="AK135" s="142"/>
      <c r="AL135" s="142"/>
      <c r="AM135" s="128"/>
      <c r="AN135" s="142"/>
      <c r="AO135" s="128"/>
      <c r="AP135" s="142"/>
      <c r="AQ135" s="145"/>
      <c r="AR135" s="231"/>
      <c r="AS135" s="231"/>
      <c r="AT135" s="231"/>
      <c r="AU135" s="404"/>
      <c r="AV135" s="212"/>
      <c r="AW135" s="410"/>
      <c r="AX135" s="410"/>
      <c r="AY135" s="410"/>
      <c r="AZ135" s="410"/>
      <c r="BA135" s="410"/>
      <c r="BB135" s="410"/>
      <c r="BC135" s="410"/>
      <c r="BD135" s="410"/>
      <c r="BE135" s="410"/>
      <c r="BF135" s="410"/>
    </row>
    <row r="136" spans="1:75"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231">
        <f>2+197</f>
        <v>199</v>
      </c>
      <c r="AK136" s="232">
        <f t="shared" ref="AK136:AT140" si="187">C136-O136</f>
        <v>196</v>
      </c>
      <c r="AL136" s="148">
        <f t="shared" si="187"/>
        <v>593</v>
      </c>
      <c r="AM136" s="148">
        <f t="shared" si="187"/>
        <v>710</v>
      </c>
      <c r="AN136" s="148">
        <f t="shared" si="187"/>
        <v>633</v>
      </c>
      <c r="AO136" s="148">
        <f t="shared" si="187"/>
        <v>496</v>
      </c>
      <c r="AP136" s="148">
        <f t="shared" si="187"/>
        <v>333</v>
      </c>
      <c r="AQ136" s="150">
        <f t="shared" si="187"/>
        <v>192</v>
      </c>
      <c r="AR136" s="150">
        <f t="shared" si="187"/>
        <v>10</v>
      </c>
      <c r="AS136" s="150">
        <f t="shared" si="187"/>
        <v>-223</v>
      </c>
      <c r="AT136" s="268">
        <f t="shared" si="187"/>
        <v>-90</v>
      </c>
      <c r="AU136" s="268">
        <f t="shared" ref="AU136:BD140" si="188">M136-Y136</f>
        <v>40</v>
      </c>
      <c r="AV136" s="268">
        <f t="shared" si="188"/>
        <v>218</v>
      </c>
      <c r="AW136" s="268">
        <f t="shared" si="188"/>
        <v>174</v>
      </c>
      <c r="AX136" s="268">
        <f t="shared" si="188"/>
        <v>-40</v>
      </c>
      <c r="AY136" s="268">
        <f t="shared" si="188"/>
        <v>-128</v>
      </c>
      <c r="AZ136" s="268">
        <f t="shared" si="188"/>
        <v>-351</v>
      </c>
      <c r="BA136" s="268">
        <f t="shared" si="188"/>
        <v>-204</v>
      </c>
      <c r="BB136" s="268">
        <f t="shared" si="188"/>
        <v>-162</v>
      </c>
      <c r="BC136" s="268">
        <f t="shared" si="188"/>
        <v>-315</v>
      </c>
      <c r="BD136" s="268">
        <f t="shared" si="188"/>
        <v>-137</v>
      </c>
      <c r="BE136" s="268">
        <f t="shared" ref="BE136:BN140" si="189">W136-AI136</f>
        <v>163</v>
      </c>
      <c r="BF136" s="268">
        <f t="shared" si="189"/>
        <v>-3</v>
      </c>
    </row>
    <row r="137" spans="1:75"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231">
        <f>2+31</f>
        <v>33</v>
      </c>
      <c r="AK137" s="232">
        <f t="shared" si="187"/>
        <v>82</v>
      </c>
      <c r="AL137" s="148">
        <f t="shared" si="187"/>
        <v>211</v>
      </c>
      <c r="AM137" s="148">
        <f t="shared" si="187"/>
        <v>338</v>
      </c>
      <c r="AN137" s="148">
        <f t="shared" si="187"/>
        <v>341</v>
      </c>
      <c r="AO137" s="148">
        <f t="shared" si="187"/>
        <v>291</v>
      </c>
      <c r="AP137" s="148">
        <f t="shared" si="187"/>
        <v>278</v>
      </c>
      <c r="AQ137" s="150">
        <f t="shared" si="187"/>
        <v>251</v>
      </c>
      <c r="AR137" s="150">
        <f t="shared" si="187"/>
        <v>176</v>
      </c>
      <c r="AS137" s="150">
        <f t="shared" si="187"/>
        <v>142</v>
      </c>
      <c r="AT137" s="268">
        <f t="shared" si="187"/>
        <v>47</v>
      </c>
      <c r="AU137" s="268">
        <f t="shared" si="188"/>
        <v>9</v>
      </c>
      <c r="AV137" s="268">
        <f t="shared" si="188"/>
        <v>12</v>
      </c>
      <c r="AW137" s="268">
        <f t="shared" si="188"/>
        <v>5</v>
      </c>
      <c r="AX137" s="268">
        <f t="shared" si="188"/>
        <v>-17</v>
      </c>
      <c r="AY137" s="268">
        <f t="shared" si="188"/>
        <v>14</v>
      </c>
      <c r="AZ137" s="268">
        <f t="shared" si="188"/>
        <v>8</v>
      </c>
      <c r="BA137" s="268">
        <f t="shared" si="188"/>
        <v>-40</v>
      </c>
      <c r="BB137" s="268">
        <f t="shared" si="188"/>
        <v>-36</v>
      </c>
      <c r="BC137" s="268">
        <f t="shared" si="188"/>
        <v>-59</v>
      </c>
      <c r="BD137" s="268">
        <f t="shared" si="188"/>
        <v>-51</v>
      </c>
      <c r="BE137" s="268">
        <f t="shared" si="189"/>
        <v>-24</v>
      </c>
      <c r="BF137" s="268">
        <f t="shared" si="189"/>
        <v>-17</v>
      </c>
    </row>
    <row r="138" spans="1:75"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231">
        <f>1</f>
        <v>1</v>
      </c>
      <c r="AK138" s="232">
        <f t="shared" si="187"/>
        <v>1</v>
      </c>
      <c r="AL138" s="148">
        <f t="shared" si="187"/>
        <v>0</v>
      </c>
      <c r="AM138" s="148">
        <f t="shared" si="187"/>
        <v>-2</v>
      </c>
      <c r="AN138" s="148">
        <f t="shared" si="187"/>
        <v>-2</v>
      </c>
      <c r="AO138" s="148">
        <f t="shared" si="187"/>
        <v>-2</v>
      </c>
      <c r="AP138" s="148">
        <f t="shared" si="187"/>
        <v>-5</v>
      </c>
      <c r="AQ138" s="150">
        <f t="shared" si="187"/>
        <v>-10</v>
      </c>
      <c r="AR138" s="150">
        <f t="shared" si="187"/>
        <v>-14</v>
      </c>
      <c r="AS138" s="150">
        <f t="shared" si="187"/>
        <v>-11</v>
      </c>
      <c r="AT138" s="268">
        <f t="shared" si="187"/>
        <v>-5</v>
      </c>
      <c r="AU138" s="268">
        <f t="shared" si="188"/>
        <v>-6</v>
      </c>
      <c r="AV138" s="268">
        <f t="shared" si="188"/>
        <v>-12</v>
      </c>
      <c r="AW138" s="268">
        <f t="shared" si="188"/>
        <v>-12</v>
      </c>
      <c r="AX138" s="268">
        <f t="shared" si="188"/>
        <v>-7</v>
      </c>
      <c r="AY138" s="268">
        <f t="shared" si="188"/>
        <v>3</v>
      </c>
      <c r="AZ138" s="268">
        <f t="shared" si="188"/>
        <v>2</v>
      </c>
      <c r="BA138" s="268">
        <f t="shared" si="188"/>
        <v>-1</v>
      </c>
      <c r="BB138" s="268">
        <f t="shared" si="188"/>
        <v>2</v>
      </c>
      <c r="BC138" s="268">
        <f t="shared" si="188"/>
        <v>6</v>
      </c>
      <c r="BD138" s="268">
        <f t="shared" si="188"/>
        <v>12</v>
      </c>
      <c r="BE138" s="268">
        <f t="shared" si="189"/>
        <v>9</v>
      </c>
      <c r="BF138" s="268">
        <f t="shared" si="189"/>
        <v>4</v>
      </c>
    </row>
    <row r="139" spans="1:75"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231">
        <v>0</v>
      </c>
      <c r="AK139" s="232">
        <f t="shared" si="187"/>
        <v>0</v>
      </c>
      <c r="AL139" s="148">
        <f t="shared" si="187"/>
        <v>0</v>
      </c>
      <c r="AM139" s="148">
        <f t="shared" si="187"/>
        <v>0</v>
      </c>
      <c r="AN139" s="148">
        <f t="shared" si="187"/>
        <v>0</v>
      </c>
      <c r="AO139" s="148">
        <f t="shared" si="187"/>
        <v>0</v>
      </c>
      <c r="AP139" s="148">
        <f t="shared" si="187"/>
        <v>0</v>
      </c>
      <c r="AQ139" s="150">
        <f t="shared" si="187"/>
        <v>-2</v>
      </c>
      <c r="AR139" s="150">
        <f t="shared" si="187"/>
        <v>-3</v>
      </c>
      <c r="AS139" s="150">
        <f t="shared" si="187"/>
        <v>-4</v>
      </c>
      <c r="AT139" s="268">
        <f t="shared" si="187"/>
        <v>-2</v>
      </c>
      <c r="AU139" s="268">
        <f t="shared" si="188"/>
        <v>-3</v>
      </c>
      <c r="AV139" s="268">
        <f t="shared" si="188"/>
        <v>0</v>
      </c>
      <c r="AW139" s="268">
        <f t="shared" si="188"/>
        <v>-2</v>
      </c>
      <c r="AX139" s="268">
        <f t="shared" si="188"/>
        <v>-2</v>
      </c>
      <c r="AY139" s="268">
        <f t="shared" si="188"/>
        <v>0</v>
      </c>
      <c r="AZ139" s="268">
        <f t="shared" si="188"/>
        <v>0</v>
      </c>
      <c r="BA139" s="268">
        <f t="shared" si="188"/>
        <v>0</v>
      </c>
      <c r="BB139" s="268">
        <f t="shared" si="188"/>
        <v>0</v>
      </c>
      <c r="BC139" s="268">
        <f t="shared" si="188"/>
        <v>1</v>
      </c>
      <c r="BD139" s="268">
        <f t="shared" si="188"/>
        <v>3</v>
      </c>
      <c r="BE139" s="268">
        <f t="shared" si="189"/>
        <v>4</v>
      </c>
      <c r="BF139" s="268">
        <f t="shared" si="189"/>
        <v>2</v>
      </c>
    </row>
    <row r="140" spans="1:75"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232">
        <v>0</v>
      </c>
      <c r="AK140" s="232">
        <f t="shared" si="187"/>
        <v>0</v>
      </c>
      <c r="AL140" s="148">
        <f t="shared" si="187"/>
        <v>0</v>
      </c>
      <c r="AM140" s="148">
        <f t="shared" si="187"/>
        <v>0</v>
      </c>
      <c r="AN140" s="148">
        <f t="shared" si="187"/>
        <v>0</v>
      </c>
      <c r="AO140" s="148">
        <f t="shared" si="187"/>
        <v>0</v>
      </c>
      <c r="AP140" s="148">
        <f t="shared" si="187"/>
        <v>0</v>
      </c>
      <c r="AQ140" s="150">
        <f t="shared" si="187"/>
        <v>0</v>
      </c>
      <c r="AR140" s="150">
        <f t="shared" si="187"/>
        <v>0</v>
      </c>
      <c r="AS140" s="150">
        <f t="shared" si="187"/>
        <v>0</v>
      </c>
      <c r="AT140" s="268">
        <f t="shared" si="187"/>
        <v>0</v>
      </c>
      <c r="AU140" s="268">
        <f t="shared" si="188"/>
        <v>0</v>
      </c>
      <c r="AV140" s="268">
        <f t="shared" si="188"/>
        <v>0</v>
      </c>
      <c r="AW140" s="268">
        <f t="shared" si="188"/>
        <v>0</v>
      </c>
      <c r="AX140" s="268">
        <f t="shared" si="188"/>
        <v>0</v>
      </c>
      <c r="AY140" s="268">
        <f t="shared" si="188"/>
        <v>0</v>
      </c>
      <c r="AZ140" s="268">
        <f t="shared" si="188"/>
        <v>0</v>
      </c>
      <c r="BA140" s="268">
        <f t="shared" si="188"/>
        <v>0</v>
      </c>
      <c r="BB140" s="268">
        <f t="shared" si="188"/>
        <v>0</v>
      </c>
      <c r="BC140" s="268">
        <f t="shared" si="188"/>
        <v>0</v>
      </c>
      <c r="BD140" s="268">
        <f t="shared" si="188"/>
        <v>0</v>
      </c>
      <c r="BE140" s="268">
        <f t="shared" si="189"/>
        <v>0</v>
      </c>
      <c r="BF140" s="268">
        <f t="shared" si="189"/>
        <v>0</v>
      </c>
    </row>
    <row r="141" spans="1:75" ht="15.75" thickBot="1" x14ac:dyDescent="0.3">
      <c r="A141" s="4"/>
      <c r="B141" s="36" t="s">
        <v>41</v>
      </c>
      <c r="C141" s="151">
        <f t="shared" ref="C141:AC141" si="190">SUM(C136:C140)</f>
        <v>644</v>
      </c>
      <c r="D141" s="152">
        <f t="shared" si="190"/>
        <v>958</v>
      </c>
      <c r="E141" s="152">
        <f t="shared" si="190"/>
        <v>1180</v>
      </c>
      <c r="F141" s="152">
        <f t="shared" si="190"/>
        <v>1136</v>
      </c>
      <c r="G141" s="152">
        <f t="shared" si="190"/>
        <v>899</v>
      </c>
      <c r="H141" s="152">
        <f t="shared" si="190"/>
        <v>723</v>
      </c>
      <c r="I141" s="152">
        <f t="shared" si="190"/>
        <v>531</v>
      </c>
      <c r="J141" s="152">
        <f t="shared" si="190"/>
        <v>404</v>
      </c>
      <c r="K141" s="152">
        <f t="shared" si="190"/>
        <v>355</v>
      </c>
      <c r="L141" s="197">
        <f t="shared" si="190"/>
        <v>169</v>
      </c>
      <c r="M141" s="152">
        <f t="shared" si="190"/>
        <v>195</v>
      </c>
      <c r="N141" s="201">
        <f t="shared" si="190"/>
        <v>377</v>
      </c>
      <c r="O141" s="152">
        <f t="shared" si="190"/>
        <v>365</v>
      </c>
      <c r="P141" s="152">
        <f t="shared" si="190"/>
        <v>154</v>
      </c>
      <c r="Q141" s="152">
        <f t="shared" si="190"/>
        <v>134</v>
      </c>
      <c r="R141" s="152">
        <f t="shared" si="190"/>
        <v>164</v>
      </c>
      <c r="S141" s="152">
        <f t="shared" si="190"/>
        <v>114</v>
      </c>
      <c r="T141" s="152">
        <f t="shared" si="190"/>
        <v>117</v>
      </c>
      <c r="U141" s="153">
        <f t="shared" si="190"/>
        <v>100</v>
      </c>
      <c r="V141" s="153">
        <f t="shared" si="190"/>
        <v>235</v>
      </c>
      <c r="W141" s="153">
        <f t="shared" si="190"/>
        <v>451</v>
      </c>
      <c r="X141" s="153">
        <f t="shared" si="190"/>
        <v>219</v>
      </c>
      <c r="Y141" s="153">
        <f t="shared" si="190"/>
        <v>155</v>
      </c>
      <c r="Z141" s="153">
        <f t="shared" si="190"/>
        <v>159</v>
      </c>
      <c r="AA141" s="153">
        <f t="shared" si="190"/>
        <v>200</v>
      </c>
      <c r="AB141" s="153">
        <f t="shared" si="190"/>
        <v>220</v>
      </c>
      <c r="AC141" s="153">
        <f t="shared" si="190"/>
        <v>245</v>
      </c>
      <c r="AD141" s="153">
        <f t="shared" ref="AD141:AI141" si="191">SUM(AD136:AD140)</f>
        <v>505</v>
      </c>
      <c r="AE141" s="153">
        <f t="shared" si="191"/>
        <v>359</v>
      </c>
      <c r="AF141" s="153">
        <f t="shared" si="191"/>
        <v>313</v>
      </c>
      <c r="AG141" s="153">
        <f t="shared" si="191"/>
        <v>467</v>
      </c>
      <c r="AH141" s="153">
        <f t="shared" si="191"/>
        <v>408</v>
      </c>
      <c r="AI141" s="153">
        <f t="shared" si="191"/>
        <v>299</v>
      </c>
      <c r="AJ141" s="153">
        <f t="shared" ref="AJ141" si="192">SUM(AJ136:AJ140)</f>
        <v>233</v>
      </c>
      <c r="AK141" s="152">
        <f t="shared" ref="AK141:AT141" si="193">SUM(AK136:AK140)</f>
        <v>279</v>
      </c>
      <c r="AL141" s="152">
        <f t="shared" si="193"/>
        <v>804</v>
      </c>
      <c r="AM141" s="152">
        <f t="shared" si="193"/>
        <v>1046</v>
      </c>
      <c r="AN141" s="152">
        <f t="shared" si="193"/>
        <v>972</v>
      </c>
      <c r="AO141" s="152">
        <f t="shared" si="193"/>
        <v>785</v>
      </c>
      <c r="AP141" s="152">
        <f t="shared" si="193"/>
        <v>606</v>
      </c>
      <c r="AQ141" s="153">
        <f t="shared" si="193"/>
        <v>431</v>
      </c>
      <c r="AR141" s="153">
        <f t="shared" si="193"/>
        <v>169</v>
      </c>
      <c r="AS141" s="153">
        <f t="shared" si="193"/>
        <v>-96</v>
      </c>
      <c r="AT141" s="401">
        <f t="shared" si="193"/>
        <v>-50</v>
      </c>
      <c r="AU141" s="268">
        <f t="shared" ref="AU141:BF141" si="194">M141-Y141</f>
        <v>40</v>
      </c>
      <c r="AV141" s="268">
        <f t="shared" si="194"/>
        <v>218</v>
      </c>
      <c r="AW141" s="268">
        <f t="shared" si="194"/>
        <v>165</v>
      </c>
      <c r="AX141" s="268">
        <f t="shared" si="194"/>
        <v>-66</v>
      </c>
      <c r="AY141" s="268">
        <f t="shared" si="194"/>
        <v>-111</v>
      </c>
      <c r="AZ141" s="268">
        <f t="shared" si="194"/>
        <v>-341</v>
      </c>
      <c r="BA141" s="268">
        <f t="shared" si="194"/>
        <v>-245</v>
      </c>
      <c r="BB141" s="268">
        <f t="shared" si="194"/>
        <v>-196</v>
      </c>
      <c r="BC141" s="268">
        <f t="shared" si="194"/>
        <v>-367</v>
      </c>
      <c r="BD141" s="268">
        <f t="shared" si="194"/>
        <v>-173</v>
      </c>
      <c r="BE141" s="268">
        <f t="shared" si="194"/>
        <v>152</v>
      </c>
      <c r="BF141" s="268">
        <f t="shared" si="194"/>
        <v>-14</v>
      </c>
    </row>
    <row r="142" spans="1:75" ht="15.75" thickTop="1" x14ac:dyDescent="0.25">
      <c r="A142" s="4"/>
    </row>
    <row r="143" spans="1:75" x14ac:dyDescent="0.25">
      <c r="B143" s="1" t="s">
        <v>27</v>
      </c>
    </row>
    <row r="144" spans="1:75" ht="191.25" customHeight="1" x14ac:dyDescent="0.25">
      <c r="B144" s="240" t="s">
        <v>51</v>
      </c>
      <c r="C144" s="842" t="s">
        <v>53</v>
      </c>
      <c r="D144" s="842"/>
      <c r="E144" s="842"/>
      <c r="F144" s="842"/>
      <c r="G144" s="842"/>
      <c r="H144" s="842"/>
      <c r="I144" s="842"/>
      <c r="J144" s="842"/>
      <c r="K144" s="842"/>
      <c r="L144" s="842"/>
      <c r="N144" s="829" t="s">
        <v>52</v>
      </c>
      <c r="O144" s="829"/>
      <c r="P144" s="829"/>
      <c r="Q144" s="829"/>
      <c r="R144" s="829"/>
      <c r="S144" s="243"/>
      <c r="T144" s="767" t="s">
        <v>54</v>
      </c>
      <c r="U144" s="767"/>
      <c r="V144" s="767"/>
      <c r="W144" s="767"/>
      <c r="X144" s="767"/>
      <c r="Y144" s="767"/>
      <c r="Z144" s="767"/>
      <c r="AA144" s="767"/>
      <c r="AB144" s="767"/>
      <c r="AC144" s="767"/>
      <c r="AD144" s="767"/>
      <c r="AE144" s="767"/>
      <c r="AF144" s="767"/>
      <c r="AG144" s="767"/>
      <c r="AH144" s="770"/>
      <c r="AI144" s="778"/>
      <c r="AJ144" s="779"/>
      <c r="AK144" s="767"/>
      <c r="AL144" s="767"/>
      <c r="AM144" s="767"/>
      <c r="AN144" s="767"/>
      <c r="AP144" s="831" t="s">
        <v>55</v>
      </c>
      <c r="AQ144" s="831"/>
      <c r="AR144" s="831"/>
      <c r="AS144" s="831"/>
      <c r="AT144" s="831"/>
      <c r="AU144" s="831"/>
      <c r="AV144" s="831"/>
      <c r="AW144" s="831"/>
      <c r="AX144" s="831"/>
      <c r="AY144" s="831"/>
      <c r="BA144" s="831" t="s">
        <v>56</v>
      </c>
      <c r="BB144" s="831"/>
      <c r="BC144" s="831"/>
      <c r="BD144" s="831"/>
      <c r="BE144" s="831"/>
      <c r="BF144" s="831"/>
      <c r="BH144" s="831" t="s">
        <v>58</v>
      </c>
      <c r="BI144" s="831"/>
      <c r="BJ144" s="831"/>
      <c r="BK144" s="831"/>
      <c r="BL144" s="831"/>
      <c r="BN144" s="830" t="s">
        <v>59</v>
      </c>
      <c r="BO144" s="830"/>
      <c r="BP144" s="830"/>
      <c r="BQ144" s="830"/>
      <c r="BR144" s="830"/>
      <c r="BS144" s="829" t="s">
        <v>60</v>
      </c>
      <c r="BT144" s="829"/>
      <c r="BU144" s="829"/>
      <c r="BV144" s="829"/>
      <c r="BW144" s="829"/>
    </row>
    <row r="147" spans="2:36" x14ac:dyDescent="0.25">
      <c r="B147" s="34" t="s">
        <v>26</v>
      </c>
    </row>
    <row r="148" spans="2:36" ht="97.5" customHeight="1" x14ac:dyDescent="0.25">
      <c r="B148" s="229"/>
      <c r="C148" s="828" t="s">
        <v>64</v>
      </c>
      <c r="D148" s="828"/>
      <c r="E148" s="828"/>
      <c r="F148" s="828"/>
      <c r="G148" s="828"/>
      <c r="H148" s="828"/>
      <c r="I148" s="828"/>
      <c r="J148" s="828"/>
      <c r="K148" s="828"/>
      <c r="L148" s="828"/>
      <c r="M148" s="829" t="s">
        <v>65</v>
      </c>
      <c r="N148" s="829"/>
      <c r="O148" s="829"/>
      <c r="P148" s="829"/>
      <c r="R148" s="829" t="s">
        <v>67</v>
      </c>
      <c r="S148" s="829"/>
      <c r="T148" s="829"/>
      <c r="U148" s="829"/>
      <c r="V148" s="829"/>
      <c r="Y148" s="825" t="s">
        <v>69</v>
      </c>
      <c r="Z148" s="826"/>
      <c r="AA148" s="826"/>
      <c r="AB148" s="826"/>
      <c r="AC148" s="827"/>
      <c r="AD148" s="603"/>
      <c r="AE148" s="603"/>
      <c r="AF148" s="603"/>
      <c r="AG148" s="603"/>
      <c r="AH148" s="603"/>
      <c r="AI148" s="603"/>
      <c r="AJ148" s="603"/>
    </row>
    <row r="149" spans="2:36" ht="52.5" customHeight="1" x14ac:dyDescent="0.25">
      <c r="B149" s="229"/>
      <c r="C149" s="828"/>
      <c r="D149" s="828"/>
      <c r="E149" s="828"/>
      <c r="F149" s="828"/>
      <c r="G149" s="828"/>
      <c r="H149" s="828"/>
      <c r="I149" s="828"/>
      <c r="J149" s="828"/>
      <c r="K149" s="828"/>
      <c r="L149" s="828"/>
    </row>
    <row r="150" spans="2:36" ht="37.5" customHeight="1" x14ac:dyDescent="0.25">
      <c r="B150" s="229"/>
      <c r="C150" s="828"/>
      <c r="D150" s="828"/>
      <c r="E150" s="828"/>
      <c r="F150" s="828"/>
      <c r="G150" s="828"/>
      <c r="H150" s="828"/>
      <c r="I150" s="828"/>
      <c r="J150" s="828"/>
      <c r="K150" s="828"/>
      <c r="L150" s="828"/>
    </row>
    <row r="151" spans="2:36" ht="63.75" customHeight="1" x14ac:dyDescent="0.25">
      <c r="B151" s="229"/>
      <c r="C151" s="828"/>
      <c r="D151" s="828"/>
      <c r="E151" s="828"/>
      <c r="F151" s="828"/>
      <c r="G151" s="828"/>
      <c r="H151" s="828"/>
      <c r="I151" s="828"/>
      <c r="J151" s="828"/>
      <c r="K151" s="828"/>
      <c r="L151" s="828"/>
    </row>
  </sheetData>
  <mergeCells count="22">
    <mergeCell ref="BS144:BW144"/>
    <mergeCell ref="BN144:BR144"/>
    <mergeCell ref="BH144:BL144"/>
    <mergeCell ref="B1:AL1"/>
    <mergeCell ref="C2:I2"/>
    <mergeCell ref="C3:I3"/>
    <mergeCell ref="C4:I4"/>
    <mergeCell ref="BA144:BF144"/>
    <mergeCell ref="AP144:AY144"/>
    <mergeCell ref="AU7:AW7"/>
    <mergeCell ref="M2:S2"/>
    <mergeCell ref="M3:S3"/>
    <mergeCell ref="M4:S4"/>
    <mergeCell ref="C144:L144"/>
    <mergeCell ref="N144:R144"/>
    <mergeCell ref="Y148:AC148"/>
    <mergeCell ref="C149:L149"/>
    <mergeCell ref="C150:L150"/>
    <mergeCell ref="C151:L151"/>
    <mergeCell ref="C148:L148"/>
    <mergeCell ref="M148:P148"/>
    <mergeCell ref="R148:V148"/>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32" t="s">
        <v>19</v>
      </c>
      <c r="C1" s="833"/>
      <c r="D1" s="833"/>
      <c r="E1" s="833"/>
      <c r="F1" s="833"/>
      <c r="G1" s="833"/>
      <c r="H1" s="833"/>
      <c r="I1" s="833"/>
      <c r="J1" s="833"/>
      <c r="K1" s="833"/>
      <c r="L1" s="833"/>
      <c r="M1" s="833"/>
      <c r="N1" s="833"/>
      <c r="O1" s="833"/>
      <c r="P1" s="833"/>
      <c r="Q1" s="833"/>
      <c r="R1" s="833"/>
      <c r="S1" s="833"/>
      <c r="T1" s="833"/>
      <c r="U1" s="833"/>
      <c r="V1" s="833"/>
      <c r="W1" s="833"/>
      <c r="X1" s="38"/>
      <c r="Y1" s="38"/>
      <c r="Z1" s="38"/>
      <c r="AA1" s="38"/>
      <c r="AB1" s="39"/>
    </row>
    <row r="2" spans="1:74" ht="27.6" customHeight="1" thickTop="1" thickBot="1" x14ac:dyDescent="0.3">
      <c r="B2" s="5" t="s">
        <v>0</v>
      </c>
      <c r="C2" s="835" t="s">
        <v>57</v>
      </c>
      <c r="D2" s="836"/>
      <c r="E2" s="836"/>
      <c r="F2" s="836"/>
      <c r="G2" s="836"/>
      <c r="H2" s="836"/>
      <c r="I2" s="836"/>
      <c r="J2" s="6"/>
      <c r="K2" s="7"/>
      <c r="L2" s="7"/>
      <c r="M2" s="7"/>
      <c r="N2" s="7"/>
      <c r="O2" s="7"/>
      <c r="P2" s="7"/>
      <c r="Q2" s="7"/>
      <c r="R2" s="7"/>
      <c r="S2" s="7"/>
      <c r="T2" s="7"/>
      <c r="U2" s="7"/>
      <c r="V2" s="7"/>
      <c r="W2" s="8"/>
    </row>
    <row r="3" spans="1:74" ht="27.6" customHeight="1" thickTop="1" thickBot="1" x14ac:dyDescent="0.3">
      <c r="B3" s="5" t="s">
        <v>1</v>
      </c>
      <c r="C3" s="835" t="s">
        <v>48</v>
      </c>
      <c r="D3" s="836"/>
      <c r="E3" s="836"/>
      <c r="F3" s="836"/>
      <c r="G3" s="836"/>
      <c r="H3" s="836"/>
      <c r="I3" s="836"/>
      <c r="J3" s="6"/>
      <c r="K3" s="9"/>
      <c r="L3" s="9"/>
      <c r="M3" s="9"/>
      <c r="N3" s="9"/>
      <c r="O3" s="9"/>
      <c r="P3" s="9"/>
      <c r="Q3" s="9"/>
      <c r="R3" s="9"/>
      <c r="S3" s="9"/>
      <c r="T3" s="9"/>
      <c r="U3" s="9"/>
      <c r="V3" s="9"/>
      <c r="W3" s="10"/>
    </row>
    <row r="4" spans="1:74" ht="27.6" customHeight="1" thickTop="1" thickBot="1" x14ac:dyDescent="0.3">
      <c r="B4" s="5" t="s">
        <v>2</v>
      </c>
      <c r="C4" s="837">
        <v>44441</v>
      </c>
      <c r="D4" s="838"/>
      <c r="E4" s="838"/>
      <c r="F4" s="838"/>
      <c r="G4" s="838"/>
      <c r="H4" s="838"/>
      <c r="I4" s="838"/>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33">
        <v>4255200.5199999996</v>
      </c>
      <c r="BP52" s="533">
        <v>4293079.5</v>
      </c>
      <c r="BQ52" s="533">
        <v>4241194.46</v>
      </c>
      <c r="BR52" s="533">
        <v>4292220.6399999997</v>
      </c>
      <c r="BS52" s="533">
        <v>4412908.07</v>
      </c>
      <c r="BT52" s="533">
        <v>4488476.2</v>
      </c>
      <c r="BU52" s="533">
        <v>4527842.51</v>
      </c>
      <c r="BV52" s="53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33">
        <v>2127983.12</v>
      </c>
      <c r="BP53" s="533">
        <v>2221684.0299999998</v>
      </c>
      <c r="BQ53" s="533">
        <v>2179904.5499999998</v>
      </c>
      <c r="BR53" s="533">
        <v>1964690.39</v>
      </c>
      <c r="BS53" s="533">
        <v>2010324.42</v>
      </c>
      <c r="BT53" s="533">
        <v>2071858.16</v>
      </c>
      <c r="BU53" s="533">
        <v>2115626.5499999998</v>
      </c>
      <c r="BV53" s="53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33">
        <v>128346.38</v>
      </c>
      <c r="BP54" s="533">
        <v>141110.1</v>
      </c>
      <c r="BQ54" s="533">
        <v>140506.16</v>
      </c>
      <c r="BR54" s="533">
        <v>148448.26</v>
      </c>
      <c r="BS54" s="533">
        <v>163200.5</v>
      </c>
      <c r="BT54" s="533">
        <v>167260.26999999999</v>
      </c>
      <c r="BU54" s="533">
        <v>166813.26</v>
      </c>
      <c r="BV54" s="53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33">
        <v>134624.35</v>
      </c>
      <c r="BP55" s="533">
        <v>96591.21</v>
      </c>
      <c r="BQ55" s="533">
        <v>95206.44</v>
      </c>
      <c r="BR55" s="533">
        <v>113436.1</v>
      </c>
      <c r="BS55" s="533">
        <v>108599.67999999999</v>
      </c>
      <c r="BT55" s="533">
        <v>130622.19</v>
      </c>
      <c r="BU55" s="533">
        <v>135794.94</v>
      </c>
      <c r="BV55" s="53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33">
        <v>2933.47</v>
      </c>
      <c r="BP56" s="533">
        <v>2933.47</v>
      </c>
      <c r="BQ56" s="533">
        <v>2933.47</v>
      </c>
      <c r="BR56" s="533">
        <v>2933.47</v>
      </c>
      <c r="BS56" s="533">
        <v>14198.893</v>
      </c>
      <c r="BT56" s="533">
        <v>14198.89</v>
      </c>
      <c r="BU56" s="533">
        <v>13280.39</v>
      </c>
      <c r="BV56" s="53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828"/>
      <c r="D141" s="828"/>
      <c r="E141" s="828"/>
      <c r="F141" s="828"/>
      <c r="G141" s="828"/>
      <c r="H141" s="828"/>
      <c r="I141" s="828"/>
      <c r="J141" s="828"/>
      <c r="K141" s="828"/>
      <c r="L141" s="828"/>
    </row>
    <row r="142" spans="1:74" ht="52.5" customHeight="1" x14ac:dyDescent="0.25">
      <c r="B142" s="228"/>
      <c r="C142" s="843"/>
      <c r="D142" s="843"/>
      <c r="E142" s="843"/>
      <c r="F142" s="843"/>
      <c r="G142" s="843"/>
      <c r="H142" s="843"/>
      <c r="I142" s="843"/>
      <c r="J142" s="843"/>
      <c r="K142" s="843"/>
      <c r="L142" s="843"/>
    </row>
    <row r="143" spans="1:74" ht="36.75" customHeight="1" x14ac:dyDescent="0.25">
      <c r="B143" s="228"/>
      <c r="C143" s="828"/>
      <c r="D143" s="828"/>
      <c r="E143" s="828"/>
      <c r="F143" s="828"/>
      <c r="G143" s="828"/>
      <c r="H143" s="828"/>
      <c r="I143" s="828"/>
      <c r="J143" s="828"/>
      <c r="K143" s="828"/>
      <c r="L143" s="828"/>
    </row>
    <row r="144" spans="1:74" ht="54" customHeight="1" x14ac:dyDescent="0.25">
      <c r="B144" s="228"/>
      <c r="C144" s="828"/>
      <c r="D144" s="828"/>
      <c r="E144" s="828"/>
      <c r="F144" s="828"/>
      <c r="G144" s="828"/>
      <c r="H144" s="828"/>
      <c r="I144" s="828"/>
      <c r="J144" s="828"/>
      <c r="K144" s="828"/>
      <c r="L144" s="828"/>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54" customWidth="1"/>
    <col min="4" max="11" width="10.85546875" bestFit="1" customWidth="1"/>
    <col min="12" max="14" width="11.85546875" bestFit="1" customWidth="1"/>
    <col min="15" max="15" width="11.42578125" style="755" bestFit="1" customWidth="1"/>
    <col min="16" max="18" width="10.85546875" bestFit="1" customWidth="1"/>
    <col min="19" max="21" width="11.42578125" bestFit="1" customWidth="1"/>
    <col min="22" max="22" width="10.85546875" style="535" bestFit="1" customWidth="1"/>
    <col min="23" max="23" width="11.42578125" style="535" bestFit="1" customWidth="1"/>
    <col min="24" max="24" width="10.85546875" style="53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32" t="s">
        <v>19</v>
      </c>
      <c r="B1" s="833"/>
      <c r="C1" s="833"/>
      <c r="D1" s="833"/>
      <c r="E1" s="833"/>
      <c r="F1" s="833"/>
      <c r="G1" s="833"/>
      <c r="H1" s="833"/>
      <c r="I1" s="833"/>
      <c r="J1" s="833"/>
      <c r="K1" s="833"/>
      <c r="L1" s="833"/>
      <c r="M1" s="833"/>
      <c r="N1" s="833"/>
      <c r="O1" s="833"/>
      <c r="P1" s="833"/>
      <c r="Q1" s="833"/>
      <c r="R1" s="833"/>
      <c r="S1" s="833"/>
      <c r="T1" s="833"/>
      <c r="U1" s="833"/>
      <c r="V1" s="833"/>
      <c r="W1" s="614"/>
      <c r="X1" s="614"/>
      <c r="Y1" s="497"/>
      <c r="Z1" s="497"/>
      <c r="AA1" s="498"/>
    </row>
    <row r="2" spans="1:40" ht="27.6" customHeight="1" thickTop="1" thickBot="1" x14ac:dyDescent="0.3">
      <c r="A2" s="5" t="s">
        <v>0</v>
      </c>
      <c r="B2" s="835" t="s">
        <v>57</v>
      </c>
      <c r="C2" s="836"/>
      <c r="D2" s="836"/>
      <c r="E2" s="836"/>
      <c r="F2" s="836"/>
      <c r="G2" s="836"/>
      <c r="H2" s="836"/>
      <c r="I2" s="9"/>
      <c r="J2" s="501"/>
      <c r="K2" s="501"/>
      <c r="L2" s="501"/>
      <c r="M2" s="501"/>
      <c r="N2" s="501"/>
      <c r="O2" s="615"/>
      <c r="P2" s="501"/>
      <c r="Q2" s="501"/>
      <c r="R2" s="501"/>
      <c r="S2" s="501"/>
      <c r="T2" s="501"/>
      <c r="U2" s="501"/>
      <c r="V2" s="616"/>
    </row>
    <row r="3" spans="1:40" ht="27.6" customHeight="1" thickTop="1" thickBot="1" x14ac:dyDescent="0.3">
      <c r="A3" s="5" t="s">
        <v>1</v>
      </c>
      <c r="B3" s="835" t="s">
        <v>48</v>
      </c>
      <c r="C3" s="836"/>
      <c r="D3" s="836"/>
      <c r="E3" s="836"/>
      <c r="F3" s="836"/>
      <c r="G3" s="836"/>
      <c r="H3" s="836"/>
      <c r="I3" s="9"/>
      <c r="J3" s="9"/>
      <c r="K3" s="9"/>
      <c r="L3" s="9"/>
      <c r="M3" s="9"/>
      <c r="N3" s="9"/>
      <c r="O3" s="617"/>
      <c r="P3" s="9"/>
      <c r="Q3" s="9"/>
      <c r="R3" s="9"/>
      <c r="S3" s="9"/>
      <c r="T3" s="9"/>
      <c r="U3" s="9"/>
      <c r="V3" s="618"/>
    </row>
    <row r="4" spans="1:40" ht="27.6" customHeight="1" thickTop="1" thickBot="1" x14ac:dyDescent="0.3">
      <c r="A4" s="5" t="s">
        <v>2</v>
      </c>
      <c r="B4" s="837"/>
      <c r="C4" s="838"/>
      <c r="D4" s="838"/>
      <c r="E4" s="838"/>
      <c r="F4" s="838"/>
      <c r="G4" s="838"/>
      <c r="H4" s="838"/>
      <c r="I4" s="9"/>
      <c r="J4" s="9"/>
      <c r="K4" s="9"/>
      <c r="L4" s="9"/>
      <c r="M4" s="9"/>
      <c r="N4" s="9"/>
      <c r="O4" s="617"/>
      <c r="P4" s="9"/>
      <c r="Q4" s="9"/>
      <c r="R4" s="9"/>
      <c r="S4" s="9"/>
      <c r="T4" s="9"/>
      <c r="U4" s="9"/>
      <c r="V4" s="616"/>
    </row>
    <row r="5" spans="1:40" ht="15.75" thickTop="1" x14ac:dyDescent="0.25">
      <c r="A5" s="5"/>
      <c r="B5" s="502"/>
      <c r="C5" s="619"/>
      <c r="D5" s="502"/>
      <c r="E5" s="9"/>
      <c r="F5" s="501"/>
      <c r="G5" s="9"/>
      <c r="H5" s="501"/>
      <c r="I5" s="9"/>
      <c r="J5" s="9"/>
      <c r="K5" s="9"/>
      <c r="L5" s="9"/>
      <c r="M5" s="9"/>
      <c r="N5" s="9"/>
      <c r="O5" s="617"/>
      <c r="P5" s="9"/>
      <c r="Q5" s="9"/>
      <c r="R5" s="9"/>
      <c r="S5" s="9"/>
      <c r="T5" s="9"/>
      <c r="U5" s="9"/>
      <c r="V5" s="616"/>
    </row>
    <row r="6" spans="1:40" ht="15.75" thickBot="1" x14ac:dyDescent="0.3">
      <c r="A6" s="13"/>
      <c r="B6" s="503"/>
      <c r="C6" s="620"/>
      <c r="D6" s="18"/>
      <c r="E6" s="18"/>
      <c r="F6" s="17"/>
      <c r="G6" s="18"/>
      <c r="H6" s="17"/>
      <c r="I6" s="504"/>
      <c r="J6" s="18"/>
      <c r="K6" s="18"/>
      <c r="L6" s="18"/>
      <c r="M6" s="18"/>
      <c r="N6" s="18"/>
      <c r="O6" s="621"/>
      <c r="P6" s="18"/>
      <c r="Q6" s="18"/>
      <c r="R6" s="18"/>
      <c r="S6" s="18"/>
      <c r="T6" s="18"/>
      <c r="U6" s="18"/>
      <c r="V6" s="622"/>
    </row>
    <row r="7" spans="1:40" s="515" customFormat="1" ht="15.75" thickBot="1" x14ac:dyDescent="0.3">
      <c r="A7" s="21"/>
      <c r="B7" s="623"/>
      <c r="C7" s="624"/>
      <c r="D7" s="511"/>
      <c r="E7" s="511"/>
      <c r="F7" s="511"/>
      <c r="G7" s="511"/>
      <c r="H7" s="511"/>
      <c r="I7" s="511"/>
      <c r="J7" s="511"/>
      <c r="K7" s="625"/>
      <c r="L7" s="514"/>
      <c r="M7" s="514"/>
      <c r="N7" s="626"/>
      <c r="O7" s="627"/>
      <c r="P7" s="511"/>
      <c r="Q7" s="511"/>
      <c r="R7" s="511"/>
      <c r="S7" s="511"/>
      <c r="T7" s="628"/>
      <c r="U7" s="623"/>
      <c r="V7" s="629"/>
      <c r="W7" s="629"/>
      <c r="X7" s="629"/>
      <c r="Y7" s="511"/>
      <c r="Z7" s="511"/>
      <c r="AA7" s="628"/>
      <c r="AB7" s="630"/>
      <c r="AC7" s="631"/>
      <c r="AD7" s="632"/>
      <c r="AE7" s="632"/>
      <c r="AF7" s="633"/>
      <c r="AG7" s="633"/>
      <c r="AH7" s="633"/>
      <c r="AI7" s="633"/>
      <c r="AJ7" s="633"/>
      <c r="AK7" s="633"/>
      <c r="AL7" s="633"/>
      <c r="AM7" s="633"/>
      <c r="AN7" s="633"/>
    </row>
    <row r="8" spans="1:40" ht="15.75" thickBot="1" x14ac:dyDescent="0.3">
      <c r="A8" s="27"/>
      <c r="B8" s="361">
        <v>44203</v>
      </c>
      <c r="C8" s="244">
        <v>44210</v>
      </c>
      <c r="D8" s="244">
        <v>44217</v>
      </c>
      <c r="E8" s="244">
        <v>44224</v>
      </c>
      <c r="F8" s="244">
        <v>44231</v>
      </c>
      <c r="G8" s="244">
        <v>44238</v>
      </c>
      <c r="H8" s="244">
        <v>44245</v>
      </c>
      <c r="I8" s="244">
        <v>44252</v>
      </c>
      <c r="J8" s="244">
        <v>44259</v>
      </c>
      <c r="K8" s="634">
        <v>44266</v>
      </c>
      <c r="L8" s="441">
        <v>44273</v>
      </c>
      <c r="M8" s="440">
        <v>44280</v>
      </c>
      <c r="N8" s="441">
        <v>44287</v>
      </c>
      <c r="O8" s="635">
        <v>44294</v>
      </c>
      <c r="P8" s="244">
        <v>44301</v>
      </c>
      <c r="Q8" s="244">
        <v>44308</v>
      </c>
      <c r="R8" s="244">
        <v>44315</v>
      </c>
      <c r="S8" s="244">
        <v>44322</v>
      </c>
      <c r="T8" s="439">
        <v>44328</v>
      </c>
      <c r="U8" s="361">
        <v>44336</v>
      </c>
      <c r="V8" s="244">
        <v>44343</v>
      </c>
      <c r="W8" s="244">
        <v>44350</v>
      </c>
      <c r="X8" s="244">
        <v>44357</v>
      </c>
      <c r="Y8" s="244">
        <v>44364</v>
      </c>
      <c r="Z8" s="244">
        <v>44371</v>
      </c>
      <c r="AA8" s="248">
        <v>44378</v>
      </c>
      <c r="AB8" s="636">
        <v>44385</v>
      </c>
      <c r="AC8" s="637">
        <v>44392</v>
      </c>
      <c r="AD8" s="638">
        <v>44399</v>
      </c>
      <c r="AE8" s="638">
        <v>44406</v>
      </c>
      <c r="AF8" s="639">
        <v>44413</v>
      </c>
      <c r="AG8" s="639">
        <v>44420</v>
      </c>
      <c r="AH8" s="639">
        <v>44427</v>
      </c>
      <c r="AI8" s="639">
        <v>44434</v>
      </c>
      <c r="AJ8" s="639">
        <v>44441</v>
      </c>
      <c r="AK8" s="639"/>
      <c r="AL8" s="639"/>
      <c r="AM8" s="639"/>
      <c r="AN8" s="639"/>
    </row>
    <row r="9" spans="1:40" x14ac:dyDescent="0.25">
      <c r="A9" s="41" t="s">
        <v>18</v>
      </c>
      <c r="B9" s="61"/>
      <c r="C9" s="56"/>
      <c r="D9" s="62"/>
      <c r="E9" s="62"/>
      <c r="F9" s="62"/>
      <c r="G9" s="62"/>
      <c r="H9" s="62"/>
      <c r="I9" s="62"/>
      <c r="J9" s="62"/>
      <c r="K9" s="63"/>
      <c r="L9" s="64"/>
      <c r="M9" s="62"/>
      <c r="N9" s="64"/>
      <c r="O9" s="640"/>
      <c r="P9" s="62"/>
      <c r="Q9" s="62"/>
      <c r="R9" s="62"/>
      <c r="S9" s="62"/>
      <c r="T9" s="170"/>
      <c r="U9" s="64"/>
      <c r="V9" s="598"/>
      <c r="W9" s="641"/>
      <c r="X9" s="641"/>
      <c r="Y9" s="523"/>
      <c r="Z9" s="523"/>
      <c r="AA9" s="642"/>
      <c r="AB9" s="643"/>
      <c r="AC9" s="644"/>
      <c r="AD9" s="309"/>
      <c r="AE9" s="645"/>
      <c r="AF9" s="646"/>
      <c r="AG9" s="646"/>
      <c r="AH9" s="646"/>
      <c r="AI9" s="646"/>
      <c r="AJ9" s="646"/>
      <c r="AK9" s="646"/>
      <c r="AL9" s="646"/>
      <c r="AM9" s="646"/>
      <c r="AN9" s="646"/>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47">
        <v>813</v>
      </c>
      <c r="P10" s="647">
        <v>734</v>
      </c>
      <c r="Q10" s="647">
        <f>Q17+Q24+Q31</f>
        <v>691</v>
      </c>
      <c r="R10" s="68">
        <v>652</v>
      </c>
      <c r="S10" s="68"/>
      <c r="T10" s="68"/>
      <c r="U10" s="68"/>
      <c r="V10" s="599"/>
      <c r="W10" s="599"/>
      <c r="X10" s="599"/>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47">
        <v>233</v>
      </c>
      <c r="P11" s="647">
        <v>215</v>
      </c>
      <c r="Q11" s="647">
        <f>Q18+Q25+Q32</f>
        <v>203</v>
      </c>
      <c r="R11" s="68">
        <v>292</v>
      </c>
      <c r="S11" s="68"/>
      <c r="T11" s="68"/>
      <c r="U11" s="68"/>
      <c r="V11" s="599"/>
      <c r="W11" s="599"/>
      <c r="X11" s="599"/>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47">
        <v>90</v>
      </c>
      <c r="P12" s="647">
        <v>82</v>
      </c>
      <c r="Q12" s="647">
        <f>Q19+Q26+Q33</f>
        <v>71</v>
      </c>
      <c r="R12" s="68">
        <v>117</v>
      </c>
      <c r="S12" s="68"/>
      <c r="T12" s="68"/>
      <c r="U12" s="68"/>
      <c r="V12" s="599"/>
      <c r="W12" s="599"/>
      <c r="X12" s="599"/>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48"/>
      <c r="P13" s="68"/>
      <c r="Q13" s="68"/>
      <c r="R13" s="68"/>
      <c r="S13" s="68"/>
      <c r="T13" s="68"/>
      <c r="U13" s="68"/>
      <c r="V13" s="599"/>
      <c r="W13" s="599"/>
      <c r="X13" s="599"/>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48"/>
      <c r="P14" s="68"/>
      <c r="Q14" s="68"/>
      <c r="R14" s="68"/>
      <c r="S14" s="68"/>
      <c r="T14" s="68"/>
      <c r="U14" s="68"/>
      <c r="V14" s="599"/>
      <c r="W14" s="599"/>
      <c r="X14" s="599"/>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26">
        <f t="shared" si="0"/>
        <v>1136</v>
      </c>
      <c r="P15" s="526">
        <f t="shared" si="0"/>
        <v>1031</v>
      </c>
      <c r="Q15" s="526">
        <f t="shared" si="0"/>
        <v>965</v>
      </c>
      <c r="R15" s="52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49"/>
      <c r="P16" s="69"/>
      <c r="Q16" s="69"/>
      <c r="R16" s="69"/>
      <c r="S16" s="69"/>
      <c r="T16" s="171"/>
      <c r="U16" s="71"/>
      <c r="V16" s="600"/>
      <c r="W16" s="650"/>
      <c r="X16" s="650"/>
      <c r="Y16" s="527"/>
      <c r="Z16" s="527"/>
      <c r="AA16" s="651"/>
      <c r="AB16" s="652"/>
      <c r="AC16" s="653"/>
      <c r="AD16" s="212"/>
      <c r="AE16" s="570"/>
      <c r="AF16" s="571"/>
      <c r="AG16" s="571"/>
      <c r="AH16" s="571"/>
      <c r="AI16" s="571"/>
      <c r="AJ16" s="571"/>
      <c r="AK16" s="571"/>
      <c r="AL16" s="571"/>
      <c r="AM16" s="571"/>
      <c r="AN16" s="571"/>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54">
        <v>550</v>
      </c>
      <c r="P17" s="654">
        <v>500</v>
      </c>
      <c r="Q17" s="654">
        <v>475</v>
      </c>
      <c r="R17" s="654">
        <v>450</v>
      </c>
      <c r="S17" s="69"/>
      <c r="T17" s="171"/>
      <c r="U17" s="71"/>
      <c r="V17" s="340"/>
      <c r="W17" s="340"/>
      <c r="X17" s="340"/>
      <c r="Y17" s="71"/>
      <c r="Z17" s="71"/>
      <c r="AA17" s="242"/>
      <c r="AB17" s="655"/>
      <c r="AC17" s="656"/>
      <c r="AD17" s="212"/>
      <c r="AE17" s="570"/>
      <c r="AF17" s="571"/>
      <c r="AG17" s="571"/>
      <c r="AH17" s="571"/>
      <c r="AI17" s="571"/>
      <c r="AJ17" s="571"/>
      <c r="AK17" s="571"/>
      <c r="AL17" s="571"/>
      <c r="AM17" s="571"/>
      <c r="AN17" s="571"/>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54">
        <v>104</v>
      </c>
      <c r="P18" s="69">
        <v>97</v>
      </c>
      <c r="Q18" s="69">
        <v>91</v>
      </c>
      <c r="R18" s="69">
        <v>84</v>
      </c>
      <c r="S18" s="69"/>
      <c r="T18" s="171"/>
      <c r="U18" s="71"/>
      <c r="V18" s="340"/>
      <c r="W18" s="340"/>
      <c r="X18" s="340"/>
      <c r="Y18" s="71"/>
      <c r="Z18" s="71"/>
      <c r="AA18" s="242"/>
      <c r="AB18" s="655"/>
      <c r="AC18" s="656"/>
      <c r="AD18" s="212"/>
      <c r="AE18" s="570"/>
      <c r="AF18" s="571"/>
      <c r="AG18" s="571"/>
      <c r="AH18" s="571"/>
      <c r="AI18" s="571"/>
      <c r="AJ18" s="571"/>
      <c r="AK18" s="571"/>
      <c r="AL18" s="571"/>
      <c r="AM18" s="571"/>
      <c r="AN18" s="571"/>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54">
        <v>50</v>
      </c>
      <c r="P19" s="654">
        <v>45</v>
      </c>
      <c r="Q19" s="654">
        <v>42</v>
      </c>
      <c r="R19" s="69">
        <v>59</v>
      </c>
      <c r="S19" s="69"/>
      <c r="T19" s="171"/>
      <c r="U19" s="71"/>
      <c r="V19" s="340"/>
      <c r="W19" s="340"/>
      <c r="X19" s="340"/>
      <c r="Y19" s="71"/>
      <c r="Z19" s="71"/>
      <c r="AA19" s="242"/>
      <c r="AB19" s="655"/>
      <c r="AC19" s="656"/>
      <c r="AD19" s="212"/>
      <c r="AE19" s="570"/>
      <c r="AF19" s="571"/>
      <c r="AG19" s="571"/>
      <c r="AH19" s="571"/>
      <c r="AI19" s="571"/>
      <c r="AJ19" s="571"/>
      <c r="AK19" s="571"/>
      <c r="AL19" s="571"/>
      <c r="AM19" s="571"/>
      <c r="AN19" s="571"/>
    </row>
    <row r="20" spans="1:40" x14ac:dyDescent="0.25">
      <c r="A20" s="35" t="s">
        <v>39</v>
      </c>
      <c r="B20" s="131"/>
      <c r="C20" s="69"/>
      <c r="D20" s="69"/>
      <c r="E20" s="69"/>
      <c r="F20" s="69"/>
      <c r="G20" s="69"/>
      <c r="H20" s="69"/>
      <c r="I20" s="69"/>
      <c r="J20" s="69"/>
      <c r="K20" s="70"/>
      <c r="L20" s="71"/>
      <c r="M20" s="69"/>
      <c r="N20" s="71"/>
      <c r="O20" s="649"/>
      <c r="P20" s="69"/>
      <c r="Q20" s="69"/>
      <c r="R20" s="69"/>
      <c r="S20" s="69"/>
      <c r="T20" s="171"/>
      <c r="U20" s="71"/>
      <c r="V20" s="340"/>
      <c r="W20" s="340"/>
      <c r="X20" s="340"/>
      <c r="Y20" s="71"/>
      <c r="Z20" s="71"/>
      <c r="AA20" s="242"/>
      <c r="AB20" s="655"/>
      <c r="AC20" s="656"/>
      <c r="AD20" s="212"/>
      <c r="AE20" s="570"/>
      <c r="AF20" s="571"/>
      <c r="AG20" s="571"/>
      <c r="AH20" s="571"/>
      <c r="AI20" s="571"/>
      <c r="AJ20" s="571"/>
      <c r="AK20" s="571"/>
      <c r="AL20" s="571"/>
      <c r="AM20" s="571"/>
      <c r="AN20" s="571"/>
    </row>
    <row r="21" spans="1:40" x14ac:dyDescent="0.25">
      <c r="A21" s="35" t="s">
        <v>62</v>
      </c>
      <c r="B21" s="68">
        <v>0</v>
      </c>
      <c r="C21" s="69"/>
      <c r="D21" s="69"/>
      <c r="E21" s="69"/>
      <c r="F21" s="69"/>
      <c r="G21" s="69"/>
      <c r="H21" s="69"/>
      <c r="I21" s="69"/>
      <c r="J21" s="69"/>
      <c r="K21" s="70"/>
      <c r="L21" s="71"/>
      <c r="M21" s="69"/>
      <c r="N21" s="71"/>
      <c r="O21" s="649"/>
      <c r="P21" s="69"/>
      <c r="Q21" s="69"/>
      <c r="R21" s="69"/>
      <c r="S21" s="69"/>
      <c r="T21" s="171"/>
      <c r="U21" s="71"/>
      <c r="V21" s="340"/>
      <c r="W21" s="340"/>
      <c r="X21" s="340"/>
      <c r="Y21" s="71"/>
      <c r="Z21" s="71"/>
      <c r="AA21" s="242"/>
      <c r="AB21" s="655"/>
      <c r="AC21" s="656"/>
      <c r="AD21" s="212"/>
      <c r="AE21" s="570"/>
      <c r="AF21" s="571"/>
      <c r="AG21" s="571"/>
      <c r="AH21" s="571"/>
      <c r="AI21" s="571"/>
      <c r="AJ21" s="571"/>
      <c r="AK21" s="571"/>
      <c r="AL21" s="571"/>
      <c r="AM21" s="571"/>
      <c r="AN21" s="571"/>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26">
        <f t="shared" si="1"/>
        <v>704</v>
      </c>
      <c r="P22" s="526">
        <f t="shared" si="1"/>
        <v>642</v>
      </c>
      <c r="Q22" s="526">
        <f t="shared" si="1"/>
        <v>608</v>
      </c>
      <c r="R22" s="52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57"/>
      <c r="P23" s="71"/>
      <c r="Q23" s="71"/>
      <c r="R23" s="71"/>
      <c r="S23" s="71"/>
      <c r="T23" s="172"/>
      <c r="U23" s="71"/>
      <c r="V23" s="340"/>
      <c r="W23" s="340"/>
      <c r="X23" s="340"/>
      <c r="Y23" s="71"/>
      <c r="Z23" s="71"/>
      <c r="AA23" s="242"/>
      <c r="AB23" s="655"/>
      <c r="AC23" s="653"/>
      <c r="AD23" s="212"/>
      <c r="AE23" s="570"/>
      <c r="AF23" s="571"/>
      <c r="AG23" s="571"/>
      <c r="AH23" s="571"/>
      <c r="AI23" s="571"/>
      <c r="AJ23" s="571"/>
      <c r="AK23" s="571"/>
      <c r="AL23" s="571"/>
      <c r="AM23" s="571"/>
      <c r="AN23" s="571"/>
    </row>
    <row r="24" spans="1:40" x14ac:dyDescent="0.25">
      <c r="A24" s="35" t="s">
        <v>36</v>
      </c>
      <c r="B24" s="658">
        <v>209</v>
      </c>
      <c r="C24" s="71">
        <v>207</v>
      </c>
      <c r="D24" s="71">
        <v>180</v>
      </c>
      <c r="E24" s="71">
        <v>176</v>
      </c>
      <c r="F24" s="71">
        <v>221</v>
      </c>
      <c r="G24" s="71">
        <v>200</v>
      </c>
      <c r="H24" s="71">
        <v>194</v>
      </c>
      <c r="I24" s="71">
        <v>181</v>
      </c>
      <c r="J24" s="71">
        <v>224</v>
      </c>
      <c r="K24" s="162">
        <v>211</v>
      </c>
      <c r="L24" s="71">
        <v>200</v>
      </c>
      <c r="M24" s="71">
        <v>169</v>
      </c>
      <c r="N24" s="71">
        <v>17</v>
      </c>
      <c r="O24" s="659">
        <v>78</v>
      </c>
      <c r="P24" s="659">
        <v>68</v>
      </c>
      <c r="Q24" s="659">
        <v>65</v>
      </c>
      <c r="R24" s="659">
        <v>63</v>
      </c>
      <c r="S24" s="71"/>
      <c r="T24" s="172"/>
      <c r="U24" s="71"/>
      <c r="V24" s="340"/>
      <c r="W24" s="340"/>
      <c r="X24" s="340"/>
      <c r="Y24" s="71"/>
      <c r="Z24" s="71"/>
      <c r="AA24" s="242"/>
      <c r="AB24" s="655"/>
      <c r="AC24" s="656"/>
      <c r="AD24" s="212"/>
      <c r="AE24" s="570"/>
      <c r="AF24" s="571"/>
      <c r="AG24" s="571"/>
      <c r="AH24" s="571"/>
      <c r="AI24" s="571"/>
      <c r="AJ24" s="571"/>
      <c r="AK24" s="571"/>
      <c r="AL24" s="571"/>
      <c r="AM24" s="571"/>
      <c r="AN24" s="571"/>
    </row>
    <row r="25" spans="1:40" x14ac:dyDescent="0.25">
      <c r="A25" s="35" t="s">
        <v>37</v>
      </c>
      <c r="B25" s="658">
        <v>49</v>
      </c>
      <c r="C25" s="71">
        <v>48</v>
      </c>
      <c r="D25" s="71">
        <v>48</v>
      </c>
      <c r="E25" s="71">
        <v>46</v>
      </c>
      <c r="F25" s="71">
        <v>64</v>
      </c>
      <c r="G25" s="71">
        <v>63</v>
      </c>
      <c r="H25" s="71">
        <v>64</v>
      </c>
      <c r="I25" s="71">
        <v>65</v>
      </c>
      <c r="J25" s="71">
        <v>78</v>
      </c>
      <c r="K25" s="162">
        <v>76</v>
      </c>
      <c r="L25" s="71">
        <v>74</v>
      </c>
      <c r="M25" s="71">
        <v>70</v>
      </c>
      <c r="N25" s="71">
        <v>4</v>
      </c>
      <c r="O25" s="657">
        <v>34</v>
      </c>
      <c r="P25" s="71">
        <v>96</v>
      </c>
      <c r="Q25" s="71">
        <v>90</v>
      </c>
      <c r="R25" s="71">
        <v>84</v>
      </c>
      <c r="S25" s="71"/>
      <c r="T25" s="172"/>
      <c r="U25" s="71"/>
      <c r="V25" s="340"/>
      <c r="W25" s="340"/>
      <c r="X25" s="340"/>
      <c r="Y25" s="71"/>
      <c r="Z25" s="71"/>
      <c r="AA25" s="242"/>
      <c r="AB25" s="655"/>
      <c r="AC25" s="656"/>
      <c r="AD25" s="212"/>
      <c r="AE25" s="570"/>
      <c r="AF25" s="571"/>
      <c r="AG25" s="571"/>
      <c r="AH25" s="571"/>
      <c r="AI25" s="571"/>
      <c r="AJ25" s="571"/>
      <c r="AK25" s="571"/>
      <c r="AL25" s="571"/>
      <c r="AM25" s="571"/>
      <c r="AN25" s="571"/>
    </row>
    <row r="26" spans="1:40" x14ac:dyDescent="0.25">
      <c r="A26" s="35" t="s">
        <v>38</v>
      </c>
      <c r="B26" s="658">
        <v>13</v>
      </c>
      <c r="C26" s="71">
        <v>12</v>
      </c>
      <c r="D26" s="71">
        <v>11</v>
      </c>
      <c r="E26" s="71">
        <v>10</v>
      </c>
      <c r="F26" s="71">
        <v>15</v>
      </c>
      <c r="G26" s="71">
        <v>12</v>
      </c>
      <c r="H26" s="71">
        <v>11</v>
      </c>
      <c r="I26" s="71">
        <v>9</v>
      </c>
      <c r="J26" s="71">
        <v>17</v>
      </c>
      <c r="K26" s="162">
        <v>14</v>
      </c>
      <c r="L26" s="71">
        <v>13</v>
      </c>
      <c r="M26" s="71">
        <v>14</v>
      </c>
      <c r="N26" s="71">
        <v>5</v>
      </c>
      <c r="O26" s="659">
        <v>31</v>
      </c>
      <c r="P26" s="659">
        <v>28</v>
      </c>
      <c r="Q26" s="659">
        <v>24</v>
      </c>
      <c r="R26" s="71">
        <v>53</v>
      </c>
      <c r="S26" s="71"/>
      <c r="T26" s="172"/>
      <c r="U26" s="71"/>
      <c r="V26" s="340"/>
      <c r="W26" s="340"/>
      <c r="X26" s="340"/>
      <c r="Y26" s="71"/>
      <c r="Z26" s="71"/>
      <c r="AA26" s="242"/>
      <c r="AB26" s="655"/>
      <c r="AC26" s="656"/>
      <c r="AD26" s="212"/>
      <c r="AE26" s="570"/>
      <c r="AF26" s="571"/>
      <c r="AG26" s="571"/>
      <c r="AH26" s="571"/>
      <c r="AI26" s="571"/>
      <c r="AJ26" s="571"/>
      <c r="AK26" s="571"/>
      <c r="AL26" s="571"/>
      <c r="AM26" s="571"/>
      <c r="AN26" s="571"/>
    </row>
    <row r="27" spans="1:40" x14ac:dyDescent="0.25">
      <c r="A27" s="35" t="s">
        <v>39</v>
      </c>
      <c r="B27" s="658"/>
      <c r="C27" s="71"/>
      <c r="D27" s="71"/>
      <c r="E27" s="71"/>
      <c r="F27" s="71"/>
      <c r="G27" s="71"/>
      <c r="H27" s="71"/>
      <c r="I27" s="71"/>
      <c r="J27" s="71"/>
      <c r="K27" s="162"/>
      <c r="L27" s="71"/>
      <c r="M27" s="71"/>
      <c r="N27" s="71"/>
      <c r="O27" s="657"/>
      <c r="P27" s="71"/>
      <c r="Q27" s="71"/>
      <c r="R27" s="71"/>
      <c r="S27" s="71"/>
      <c r="T27" s="172"/>
      <c r="U27" s="71"/>
      <c r="V27" s="340"/>
      <c r="W27" s="340"/>
      <c r="X27" s="340"/>
      <c r="Y27" s="71"/>
      <c r="Z27" s="71"/>
      <c r="AA27" s="242"/>
      <c r="AB27" s="655"/>
      <c r="AC27" s="656"/>
      <c r="AD27" s="212"/>
      <c r="AE27" s="570"/>
      <c r="AF27" s="571"/>
      <c r="AG27" s="571"/>
      <c r="AH27" s="571"/>
      <c r="AI27" s="571"/>
      <c r="AJ27" s="571"/>
      <c r="AK27" s="571"/>
      <c r="AL27" s="571"/>
      <c r="AM27" s="571"/>
      <c r="AN27" s="571"/>
    </row>
    <row r="28" spans="1:40" x14ac:dyDescent="0.25">
      <c r="A28" s="35" t="s">
        <v>62</v>
      </c>
      <c r="B28" s="658">
        <v>0</v>
      </c>
      <c r="C28" s="71"/>
      <c r="D28" s="71"/>
      <c r="E28" s="71"/>
      <c r="F28" s="71"/>
      <c r="G28" s="71"/>
      <c r="H28" s="71"/>
      <c r="I28" s="71"/>
      <c r="J28" s="71"/>
      <c r="K28" s="162"/>
      <c r="L28" s="71"/>
      <c r="M28" s="71"/>
      <c r="N28" s="71"/>
      <c r="O28" s="657"/>
      <c r="P28" s="71"/>
      <c r="Q28" s="71"/>
      <c r="R28" s="71"/>
      <c r="S28" s="71"/>
      <c r="T28" s="172"/>
      <c r="U28" s="71"/>
      <c r="V28" s="340"/>
      <c r="W28" s="340"/>
      <c r="X28" s="340"/>
      <c r="Y28" s="71"/>
      <c r="Z28" s="71"/>
      <c r="AA28" s="242"/>
      <c r="AB28" s="655"/>
      <c r="AC28" s="656"/>
      <c r="AD28" s="212"/>
      <c r="AE28" s="570"/>
      <c r="AF28" s="571"/>
      <c r="AG28" s="571"/>
      <c r="AH28" s="571"/>
      <c r="AI28" s="571"/>
      <c r="AJ28" s="571"/>
      <c r="AK28" s="571"/>
      <c r="AL28" s="571"/>
      <c r="AM28" s="571"/>
      <c r="AN28" s="571"/>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26">
        <f t="shared" si="2"/>
        <v>143</v>
      </c>
      <c r="P29" s="526">
        <f t="shared" si="2"/>
        <v>192</v>
      </c>
      <c r="Q29" s="526">
        <f t="shared" si="2"/>
        <v>179</v>
      </c>
      <c r="R29" s="52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57"/>
      <c r="P30" s="71"/>
      <c r="Q30" s="71"/>
      <c r="R30" s="71"/>
      <c r="S30" s="71"/>
      <c r="T30" s="172"/>
      <c r="U30" s="71"/>
      <c r="V30" s="340"/>
      <c r="W30" s="340"/>
      <c r="X30" s="340"/>
      <c r="Y30" s="71"/>
      <c r="Z30" s="71"/>
      <c r="AA30" s="242"/>
      <c r="AB30" s="655"/>
      <c r="AC30" s="653"/>
      <c r="AD30" s="212"/>
      <c r="AE30" s="570"/>
      <c r="AF30" s="571"/>
      <c r="AG30" s="571"/>
      <c r="AH30" s="571"/>
      <c r="AI30" s="571"/>
      <c r="AJ30" s="571"/>
      <c r="AK30" s="571"/>
      <c r="AL30" s="571"/>
      <c r="AM30" s="571"/>
      <c r="AN30" s="571"/>
    </row>
    <row r="31" spans="1:40" x14ac:dyDescent="0.25">
      <c r="A31" s="35" t="s">
        <v>36</v>
      </c>
      <c r="B31" s="660">
        <v>293</v>
      </c>
      <c r="C31" s="71">
        <v>301</v>
      </c>
      <c r="D31" s="71">
        <v>277</v>
      </c>
      <c r="E31" s="71">
        <v>266</v>
      </c>
      <c r="F31" s="71">
        <v>304</v>
      </c>
      <c r="G31" s="71">
        <v>288</v>
      </c>
      <c r="H31" s="71">
        <v>279</v>
      </c>
      <c r="I31" s="71">
        <v>267</v>
      </c>
      <c r="J31" s="71">
        <v>290</v>
      </c>
      <c r="K31" s="162">
        <v>280</v>
      </c>
      <c r="L31" s="71">
        <v>271</v>
      </c>
      <c r="M31" s="71">
        <v>249</v>
      </c>
      <c r="N31" s="71">
        <v>268</v>
      </c>
      <c r="O31" s="657">
        <v>185</v>
      </c>
      <c r="P31" s="71">
        <v>166</v>
      </c>
      <c r="Q31" s="71">
        <v>151</v>
      </c>
      <c r="R31" s="71">
        <v>139</v>
      </c>
      <c r="S31" s="71"/>
      <c r="T31" s="172"/>
      <c r="U31" s="71"/>
      <c r="V31" s="340"/>
      <c r="W31" s="340"/>
      <c r="X31" s="340"/>
      <c r="Y31" s="71"/>
      <c r="Z31" s="71"/>
      <c r="AA31" s="242"/>
      <c r="AB31" s="655"/>
      <c r="AC31" s="656"/>
      <c r="AD31" s="212"/>
      <c r="AE31" s="570"/>
      <c r="AF31" s="571"/>
      <c r="AG31" s="571"/>
      <c r="AH31" s="571"/>
      <c r="AI31" s="571"/>
      <c r="AJ31" s="571"/>
      <c r="AK31" s="571"/>
      <c r="AL31" s="571"/>
      <c r="AM31" s="571"/>
      <c r="AN31" s="571"/>
    </row>
    <row r="32" spans="1:40" x14ac:dyDescent="0.25">
      <c r="A32" s="35" t="s">
        <v>37</v>
      </c>
      <c r="B32" s="660">
        <v>65</v>
      </c>
      <c r="C32" s="71">
        <v>65</v>
      </c>
      <c r="D32" s="71">
        <v>63</v>
      </c>
      <c r="E32" s="71">
        <v>57</v>
      </c>
      <c r="F32" s="71">
        <v>75</v>
      </c>
      <c r="G32" s="71">
        <v>74</v>
      </c>
      <c r="H32" s="71">
        <v>74</v>
      </c>
      <c r="I32" s="71">
        <v>75</v>
      </c>
      <c r="J32" s="71">
        <v>96</v>
      </c>
      <c r="K32" s="162">
        <v>95</v>
      </c>
      <c r="L32" s="71">
        <v>91</v>
      </c>
      <c r="M32" s="71">
        <v>86</v>
      </c>
      <c r="N32" s="71">
        <v>89</v>
      </c>
      <c r="O32" s="657">
        <v>26</v>
      </c>
      <c r="P32" s="71">
        <v>22</v>
      </c>
      <c r="Q32" s="71">
        <v>22</v>
      </c>
      <c r="R32" s="71">
        <v>20</v>
      </c>
      <c r="S32" s="71"/>
      <c r="T32" s="172"/>
      <c r="U32" s="71"/>
      <c r="V32" s="340"/>
      <c r="W32" s="340"/>
      <c r="X32" s="340"/>
      <c r="Y32" s="71"/>
      <c r="Z32" s="71"/>
      <c r="AA32" s="242"/>
      <c r="AB32" s="655"/>
      <c r="AC32" s="656"/>
      <c r="AD32" s="212"/>
      <c r="AE32" s="570"/>
      <c r="AF32" s="571"/>
      <c r="AG32" s="571"/>
      <c r="AH32" s="571"/>
      <c r="AI32" s="571"/>
      <c r="AJ32" s="571"/>
      <c r="AK32" s="571"/>
      <c r="AL32" s="571"/>
      <c r="AM32" s="571"/>
      <c r="AN32" s="571"/>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57">
        <v>9</v>
      </c>
      <c r="P33" s="71">
        <v>9</v>
      </c>
      <c r="Q33" s="71">
        <v>5</v>
      </c>
      <c r="R33" s="71">
        <v>5</v>
      </c>
      <c r="S33" s="71"/>
      <c r="T33" s="172"/>
      <c r="U33" s="71"/>
      <c r="V33" s="340"/>
      <c r="W33" s="340"/>
      <c r="X33" s="340"/>
      <c r="Y33" s="71"/>
      <c r="Z33" s="71"/>
      <c r="AA33" s="242"/>
      <c r="AB33" s="655"/>
      <c r="AC33" s="656"/>
      <c r="AD33" s="212"/>
      <c r="AE33" s="570"/>
      <c r="AF33" s="571"/>
      <c r="AG33" s="571"/>
      <c r="AH33" s="571"/>
      <c r="AI33" s="571"/>
      <c r="AJ33" s="571"/>
      <c r="AK33" s="571"/>
      <c r="AL33" s="571"/>
      <c r="AM33" s="571"/>
      <c r="AN33" s="571"/>
    </row>
    <row r="34" spans="1:40" x14ac:dyDescent="0.25">
      <c r="A34" s="35" t="s">
        <v>39</v>
      </c>
      <c r="B34" s="68"/>
      <c r="C34" s="71"/>
      <c r="D34" s="71"/>
      <c r="E34" s="71"/>
      <c r="F34" s="71"/>
      <c r="G34" s="71"/>
      <c r="H34" s="71"/>
      <c r="I34" s="71"/>
      <c r="J34" s="71"/>
      <c r="K34" s="162"/>
      <c r="L34" s="71"/>
      <c r="M34" s="71"/>
      <c r="N34" s="71"/>
      <c r="O34" s="657"/>
      <c r="P34" s="71"/>
      <c r="Q34" s="71"/>
      <c r="R34" s="71"/>
      <c r="S34" s="71"/>
      <c r="T34" s="172"/>
      <c r="U34" s="71"/>
      <c r="V34" s="340"/>
      <c r="W34" s="340"/>
      <c r="X34" s="340"/>
      <c r="Y34" s="71"/>
      <c r="Z34" s="71"/>
      <c r="AA34" s="242"/>
      <c r="AB34" s="655"/>
      <c r="AC34" s="656"/>
      <c r="AD34" s="212"/>
      <c r="AE34" s="570"/>
      <c r="AF34" s="571"/>
      <c r="AG34" s="571"/>
      <c r="AH34" s="571"/>
      <c r="AI34" s="571"/>
      <c r="AJ34" s="571"/>
      <c r="AK34" s="571"/>
      <c r="AL34" s="571"/>
      <c r="AM34" s="571"/>
      <c r="AN34" s="571"/>
    </row>
    <row r="35" spans="1:40" x14ac:dyDescent="0.25">
      <c r="A35" s="35" t="s">
        <v>62</v>
      </c>
      <c r="B35" s="131">
        <v>0</v>
      </c>
      <c r="C35" s="71"/>
      <c r="D35" s="71"/>
      <c r="E35" s="71"/>
      <c r="F35" s="71"/>
      <c r="G35" s="71"/>
      <c r="H35" s="71"/>
      <c r="I35" s="71"/>
      <c r="J35" s="71"/>
      <c r="K35" s="162"/>
      <c r="L35" s="71"/>
      <c r="M35" s="71"/>
      <c r="N35" s="71"/>
      <c r="O35" s="657"/>
      <c r="P35" s="71"/>
      <c r="Q35" s="71"/>
      <c r="R35" s="71"/>
      <c r="S35" s="71"/>
      <c r="T35" s="172"/>
      <c r="U35" s="71"/>
      <c r="V35" s="340"/>
      <c r="W35" s="340"/>
      <c r="X35" s="340"/>
      <c r="Y35" s="71"/>
      <c r="Z35" s="71"/>
      <c r="AA35" s="242"/>
      <c r="AB35" s="655"/>
      <c r="AC35" s="656"/>
      <c r="AD35" s="212"/>
      <c r="AE35" s="570"/>
      <c r="AF35" s="571"/>
      <c r="AG35" s="571"/>
      <c r="AH35" s="571"/>
      <c r="AI35" s="571"/>
      <c r="AJ35" s="571"/>
      <c r="AK35" s="571"/>
      <c r="AL35" s="571"/>
      <c r="AM35" s="571"/>
      <c r="AN35" s="571"/>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61">
        <f t="shared" si="3"/>
        <v>220</v>
      </c>
      <c r="P36" s="661">
        <f t="shared" si="3"/>
        <v>197</v>
      </c>
      <c r="Q36" s="661">
        <f t="shared" si="3"/>
        <v>178</v>
      </c>
      <c r="R36" s="661">
        <f t="shared" si="3"/>
        <v>164</v>
      </c>
      <c r="S36" s="60"/>
      <c r="T36" s="173"/>
      <c r="U36" s="173"/>
      <c r="V36" s="601"/>
      <c r="W36" s="601"/>
      <c r="X36" s="601"/>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62"/>
      <c r="P37" s="76"/>
      <c r="Q37" s="76"/>
      <c r="R37" s="76"/>
      <c r="S37" s="76"/>
      <c r="T37" s="174"/>
      <c r="U37" s="76"/>
      <c r="V37" s="372"/>
      <c r="W37" s="372"/>
      <c r="X37" s="372"/>
      <c r="Y37" s="76"/>
      <c r="Z37" s="76"/>
      <c r="AA37" s="253"/>
      <c r="AB37" s="663"/>
      <c r="AC37" s="664"/>
      <c r="AD37" s="66"/>
      <c r="AE37" s="523"/>
      <c r="AF37" s="524"/>
      <c r="AG37" s="524"/>
      <c r="AH37" s="524"/>
      <c r="AI37" s="524"/>
      <c r="AJ37" s="524"/>
      <c r="AK37" s="524"/>
      <c r="AL37" s="524"/>
      <c r="AM37" s="524"/>
      <c r="AN37" s="52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65">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604">
        <v>12070.64</v>
      </c>
      <c r="AB38" s="612">
        <v>8230.57</v>
      </c>
      <c r="AC38" s="666">
        <v>4278.1400000000003</v>
      </c>
      <c r="AD38" s="310">
        <v>2462.09</v>
      </c>
      <c r="AE38" s="348">
        <v>-1352.37</v>
      </c>
      <c r="AF38" s="668">
        <v>3374.16</v>
      </c>
      <c r="AG38" s="668">
        <v>485.83</v>
      </c>
      <c r="AH38" s="668">
        <v>1199.1600000000001</v>
      </c>
      <c r="AI38" s="668">
        <v>80.959999999999994</v>
      </c>
      <c r="AJ38" s="668">
        <v>6611.02</v>
      </c>
      <c r="AK38" s="668"/>
      <c r="AL38" s="668"/>
      <c r="AM38" s="668"/>
      <c r="AN38" s="668"/>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65">
        <v>5363.23</v>
      </c>
      <c r="P39" s="427">
        <v>3542.09</v>
      </c>
      <c r="Q39" s="427">
        <v>3542.09</v>
      </c>
      <c r="R39" s="427">
        <v>1424.6</v>
      </c>
      <c r="S39" s="427">
        <v>5586.35</v>
      </c>
      <c r="T39" s="480">
        <v>4346.91</v>
      </c>
      <c r="U39" s="427">
        <v>2135.87</v>
      </c>
      <c r="V39" s="340">
        <v>2123.44</v>
      </c>
      <c r="W39" s="341">
        <v>-1028.3</v>
      </c>
      <c r="X39" s="341">
        <v>-3430.03</v>
      </c>
      <c r="Y39" s="427">
        <v>-5410.83</v>
      </c>
      <c r="Z39" s="427">
        <v>-5550.31</v>
      </c>
      <c r="AA39" s="604">
        <v>-4861.17</v>
      </c>
      <c r="AB39" s="613">
        <v>-4920.12</v>
      </c>
      <c r="AC39" s="669">
        <v>-2048.89</v>
      </c>
      <c r="AD39" s="756">
        <v>-1935.63</v>
      </c>
      <c r="AE39" s="650">
        <v>190.12</v>
      </c>
      <c r="AF39" s="668">
        <v>274.74</v>
      </c>
      <c r="AG39" s="668">
        <v>133.38999999999999</v>
      </c>
      <c r="AH39" s="668">
        <v>73.209999999999994</v>
      </c>
      <c r="AI39" s="760">
        <v>-519.46</v>
      </c>
      <c r="AJ39" s="760">
        <v>-297.86</v>
      </c>
      <c r="AK39" s="668"/>
      <c r="AL39" s="668"/>
      <c r="AM39" s="668"/>
      <c r="AN39" s="668"/>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65">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604">
        <v>1386.6</v>
      </c>
      <c r="AB40" s="612">
        <v>1288.76</v>
      </c>
      <c r="AC40" s="666">
        <v>145.85</v>
      </c>
      <c r="AD40" s="756">
        <v>-607.84</v>
      </c>
      <c r="AE40" s="348">
        <v>-990.7</v>
      </c>
      <c r="AF40" s="668">
        <v>749.03</v>
      </c>
      <c r="AG40" s="668">
        <v>773.75</v>
      </c>
      <c r="AH40" s="760">
        <v>-156.27000000000001</v>
      </c>
      <c r="AI40" s="760">
        <v>-309.18</v>
      </c>
      <c r="AJ40" s="668">
        <v>2457.21</v>
      </c>
      <c r="AK40" s="668"/>
      <c r="AL40" s="668"/>
      <c r="AM40" s="668"/>
      <c r="AN40" s="668"/>
    </row>
    <row r="41" spans="1:40" x14ac:dyDescent="0.25">
      <c r="A41" s="35" t="s">
        <v>39</v>
      </c>
      <c r="B41" s="364"/>
      <c r="C41" s="365"/>
      <c r="D41" s="340"/>
      <c r="E41" s="340"/>
      <c r="F41" s="340"/>
      <c r="G41" s="427"/>
      <c r="H41" s="340"/>
      <c r="J41" s="340"/>
      <c r="K41" s="342"/>
      <c r="L41" s="340"/>
      <c r="M41" s="340"/>
      <c r="N41" s="340"/>
      <c r="O41" s="670"/>
      <c r="P41" s="79"/>
      <c r="Q41" s="427"/>
      <c r="R41" s="427"/>
      <c r="S41" s="427"/>
      <c r="T41" s="480"/>
      <c r="U41" s="427"/>
      <c r="V41" s="340"/>
      <c r="W41" s="340"/>
      <c r="X41" s="340"/>
      <c r="Y41" s="79"/>
      <c r="Z41" s="79"/>
      <c r="AA41" s="604"/>
      <c r="AB41" s="287"/>
      <c r="AC41" s="666"/>
      <c r="AD41" s="310"/>
      <c r="AE41" s="667"/>
      <c r="AF41" s="668"/>
      <c r="AG41" s="668"/>
      <c r="AH41" s="668"/>
      <c r="AI41" s="668"/>
      <c r="AJ41" s="668"/>
      <c r="AK41" s="668"/>
      <c r="AL41" s="668"/>
      <c r="AM41" s="668"/>
      <c r="AN41" s="668"/>
    </row>
    <row r="42" spans="1:40" x14ac:dyDescent="0.25">
      <c r="A42" s="35" t="s">
        <v>62</v>
      </c>
      <c r="B42" s="364">
        <v>0</v>
      </c>
      <c r="C42" s="365"/>
      <c r="D42" s="340"/>
      <c r="E42" s="340"/>
      <c r="F42" s="340"/>
      <c r="G42" s="427"/>
      <c r="H42" s="340"/>
      <c r="I42" s="340"/>
      <c r="J42" s="340"/>
      <c r="K42" s="342"/>
      <c r="L42" s="340"/>
      <c r="M42" s="340"/>
      <c r="N42" s="340"/>
      <c r="O42" s="670"/>
      <c r="P42" s="79"/>
      <c r="Q42" s="427"/>
      <c r="R42" s="427"/>
      <c r="S42" s="427"/>
      <c r="T42" s="480"/>
      <c r="U42" s="427"/>
      <c r="V42" s="340"/>
      <c r="W42" s="340"/>
      <c r="X42" s="340"/>
      <c r="Y42" s="79"/>
      <c r="Z42" s="79"/>
      <c r="AA42" s="604"/>
      <c r="AB42" s="287"/>
      <c r="AC42" s="666"/>
      <c r="AD42" s="310"/>
      <c r="AE42" s="667"/>
      <c r="AF42" s="668"/>
      <c r="AG42" s="668"/>
      <c r="AH42" s="668"/>
      <c r="AI42" s="668"/>
      <c r="AJ42" s="668"/>
      <c r="AK42" s="668"/>
      <c r="AL42" s="668"/>
      <c r="AM42" s="668"/>
      <c r="AN42" s="668"/>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57">
        <f t="shared" ref="AD43:AJ43" si="5">SUM(AD38:AD42)</f>
        <v>-81.38</v>
      </c>
      <c r="AE43" s="757">
        <f t="shared" si="5"/>
        <v>-2152.9499999999998</v>
      </c>
      <c r="AF43" s="483">
        <f t="shared" si="5"/>
        <v>4397.9299999999994</v>
      </c>
      <c r="AG43" s="483">
        <f t="shared" si="5"/>
        <v>1392.97</v>
      </c>
      <c r="AH43" s="483">
        <f t="shared" si="5"/>
        <v>1116.1000000000001</v>
      </c>
      <c r="AI43" s="757">
        <f t="shared" si="5"/>
        <v>-747.68000000000006</v>
      </c>
      <c r="AJ43" s="766">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70"/>
      <c r="P44" s="79"/>
      <c r="Q44" s="427"/>
      <c r="R44" s="427"/>
      <c r="S44" s="427"/>
      <c r="T44" s="480"/>
      <c r="U44" s="427"/>
      <c r="V44" s="340"/>
      <c r="W44" s="340"/>
      <c r="X44" s="340"/>
      <c r="Y44" s="79"/>
      <c r="Z44" s="79"/>
      <c r="AA44" s="604"/>
      <c r="AB44" s="287"/>
      <c r="AC44" s="671"/>
      <c r="AD44" s="310"/>
      <c r="AE44" s="667"/>
      <c r="AF44" s="668"/>
      <c r="AG44" s="668"/>
      <c r="AH44" s="668"/>
      <c r="AI44" s="668"/>
      <c r="AJ44" s="668"/>
      <c r="AK44" s="668"/>
      <c r="AL44" s="668"/>
      <c r="AM44" s="668"/>
      <c r="AN44" s="668"/>
    </row>
    <row r="45" spans="1:40" x14ac:dyDescent="0.25">
      <c r="A45" s="35" t="s">
        <v>36</v>
      </c>
      <c r="B45" s="364">
        <v>3557.97</v>
      </c>
      <c r="C45" s="365">
        <v>691.08</v>
      </c>
      <c r="D45" s="341">
        <v>-340.24</v>
      </c>
      <c r="E45" s="341">
        <v>-708.02</v>
      </c>
      <c r="F45" s="340">
        <v>9093.5</v>
      </c>
      <c r="G45" s="672">
        <v>8953.89</v>
      </c>
      <c r="H45" s="340">
        <v>6943.64</v>
      </c>
      <c r="I45" s="340">
        <v>5645.62</v>
      </c>
      <c r="J45" s="340">
        <v>23679.65</v>
      </c>
      <c r="K45" s="342">
        <v>21818.27</v>
      </c>
      <c r="L45" s="340">
        <v>18478.38</v>
      </c>
      <c r="M45" s="340">
        <v>14988.97</v>
      </c>
      <c r="N45" s="341">
        <v>-1562.1</v>
      </c>
      <c r="O45" s="665">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604">
        <v>33978.1</v>
      </c>
      <c r="AB45" s="612">
        <v>14205.26</v>
      </c>
      <c r="AC45" s="673">
        <v>13197</v>
      </c>
      <c r="AD45" s="310">
        <v>8479.64</v>
      </c>
      <c r="AE45" s="650">
        <v>7055.96</v>
      </c>
      <c r="AF45" s="668">
        <v>2429.7339999999999</v>
      </c>
      <c r="AG45" s="668">
        <v>1585.98</v>
      </c>
      <c r="AH45" s="668">
        <v>127.88</v>
      </c>
      <c r="AI45" s="760">
        <v>-650.05999999999995</v>
      </c>
      <c r="AJ45" s="668">
        <v>437.88</v>
      </c>
      <c r="AK45" s="668"/>
      <c r="AL45" s="668"/>
      <c r="AM45" s="668"/>
      <c r="AN45" s="668"/>
    </row>
    <row r="46" spans="1:40" x14ac:dyDescent="0.25">
      <c r="A46" s="35" t="s">
        <v>37</v>
      </c>
      <c r="B46" s="364">
        <v>1089.19</v>
      </c>
      <c r="C46" s="365">
        <v>1082.97</v>
      </c>
      <c r="D46" s="340">
        <v>1069.8599999999999</v>
      </c>
      <c r="E46" s="340">
        <v>920.31</v>
      </c>
      <c r="F46" s="340">
        <v>3457.61</v>
      </c>
      <c r="G46" s="672">
        <v>3219.81</v>
      </c>
      <c r="H46" s="340">
        <v>3245.58</v>
      </c>
      <c r="I46" s="340">
        <v>3230.96</v>
      </c>
      <c r="J46" s="340">
        <v>7667.92</v>
      </c>
      <c r="K46" s="342">
        <v>7523.09</v>
      </c>
      <c r="L46" s="340">
        <v>6932.95</v>
      </c>
      <c r="M46" s="340">
        <v>6861.66</v>
      </c>
      <c r="N46" s="340">
        <v>12.03</v>
      </c>
      <c r="O46" s="665">
        <v>1354.42</v>
      </c>
      <c r="P46" s="427">
        <v>847.87</v>
      </c>
      <c r="Q46" s="427">
        <v>847.87</v>
      </c>
      <c r="R46" s="427">
        <v>730.11</v>
      </c>
      <c r="S46" s="427">
        <v>2548.59</v>
      </c>
      <c r="T46" s="480">
        <v>1987.54</v>
      </c>
      <c r="U46" s="427">
        <v>1921.44</v>
      </c>
      <c r="V46" s="340">
        <v>1036.5</v>
      </c>
      <c r="W46" s="340">
        <v>1288.7</v>
      </c>
      <c r="X46" s="340">
        <v>3585.48</v>
      </c>
      <c r="Y46" s="427">
        <v>2094.92</v>
      </c>
      <c r="Z46" s="427">
        <v>2095.34</v>
      </c>
      <c r="AA46" s="604">
        <v>-890.92</v>
      </c>
      <c r="AB46" s="613">
        <v>-3010.65</v>
      </c>
      <c r="AC46" s="674">
        <v>-4669.29</v>
      </c>
      <c r="AD46" s="756">
        <v>-4543.21</v>
      </c>
      <c r="AE46" s="348">
        <v>-4293.21</v>
      </c>
      <c r="AF46" s="760">
        <v>-4086.53</v>
      </c>
      <c r="AG46" s="760">
        <v>-1765.67</v>
      </c>
      <c r="AH46" s="760">
        <v>-1707.09</v>
      </c>
      <c r="AI46" s="668">
        <v>117.62</v>
      </c>
      <c r="AJ46" s="668">
        <v>221.81</v>
      </c>
      <c r="AK46" s="668"/>
      <c r="AL46" s="668"/>
      <c r="AM46" s="668"/>
      <c r="AN46" s="668"/>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65">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604">
        <v>-3924.88</v>
      </c>
      <c r="AB47" s="612">
        <v>575.78</v>
      </c>
      <c r="AC47" s="673">
        <v>496.96</v>
      </c>
      <c r="AD47" s="310">
        <v>469.75</v>
      </c>
      <c r="AE47" s="650">
        <v>471.72</v>
      </c>
      <c r="AF47" s="668">
        <v>693.46</v>
      </c>
      <c r="AG47" s="668">
        <v>633.12</v>
      </c>
      <c r="AH47" s="760">
        <v>-331.24</v>
      </c>
      <c r="AI47" s="760">
        <v>-697.63</v>
      </c>
      <c r="AJ47" s="760">
        <v>-400.29</v>
      </c>
      <c r="AK47" s="668"/>
      <c r="AL47" s="668"/>
      <c r="AM47" s="668"/>
      <c r="AN47" s="668"/>
    </row>
    <row r="48" spans="1:40" x14ac:dyDescent="0.25">
      <c r="A48" s="35" t="s">
        <v>39</v>
      </c>
      <c r="B48" s="364"/>
      <c r="C48" s="365"/>
      <c r="D48" s="340"/>
      <c r="E48" s="340"/>
      <c r="F48" s="340"/>
      <c r="G48" s="427"/>
      <c r="H48" s="340"/>
      <c r="I48" s="340"/>
      <c r="J48" s="340"/>
      <c r="K48" s="342"/>
      <c r="L48" s="340"/>
      <c r="M48" s="340"/>
      <c r="N48" s="340"/>
      <c r="O48" s="670"/>
      <c r="P48" s="79"/>
      <c r="Q48" s="427"/>
      <c r="R48" s="427"/>
      <c r="S48" s="427"/>
      <c r="T48" s="480"/>
      <c r="U48" s="427"/>
      <c r="V48" s="340"/>
      <c r="W48" s="340"/>
      <c r="X48" s="340"/>
      <c r="Y48" s="79"/>
      <c r="Z48" s="79"/>
      <c r="AA48" s="604"/>
      <c r="AB48" s="287"/>
      <c r="AC48" s="673"/>
      <c r="AD48" s="310"/>
      <c r="AE48" s="650"/>
      <c r="AF48" s="668"/>
      <c r="AG48" s="668"/>
      <c r="AH48" s="668"/>
      <c r="AI48" s="668"/>
      <c r="AJ48" s="668"/>
      <c r="AK48" s="668"/>
      <c r="AL48" s="668"/>
      <c r="AM48" s="668"/>
      <c r="AN48" s="668"/>
    </row>
    <row r="49" spans="1:40" x14ac:dyDescent="0.25">
      <c r="A49" s="35" t="s">
        <v>62</v>
      </c>
      <c r="B49" s="364">
        <v>0</v>
      </c>
      <c r="C49" s="365"/>
      <c r="D49" s="340"/>
      <c r="E49" s="340"/>
      <c r="F49" s="340"/>
      <c r="G49" s="427"/>
      <c r="H49" s="340"/>
      <c r="I49" s="340"/>
      <c r="J49" s="340"/>
      <c r="K49" s="342"/>
      <c r="L49" s="340"/>
      <c r="M49" s="340"/>
      <c r="N49" s="340"/>
      <c r="O49" s="670"/>
      <c r="P49" s="79"/>
      <c r="Q49" s="427"/>
      <c r="R49" s="427"/>
      <c r="S49" s="427"/>
      <c r="T49" s="480"/>
      <c r="U49" s="427"/>
      <c r="V49" s="340"/>
      <c r="W49" s="340"/>
      <c r="X49" s="340"/>
      <c r="Y49" s="79"/>
      <c r="Z49" s="79"/>
      <c r="AA49" s="604"/>
      <c r="AB49" s="287"/>
      <c r="AC49" s="673"/>
      <c r="AD49" s="310"/>
      <c r="AE49" s="650"/>
      <c r="AF49" s="668"/>
      <c r="AG49" s="668"/>
      <c r="AH49" s="668"/>
      <c r="AI49" s="668"/>
      <c r="AJ49" s="668"/>
      <c r="AK49" s="668"/>
      <c r="AL49" s="668"/>
      <c r="AM49" s="668"/>
      <c r="AN49" s="668"/>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57">
        <f t="shared" si="7"/>
        <v>-963.33600000000024</v>
      </c>
      <c r="AG50" s="483">
        <f t="shared" si="7"/>
        <v>453.42999999999995</v>
      </c>
      <c r="AH50" s="757">
        <f t="shared" si="7"/>
        <v>-1910.45</v>
      </c>
      <c r="AI50" s="757">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70"/>
      <c r="P51" s="79"/>
      <c r="Q51" s="427"/>
      <c r="R51" s="427"/>
      <c r="S51" s="427"/>
      <c r="T51" s="480"/>
      <c r="U51" s="427"/>
      <c r="V51" s="340"/>
      <c r="W51" s="340"/>
      <c r="X51" s="340"/>
      <c r="Y51" s="79"/>
      <c r="Z51" s="79"/>
      <c r="AA51" s="604"/>
      <c r="AB51" s="287"/>
      <c r="AC51" s="671"/>
      <c r="AD51" s="310"/>
      <c r="AE51" s="650"/>
      <c r="AF51" s="668"/>
      <c r="AG51" s="668"/>
      <c r="AH51" s="668"/>
      <c r="AI51" s="668"/>
      <c r="AJ51" s="668"/>
      <c r="AK51" s="668"/>
      <c r="AL51" s="668"/>
      <c r="AM51" s="668"/>
      <c r="AN51" s="668"/>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65">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604">
        <v>44143.73</v>
      </c>
      <c r="AB52" s="612">
        <v>56369.57</v>
      </c>
      <c r="AC52" s="673">
        <v>50585.32</v>
      </c>
      <c r="AD52" s="310">
        <v>35300.239999999998</v>
      </c>
      <c r="AE52" s="650">
        <v>29779.21</v>
      </c>
      <c r="AF52" s="668">
        <v>38483.49</v>
      </c>
      <c r="AG52" s="668">
        <v>34483.89</v>
      </c>
      <c r="AH52" s="668">
        <v>26358.23</v>
      </c>
      <c r="AI52" s="668">
        <v>21490.799999999999</v>
      </c>
      <c r="AJ52" s="668">
        <v>25689.11</v>
      </c>
      <c r="AK52" s="668"/>
      <c r="AL52" s="668"/>
      <c r="AM52" s="668"/>
      <c r="AN52" s="668"/>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65">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604">
        <v>2323.54</v>
      </c>
      <c r="AB53" s="612">
        <v>4546.5600000000004</v>
      </c>
      <c r="AC53" s="673">
        <v>4116.3999999999996</v>
      </c>
      <c r="AD53" s="310">
        <v>5224.87</v>
      </c>
      <c r="AE53" s="650">
        <v>4333.5200000000004</v>
      </c>
      <c r="AF53" s="668">
        <v>5280.16</v>
      </c>
      <c r="AG53" s="760">
        <v>-1095.8800000000001</v>
      </c>
      <c r="AH53" s="760">
        <v>-1350.59</v>
      </c>
      <c r="AI53" s="760">
        <v>-3037.04</v>
      </c>
      <c r="AJ53" s="760">
        <v>-2462.67</v>
      </c>
      <c r="AK53" s="668"/>
      <c r="AL53" s="668"/>
      <c r="AM53" s="668"/>
      <c r="AN53" s="668"/>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65">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604">
        <v>-2059.31</v>
      </c>
      <c r="AB54" s="613">
        <v>-6723.25</v>
      </c>
      <c r="AC54" s="674">
        <v>-6634.02</v>
      </c>
      <c r="AD54" s="756">
        <v>-6736.93</v>
      </c>
      <c r="AE54" s="348">
        <v>-6729.51</v>
      </c>
      <c r="AF54" s="760">
        <v>-6274.58</v>
      </c>
      <c r="AG54" s="760">
        <v>-6265.91</v>
      </c>
      <c r="AH54" s="760">
        <v>-7608.82</v>
      </c>
      <c r="AI54" s="760">
        <v>-7412.55</v>
      </c>
      <c r="AJ54" s="760">
        <v>-7435.2</v>
      </c>
      <c r="AK54" s="668"/>
      <c r="AL54" s="668"/>
      <c r="AM54" s="668"/>
      <c r="AN54" s="668"/>
    </row>
    <row r="55" spans="1:40" x14ac:dyDescent="0.25">
      <c r="A55" s="35" t="s">
        <v>39</v>
      </c>
      <c r="B55" s="364"/>
      <c r="C55" s="365"/>
      <c r="D55" s="340"/>
      <c r="E55" s="340"/>
      <c r="F55" s="340"/>
      <c r="G55" s="427"/>
      <c r="H55" s="340"/>
      <c r="I55" s="340"/>
      <c r="J55" s="340"/>
      <c r="K55" s="342"/>
      <c r="L55" s="340"/>
      <c r="M55" s="340"/>
      <c r="N55" s="340"/>
      <c r="O55" s="670"/>
      <c r="P55" s="79"/>
      <c r="Q55" s="427"/>
      <c r="R55" s="427"/>
      <c r="S55" s="427"/>
      <c r="T55" s="480"/>
      <c r="U55" s="427"/>
      <c r="V55" s="340"/>
      <c r="W55" s="340"/>
      <c r="X55" s="340"/>
      <c r="Y55" s="79"/>
      <c r="Z55" s="79"/>
      <c r="AA55" s="604"/>
      <c r="AB55" s="612"/>
      <c r="AC55" s="673"/>
      <c r="AD55" s="310"/>
      <c r="AE55" s="650"/>
      <c r="AF55" s="668"/>
      <c r="AG55" s="668"/>
      <c r="AH55" s="668"/>
      <c r="AI55" s="668"/>
      <c r="AJ55" s="668"/>
      <c r="AK55" s="668"/>
      <c r="AL55" s="668"/>
      <c r="AM55" s="668"/>
      <c r="AN55" s="668"/>
    </row>
    <row r="56" spans="1:40" x14ac:dyDescent="0.25">
      <c r="A56" s="35" t="s">
        <v>62</v>
      </c>
      <c r="B56" s="364">
        <v>0</v>
      </c>
      <c r="C56" s="365"/>
      <c r="D56" s="340"/>
      <c r="E56" s="340"/>
      <c r="F56" s="340"/>
      <c r="G56" s="427"/>
      <c r="H56" s="340"/>
      <c r="I56" s="340"/>
      <c r="J56" s="340"/>
      <c r="K56" s="342"/>
      <c r="L56" s="340"/>
      <c r="M56" s="340"/>
      <c r="N56" s="340"/>
      <c r="O56" s="670"/>
      <c r="P56" s="79"/>
      <c r="Q56" s="427"/>
      <c r="R56" s="427"/>
      <c r="S56" s="427"/>
      <c r="T56" s="480"/>
      <c r="U56" s="427"/>
      <c r="V56" s="340"/>
      <c r="W56" s="340"/>
      <c r="X56" s="340"/>
      <c r="Y56" s="79"/>
      <c r="Z56" s="79"/>
      <c r="AA56" s="604"/>
      <c r="AB56" s="287"/>
      <c r="AC56" s="673"/>
      <c r="AD56" s="310"/>
      <c r="AE56" s="650"/>
      <c r="AF56" s="668"/>
      <c r="AG56" s="668"/>
      <c r="AH56" s="668"/>
      <c r="AI56" s="668"/>
      <c r="AJ56" s="668"/>
      <c r="AK56" s="668"/>
      <c r="AL56" s="668"/>
      <c r="AM56" s="668"/>
      <c r="AN56" s="668"/>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70"/>
      <c r="P58" s="79"/>
      <c r="Q58" s="427"/>
      <c r="R58" s="427"/>
      <c r="S58" s="427"/>
      <c r="T58" s="480"/>
      <c r="U58" s="427"/>
      <c r="V58" s="340"/>
      <c r="W58" s="340"/>
      <c r="X58" s="340"/>
      <c r="Y58" s="79"/>
      <c r="Z58" s="79"/>
      <c r="AA58" s="604"/>
      <c r="AB58" s="652"/>
      <c r="AC58" s="671"/>
      <c r="AD58" s="310"/>
      <c r="AE58" s="650"/>
      <c r="AF58" s="668"/>
      <c r="AG58" s="668"/>
      <c r="AH58" s="668"/>
      <c r="AI58" s="668"/>
      <c r="AJ58" s="668"/>
      <c r="AK58" s="668"/>
      <c r="AL58" s="668"/>
      <c r="AM58" s="668"/>
      <c r="AN58" s="668"/>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65">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604">
        <v>90192.47</v>
      </c>
      <c r="AB59" s="604">
        <v>78805.399999999994</v>
      </c>
      <c r="AC59" s="335">
        <v>68060.460000000006</v>
      </c>
      <c r="AD59" s="604">
        <v>46241.97</v>
      </c>
      <c r="AE59" s="604">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75">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604">
        <f>SUM(AA53,AA46,AA39)</f>
        <v>-3428.55</v>
      </c>
      <c r="AB60" s="604">
        <v>-3384.21</v>
      </c>
      <c r="AC60" s="676">
        <v>-2601.7800000000002</v>
      </c>
      <c r="AD60" s="604">
        <v>-1253.97</v>
      </c>
      <c r="AE60" s="604">
        <v>230.43</v>
      </c>
      <c r="AF60" s="335">
        <v>1468.37</v>
      </c>
      <c r="AG60" s="676">
        <v>-2728.16</v>
      </c>
      <c r="AH60" s="676">
        <v>-2984.47</v>
      </c>
      <c r="AI60" s="676">
        <v>-3438.88</v>
      </c>
      <c r="AJ60" s="676">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75">
        <v>22721.13</v>
      </c>
      <c r="P61" s="428">
        <v>14076.76</v>
      </c>
      <c r="Q61" s="428">
        <f>Q54+Q47+Q40</f>
        <v>10103.19</v>
      </c>
      <c r="R61" s="428">
        <v>7450.49</v>
      </c>
      <c r="S61" s="428">
        <v>38117.43</v>
      </c>
      <c r="T61" s="481">
        <v>35899.74</v>
      </c>
      <c r="U61" s="481">
        <v>13260.41</v>
      </c>
      <c r="V61" s="543">
        <v>-5923.42</v>
      </c>
      <c r="W61" s="484">
        <v>4238.83</v>
      </c>
      <c r="X61" s="543">
        <v>-4692.34</v>
      </c>
      <c r="Y61" s="481">
        <f t="shared" si="10"/>
        <v>-5342.3700000000008</v>
      </c>
      <c r="Z61" s="481">
        <f t="shared" si="10"/>
        <v>-6403.2000000000007</v>
      </c>
      <c r="AA61" s="604">
        <f>SUM(AA54,AA47,AA40)</f>
        <v>-4597.59</v>
      </c>
      <c r="AB61" s="604">
        <v>-4858.71</v>
      </c>
      <c r="AC61" s="676">
        <v>-5991.21</v>
      </c>
      <c r="AD61" s="604">
        <v>-6875.02</v>
      </c>
      <c r="AE61" s="604">
        <v>-7248.49</v>
      </c>
      <c r="AF61" s="676">
        <v>-4832.09</v>
      </c>
      <c r="AG61" s="676">
        <v>-4859.04</v>
      </c>
      <c r="AH61" s="676">
        <v>-8096.33</v>
      </c>
      <c r="AI61" s="676">
        <v>-8419.36</v>
      </c>
      <c r="AJ61" s="676">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77"/>
      <c r="P62" s="77"/>
      <c r="Q62" s="428"/>
      <c r="R62" s="428"/>
      <c r="S62" s="428"/>
      <c r="T62" s="481"/>
      <c r="U62" s="481"/>
      <c r="V62" s="484"/>
      <c r="W62" s="484"/>
      <c r="X62" s="484"/>
      <c r="Y62" s="189"/>
      <c r="Z62" s="189"/>
      <c r="AA62" s="604"/>
      <c r="AB62" s="604"/>
      <c r="AC62" s="335"/>
      <c r="AD62" s="604"/>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77"/>
      <c r="P63" s="77"/>
      <c r="Q63" s="428"/>
      <c r="R63" s="428"/>
      <c r="S63" s="428"/>
      <c r="T63" s="481"/>
      <c r="U63" s="481"/>
      <c r="V63" s="484"/>
      <c r="W63" s="484"/>
      <c r="X63" s="484"/>
      <c r="Y63" s="189"/>
      <c r="Z63" s="189"/>
      <c r="AA63" s="604"/>
      <c r="AB63" s="604"/>
      <c r="AC63" s="335"/>
      <c r="AD63" s="604"/>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78"/>
      <c r="P65" s="64"/>
      <c r="Q65" s="64"/>
      <c r="R65" s="64"/>
      <c r="S65" s="64"/>
      <c r="T65" s="177"/>
      <c r="U65" s="64"/>
      <c r="V65" s="372"/>
      <c r="W65" s="372"/>
      <c r="X65" s="372"/>
      <c r="Y65" s="64"/>
      <c r="Z65" s="64"/>
      <c r="AA65" s="255"/>
      <c r="AB65" s="663"/>
      <c r="AC65" s="679"/>
      <c r="AD65" s="523"/>
      <c r="AE65" s="523"/>
      <c r="AF65" s="524"/>
      <c r="AG65" s="524"/>
      <c r="AH65" s="524"/>
      <c r="AI65" s="524"/>
      <c r="AJ65" s="524"/>
      <c r="AK65" s="524"/>
      <c r="AL65" s="524"/>
      <c r="AM65" s="524"/>
      <c r="AN65" s="524"/>
    </row>
    <row r="66" spans="1:40" x14ac:dyDescent="0.25">
      <c r="A66" s="35" t="s">
        <v>36</v>
      </c>
      <c r="B66" s="364">
        <v>291304.71999999997</v>
      </c>
      <c r="C66" s="365"/>
      <c r="D66" s="340"/>
      <c r="E66" s="340"/>
      <c r="F66" s="340">
        <v>252739.16</v>
      </c>
      <c r="G66" s="427"/>
      <c r="H66" s="340"/>
      <c r="I66" s="340"/>
      <c r="J66" s="340"/>
      <c r="K66" s="342"/>
      <c r="L66" s="340"/>
      <c r="M66" s="340"/>
      <c r="N66" s="340">
        <v>237118.31</v>
      </c>
      <c r="O66" s="680"/>
      <c r="P66" s="83"/>
      <c r="Q66" s="83"/>
      <c r="R66" s="83"/>
      <c r="S66" s="340">
        <v>146383.71</v>
      </c>
      <c r="T66" s="178"/>
      <c r="U66" s="83"/>
      <c r="V66" s="340"/>
      <c r="W66" s="340">
        <v>71337.87</v>
      </c>
      <c r="X66" s="340"/>
      <c r="Y66" s="83"/>
      <c r="Z66" s="83"/>
      <c r="AA66" s="605">
        <v>58077.84</v>
      </c>
      <c r="AB66" s="681"/>
      <c r="AC66" s="673"/>
      <c r="AD66" s="682"/>
      <c r="AE66" s="758">
        <v>55990.71</v>
      </c>
      <c r="AF66" s="571"/>
      <c r="AG66" s="571"/>
      <c r="AH66" s="571"/>
      <c r="AI66" s="571"/>
      <c r="AJ66" s="571">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80"/>
      <c r="P67" s="83"/>
      <c r="Q67" s="83"/>
      <c r="R67" s="83"/>
      <c r="S67" s="340">
        <v>6864.47</v>
      </c>
      <c r="T67" s="178"/>
      <c r="U67" s="83"/>
      <c r="V67" s="340"/>
      <c r="W67" s="340">
        <v>3524.43</v>
      </c>
      <c r="X67" s="340"/>
      <c r="Y67" s="83"/>
      <c r="Z67" s="83"/>
      <c r="AA67" s="605">
        <v>2682.02</v>
      </c>
      <c r="AB67" s="681"/>
      <c r="AC67" s="673"/>
      <c r="AD67" s="682"/>
      <c r="AE67" s="758">
        <v>2658.89</v>
      </c>
      <c r="AF67" s="571"/>
      <c r="AG67" s="571"/>
      <c r="AH67" s="571"/>
      <c r="AI67" s="571"/>
      <c r="AJ67" s="571">
        <v>2369.4499999999998</v>
      </c>
      <c r="AK67" s="571"/>
      <c r="AL67" s="571"/>
      <c r="AM67" s="571"/>
      <c r="AN67" s="571"/>
    </row>
    <row r="68" spans="1:40" x14ac:dyDescent="0.25">
      <c r="A68" s="35" t="s">
        <v>38</v>
      </c>
      <c r="B68" s="364">
        <v>85680.89</v>
      </c>
      <c r="C68" s="365"/>
      <c r="D68" s="340"/>
      <c r="E68" s="340"/>
      <c r="F68" s="340">
        <v>68732.25</v>
      </c>
      <c r="G68" s="427"/>
      <c r="H68" s="340"/>
      <c r="I68" s="340"/>
      <c r="J68" s="340"/>
      <c r="K68" s="342"/>
      <c r="L68" s="340"/>
      <c r="M68" s="340"/>
      <c r="N68" s="340">
        <v>63301.95</v>
      </c>
      <c r="O68" s="680"/>
      <c r="P68" s="83"/>
      <c r="Q68" s="83"/>
      <c r="R68" s="83"/>
      <c r="S68" s="340">
        <v>40791.980000000003</v>
      </c>
      <c r="T68" s="178"/>
      <c r="U68" s="83"/>
      <c r="V68" s="340"/>
      <c r="W68" s="340">
        <v>19285.849999999999</v>
      </c>
      <c r="X68" s="340"/>
      <c r="Y68" s="83"/>
      <c r="Z68" s="83"/>
      <c r="AA68" s="605">
        <v>15221.07</v>
      </c>
      <c r="AB68" s="681"/>
      <c r="AC68" s="673"/>
      <c r="AD68" s="682"/>
      <c r="AE68" s="758">
        <v>17570.64</v>
      </c>
      <c r="AF68" s="571"/>
      <c r="AG68" s="571"/>
      <c r="AH68" s="571"/>
      <c r="AI68" s="571"/>
      <c r="AJ68" s="571">
        <v>14266.88</v>
      </c>
      <c r="AK68" s="571"/>
      <c r="AL68" s="571"/>
      <c r="AM68" s="571"/>
      <c r="AN68" s="571"/>
    </row>
    <row r="69" spans="1:40" x14ac:dyDescent="0.25">
      <c r="A69" s="35" t="s">
        <v>39</v>
      </c>
      <c r="B69" s="364"/>
      <c r="C69" s="365"/>
      <c r="D69" s="340"/>
      <c r="E69" s="340"/>
      <c r="F69" s="340"/>
      <c r="G69" s="427"/>
      <c r="H69" s="340"/>
      <c r="I69" s="340"/>
      <c r="J69" s="340"/>
      <c r="K69" s="342"/>
      <c r="L69" s="340"/>
      <c r="M69" s="340"/>
      <c r="N69" s="340"/>
      <c r="O69" s="680"/>
      <c r="P69" s="83"/>
      <c r="Q69" s="83"/>
      <c r="R69" s="83"/>
      <c r="S69" s="340"/>
      <c r="T69" s="178"/>
      <c r="U69" s="83"/>
      <c r="V69" s="340"/>
      <c r="W69" s="340"/>
      <c r="X69" s="340"/>
      <c r="Y69" s="83"/>
      <c r="Z69" s="83"/>
      <c r="AA69" s="605"/>
      <c r="AB69" s="681"/>
      <c r="AC69" s="673"/>
      <c r="AD69" s="682"/>
      <c r="AE69" s="758"/>
      <c r="AF69" s="571"/>
      <c r="AG69" s="571"/>
      <c r="AH69" s="571"/>
      <c r="AI69" s="571"/>
      <c r="AJ69" s="571"/>
      <c r="AK69" s="571"/>
      <c r="AL69" s="571"/>
      <c r="AM69" s="571"/>
      <c r="AN69" s="571"/>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80"/>
      <c r="P70" s="83"/>
      <c r="Q70" s="83"/>
      <c r="R70" s="83"/>
      <c r="S70" s="340">
        <v>11936.19</v>
      </c>
      <c r="T70" s="178"/>
      <c r="U70" s="83"/>
      <c r="V70" s="340"/>
      <c r="W70" s="340">
        <v>14237.28</v>
      </c>
      <c r="X70" s="340"/>
      <c r="Y70" s="83"/>
      <c r="Z70" s="83"/>
      <c r="AA70" s="605">
        <v>3238.48</v>
      </c>
      <c r="AB70" s="681"/>
      <c r="AC70" s="673"/>
      <c r="AD70" s="682"/>
      <c r="AE70" s="758">
        <v>297.26</v>
      </c>
      <c r="AF70" s="571"/>
      <c r="AG70" s="571"/>
      <c r="AH70" s="571"/>
      <c r="AI70" s="571"/>
      <c r="AJ70" s="571">
        <v>361.45</v>
      </c>
      <c r="AK70" s="571"/>
      <c r="AL70" s="571"/>
      <c r="AM70" s="571"/>
      <c r="AN70" s="571"/>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80"/>
      <c r="P71" s="83"/>
      <c r="Q71" s="83"/>
      <c r="R71" s="83"/>
      <c r="S71" s="340">
        <f>SUM(S66:S70)</f>
        <v>205976.35</v>
      </c>
      <c r="T71" s="178"/>
      <c r="U71" s="178"/>
      <c r="V71" s="486"/>
      <c r="W71" s="486">
        <f>SUM(W66:W70)</f>
        <v>108385.43</v>
      </c>
      <c r="X71" s="486"/>
      <c r="Y71" s="486"/>
      <c r="Z71" s="486"/>
      <c r="AA71" s="486">
        <f>SUM(AA66:AA70)</f>
        <v>79219.409999999989</v>
      </c>
      <c r="AB71" s="257"/>
      <c r="AC71" s="344"/>
      <c r="AD71" s="257"/>
      <c r="AE71" s="759">
        <f>SUM(AE66:AE70)</f>
        <v>76517.499999999985</v>
      </c>
      <c r="AF71" s="257"/>
      <c r="AG71" s="257"/>
      <c r="AH71" s="257"/>
      <c r="AI71" s="257"/>
      <c r="AJ71" s="759">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83"/>
      <c r="P72" s="85"/>
      <c r="Q72" s="85"/>
      <c r="R72" s="85"/>
      <c r="S72" s="85"/>
      <c r="T72" s="179"/>
      <c r="U72" s="85"/>
      <c r="V72" s="340"/>
      <c r="W72" s="340"/>
      <c r="X72" s="340"/>
      <c r="Y72" s="85"/>
      <c r="Z72" s="85"/>
      <c r="AA72" s="258"/>
      <c r="AB72" s="652"/>
      <c r="AC72" s="671"/>
      <c r="AD72" s="570"/>
      <c r="AE72" s="570"/>
      <c r="AF72" s="571"/>
      <c r="AG72" s="571"/>
      <c r="AH72" s="571"/>
      <c r="AI72" s="571"/>
      <c r="AJ72" s="571"/>
      <c r="AK72" s="571"/>
      <c r="AL72" s="571"/>
      <c r="AM72" s="571"/>
      <c r="AN72" s="571"/>
    </row>
    <row r="73" spans="1:40" x14ac:dyDescent="0.25">
      <c r="A73" s="35" t="s">
        <v>36</v>
      </c>
      <c r="B73" s="373">
        <v>291304.71999999997</v>
      </c>
      <c r="C73" s="374"/>
      <c r="D73" s="353"/>
      <c r="E73" s="353"/>
      <c r="F73" s="353">
        <v>253256.29</v>
      </c>
      <c r="G73" s="430"/>
      <c r="H73" s="353"/>
      <c r="I73" s="353"/>
      <c r="J73" s="353"/>
      <c r="K73" s="354"/>
      <c r="L73" s="353"/>
      <c r="M73" s="353"/>
      <c r="N73" s="353"/>
      <c r="O73" s="684"/>
      <c r="P73" s="89"/>
      <c r="Q73" s="89"/>
      <c r="R73" s="89"/>
      <c r="S73" s="89"/>
      <c r="T73" s="180"/>
      <c r="U73" s="79"/>
      <c r="V73" s="340"/>
      <c r="W73" s="340"/>
      <c r="X73" s="340"/>
      <c r="Y73" s="79"/>
      <c r="Z73" s="161"/>
      <c r="AA73" s="254"/>
      <c r="AB73" s="287"/>
      <c r="AC73" s="666"/>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84"/>
      <c r="P74" s="89"/>
      <c r="Q74" s="89"/>
      <c r="R74" s="89"/>
      <c r="S74" s="89"/>
      <c r="T74" s="180"/>
      <c r="U74" s="79"/>
      <c r="V74" s="340"/>
      <c r="W74" s="340"/>
      <c r="X74" s="340"/>
      <c r="Y74" s="79"/>
      <c r="Z74" s="161"/>
      <c r="AA74" s="254"/>
      <c r="AB74" s="287"/>
      <c r="AC74" s="666"/>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84"/>
      <c r="P75" s="89"/>
      <c r="Q75" s="89"/>
      <c r="R75" s="89"/>
      <c r="S75" s="89"/>
      <c r="T75" s="180"/>
      <c r="U75" s="79"/>
      <c r="V75" s="340"/>
      <c r="W75" s="340"/>
      <c r="X75" s="340"/>
      <c r="Y75" s="79"/>
      <c r="Z75" s="161"/>
      <c r="AA75" s="254"/>
      <c r="AB75" s="287"/>
      <c r="AC75" s="666"/>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84"/>
      <c r="P76" s="89"/>
      <c r="Q76" s="89"/>
      <c r="R76" s="89"/>
      <c r="S76" s="89"/>
      <c r="T76" s="180"/>
      <c r="U76" s="79"/>
      <c r="V76" s="340"/>
      <c r="W76" s="340"/>
      <c r="X76" s="340"/>
      <c r="Y76" s="79"/>
      <c r="Z76" s="532"/>
      <c r="AA76" s="254"/>
      <c r="AB76" s="287"/>
      <c r="AC76" s="666"/>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84"/>
      <c r="P77" s="89"/>
      <c r="Q77" s="89"/>
      <c r="R77" s="89"/>
      <c r="S77" s="89"/>
      <c r="T77" s="180"/>
      <c r="U77" s="79"/>
      <c r="V77" s="340"/>
      <c r="W77" s="340"/>
      <c r="X77" s="340"/>
      <c r="Y77" s="79"/>
      <c r="Z77" s="532"/>
      <c r="AA77" s="254"/>
      <c r="AB77" s="287"/>
      <c r="AC77" s="666"/>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84"/>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85"/>
      <c r="P79" s="103"/>
      <c r="Q79" s="103"/>
      <c r="R79" s="103"/>
      <c r="S79" s="103"/>
      <c r="T79" s="183"/>
      <c r="U79" s="169"/>
      <c r="V79" s="686"/>
      <c r="W79" s="687"/>
      <c r="X79" s="687"/>
      <c r="Y79" s="548"/>
      <c r="Z79" s="688"/>
      <c r="AA79" s="689"/>
      <c r="AB79" s="663"/>
      <c r="AC79" s="664"/>
      <c r="AD79" s="523"/>
      <c r="AE79" s="523"/>
      <c r="AF79" s="524"/>
      <c r="AG79" s="524"/>
      <c r="AH79" s="524"/>
      <c r="AI79" s="524"/>
      <c r="AJ79" s="524"/>
      <c r="AK79" s="524"/>
      <c r="AL79" s="524"/>
      <c r="AM79" s="524"/>
      <c r="AN79" s="524"/>
    </row>
    <row r="80" spans="1:40" x14ac:dyDescent="0.25">
      <c r="A80" s="35" t="s">
        <v>36</v>
      </c>
      <c r="B80" s="378"/>
      <c r="C80" s="379"/>
      <c r="D80" s="358"/>
      <c r="E80" s="353"/>
      <c r="F80" s="358"/>
      <c r="G80" s="432"/>
      <c r="H80" s="358"/>
      <c r="I80" s="358"/>
      <c r="J80" s="358"/>
      <c r="K80" s="359"/>
      <c r="L80" s="353"/>
      <c r="M80" s="358"/>
      <c r="N80" s="353"/>
      <c r="O80" s="690"/>
      <c r="P80" s="87"/>
      <c r="Q80" s="87"/>
      <c r="R80" s="87"/>
      <c r="S80" s="87"/>
      <c r="T80" s="184"/>
      <c r="U80" s="89"/>
      <c r="V80" s="353"/>
      <c r="W80" s="353"/>
      <c r="X80" s="353"/>
      <c r="Y80" s="89"/>
      <c r="Z80" s="89"/>
      <c r="AA80" s="259"/>
      <c r="AB80" s="691"/>
      <c r="AC80" s="692"/>
      <c r="AD80" s="300"/>
      <c r="AE80" s="667"/>
      <c r="AF80" s="668"/>
      <c r="AG80" s="668"/>
      <c r="AH80" s="668"/>
      <c r="AI80" s="668"/>
      <c r="AJ80" s="668"/>
      <c r="AK80" s="668"/>
      <c r="AL80" s="668"/>
      <c r="AM80" s="668"/>
      <c r="AN80" s="668"/>
    </row>
    <row r="81" spans="1:40" x14ac:dyDescent="0.25">
      <c r="A81" s="35" t="s">
        <v>37</v>
      </c>
      <c r="B81" s="378"/>
      <c r="C81" s="379"/>
      <c r="D81" s="358"/>
      <c r="E81" s="353"/>
      <c r="F81" s="358"/>
      <c r="G81" s="432"/>
      <c r="H81" s="358"/>
      <c r="I81" s="358"/>
      <c r="J81" s="358"/>
      <c r="K81" s="359"/>
      <c r="L81" s="353"/>
      <c r="M81" s="358"/>
      <c r="N81" s="353"/>
      <c r="O81" s="690"/>
      <c r="P81" s="87"/>
      <c r="Q81" s="87"/>
      <c r="R81" s="87"/>
      <c r="S81" s="87"/>
      <c r="T81" s="184"/>
      <c r="U81" s="89"/>
      <c r="V81" s="353"/>
      <c r="W81" s="353"/>
      <c r="X81" s="353"/>
      <c r="Y81" s="89"/>
      <c r="Z81" s="89"/>
      <c r="AA81" s="259"/>
      <c r="AB81" s="691"/>
      <c r="AC81" s="692"/>
      <c r="AD81" s="300"/>
      <c r="AE81" s="667"/>
      <c r="AF81" s="668"/>
      <c r="AG81" s="668"/>
      <c r="AH81" s="668"/>
      <c r="AI81" s="668"/>
      <c r="AJ81" s="668"/>
      <c r="AK81" s="668"/>
      <c r="AL81" s="668"/>
      <c r="AM81" s="668"/>
      <c r="AN81" s="668"/>
    </row>
    <row r="82" spans="1:40" x14ac:dyDescent="0.25">
      <c r="A82" s="35" t="s">
        <v>38</v>
      </c>
      <c r="B82" s="378"/>
      <c r="C82" s="379"/>
      <c r="D82" s="358"/>
      <c r="E82" s="353"/>
      <c r="F82" s="358"/>
      <c r="G82" s="432"/>
      <c r="H82" s="358"/>
      <c r="I82" s="358"/>
      <c r="J82" s="358"/>
      <c r="K82" s="359"/>
      <c r="L82" s="353"/>
      <c r="M82" s="358"/>
      <c r="N82" s="353"/>
      <c r="O82" s="690"/>
      <c r="P82" s="87"/>
      <c r="Q82" s="87"/>
      <c r="R82" s="87"/>
      <c r="S82" s="87"/>
      <c r="T82" s="184"/>
      <c r="U82" s="89"/>
      <c r="V82" s="353"/>
      <c r="W82" s="353"/>
      <c r="X82" s="353"/>
      <c r="Y82" s="89"/>
      <c r="Z82" s="89"/>
      <c r="AA82" s="254"/>
      <c r="AB82" s="691"/>
      <c r="AC82" s="692"/>
      <c r="AD82" s="300"/>
      <c r="AE82" s="667"/>
      <c r="AF82" s="668"/>
      <c r="AG82" s="668"/>
      <c r="AH82" s="668"/>
      <c r="AI82" s="668"/>
      <c r="AJ82" s="668"/>
      <c r="AK82" s="668"/>
      <c r="AL82" s="668"/>
      <c r="AM82" s="668"/>
      <c r="AN82" s="668"/>
    </row>
    <row r="83" spans="1:40" x14ac:dyDescent="0.25">
      <c r="A83" s="35" t="s">
        <v>39</v>
      </c>
      <c r="B83" s="378"/>
      <c r="C83" s="379"/>
      <c r="D83" s="358"/>
      <c r="E83" s="353"/>
      <c r="F83" s="358"/>
      <c r="G83" s="432"/>
      <c r="H83" s="358"/>
      <c r="I83" s="358"/>
      <c r="J83" s="358"/>
      <c r="K83" s="359"/>
      <c r="L83" s="353"/>
      <c r="M83" s="358"/>
      <c r="N83" s="353"/>
      <c r="O83" s="690"/>
      <c r="P83" s="87"/>
      <c r="Q83" s="87"/>
      <c r="R83" s="87"/>
      <c r="S83" s="87"/>
      <c r="T83" s="184"/>
      <c r="U83" s="89"/>
      <c r="V83" s="353"/>
      <c r="W83" s="353"/>
      <c r="X83" s="353"/>
      <c r="Y83" s="89"/>
      <c r="Z83" s="89"/>
      <c r="AA83" s="98"/>
      <c r="AB83" s="691"/>
      <c r="AC83" s="692"/>
      <c r="AD83" s="300"/>
      <c r="AE83" s="667"/>
      <c r="AF83" s="668"/>
      <c r="AG83" s="668"/>
      <c r="AH83" s="668"/>
      <c r="AI83" s="668"/>
      <c r="AJ83" s="668"/>
      <c r="AK83" s="668"/>
      <c r="AL83" s="668"/>
      <c r="AM83" s="668"/>
      <c r="AN83" s="668"/>
    </row>
    <row r="84" spans="1:40" x14ac:dyDescent="0.25">
      <c r="A84" s="35" t="s">
        <v>62</v>
      </c>
      <c r="B84" s="378"/>
      <c r="C84" s="379"/>
      <c r="D84" s="358"/>
      <c r="E84" s="353"/>
      <c r="F84" s="358"/>
      <c r="G84" s="432"/>
      <c r="H84" s="358"/>
      <c r="I84" s="358"/>
      <c r="J84" s="358"/>
      <c r="K84" s="359"/>
      <c r="L84" s="353"/>
      <c r="M84" s="358"/>
      <c r="N84" s="353"/>
      <c r="O84" s="690"/>
      <c r="P84" s="87"/>
      <c r="Q84" s="87"/>
      <c r="R84" s="87"/>
      <c r="S84" s="87"/>
      <c r="T84" s="184"/>
      <c r="U84" s="89"/>
      <c r="V84" s="353"/>
      <c r="W84" s="353"/>
      <c r="X84" s="353"/>
      <c r="Y84" s="89"/>
      <c r="Z84" s="89"/>
      <c r="AA84" s="98"/>
      <c r="AB84" s="691"/>
      <c r="AC84" s="692"/>
      <c r="AD84" s="300"/>
      <c r="AE84" s="667"/>
      <c r="AF84" s="668"/>
      <c r="AG84" s="668"/>
      <c r="AH84" s="668"/>
      <c r="AI84" s="668"/>
      <c r="AJ84" s="668"/>
      <c r="AK84" s="668"/>
      <c r="AL84" s="668"/>
      <c r="AM84" s="668"/>
      <c r="AN84" s="668"/>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93"/>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94"/>
      <c r="P86" s="112"/>
      <c r="Q86" s="112"/>
      <c r="R86" s="112"/>
      <c r="S86" s="112"/>
      <c r="T86" s="185"/>
      <c r="U86" s="113"/>
      <c r="V86" s="695"/>
      <c r="W86" s="696"/>
      <c r="X86" s="696"/>
      <c r="Y86" s="552"/>
      <c r="Z86" s="552"/>
      <c r="AA86" s="697"/>
      <c r="AB86" s="652"/>
      <c r="AC86" s="653"/>
      <c r="AD86" s="570"/>
      <c r="AE86" s="570"/>
      <c r="AF86" s="571"/>
      <c r="AG86" s="571"/>
      <c r="AH86" s="571"/>
      <c r="AI86" s="571"/>
      <c r="AJ86" s="571"/>
      <c r="AK86" s="571"/>
      <c r="AL86" s="571"/>
      <c r="AM86" s="571"/>
      <c r="AN86" s="571"/>
    </row>
    <row r="87" spans="1:40" x14ac:dyDescent="0.25">
      <c r="A87" s="35" t="s">
        <v>36</v>
      </c>
      <c r="B87" s="357"/>
      <c r="C87" s="358"/>
      <c r="D87" s="358"/>
      <c r="E87" s="353"/>
      <c r="F87" s="119"/>
      <c r="G87" s="119"/>
      <c r="H87" s="358"/>
      <c r="I87" s="358"/>
      <c r="J87" s="358"/>
      <c r="K87" s="359"/>
      <c r="L87" s="353"/>
      <c r="M87" s="358"/>
      <c r="N87" s="353"/>
      <c r="O87" s="698"/>
      <c r="P87" s="119"/>
      <c r="Q87" s="119"/>
      <c r="R87" s="119"/>
      <c r="S87" s="119"/>
      <c r="T87" s="186"/>
      <c r="U87" s="120"/>
      <c r="V87" s="353"/>
      <c r="W87" s="353"/>
      <c r="X87" s="353"/>
      <c r="Y87" s="120"/>
      <c r="Z87" s="120"/>
      <c r="AA87" s="261"/>
      <c r="AB87" s="655"/>
      <c r="AC87" s="656"/>
      <c r="AD87" s="570"/>
      <c r="AE87" s="570"/>
      <c r="AF87" s="571"/>
      <c r="AG87" s="571"/>
      <c r="AH87" s="571"/>
      <c r="AI87" s="571"/>
      <c r="AJ87" s="571"/>
      <c r="AK87" s="571"/>
      <c r="AL87" s="571"/>
      <c r="AM87" s="571"/>
      <c r="AN87" s="571"/>
    </row>
    <row r="88" spans="1:40" x14ac:dyDescent="0.25">
      <c r="A88" s="35" t="s">
        <v>37</v>
      </c>
      <c r="B88" s="357"/>
      <c r="C88" s="358"/>
      <c r="D88" s="358"/>
      <c r="E88" s="353"/>
      <c r="F88" s="119"/>
      <c r="G88" s="119"/>
      <c r="H88" s="358"/>
      <c r="I88" s="358"/>
      <c r="J88" s="358"/>
      <c r="K88" s="359"/>
      <c r="L88" s="353"/>
      <c r="M88" s="358"/>
      <c r="N88" s="353"/>
      <c r="O88" s="698"/>
      <c r="P88" s="119"/>
      <c r="Q88" s="119"/>
      <c r="R88" s="119"/>
      <c r="S88" s="119"/>
      <c r="T88" s="186"/>
      <c r="U88" s="120"/>
      <c r="V88" s="353"/>
      <c r="W88" s="353"/>
      <c r="X88" s="353"/>
      <c r="Y88" s="120"/>
      <c r="Z88" s="120"/>
      <c r="AA88" s="261"/>
      <c r="AB88" s="655"/>
      <c r="AC88" s="656"/>
      <c r="AD88" s="570"/>
      <c r="AE88" s="570"/>
      <c r="AF88" s="571"/>
      <c r="AG88" s="571"/>
      <c r="AH88" s="571"/>
      <c r="AI88" s="571"/>
      <c r="AJ88" s="571"/>
      <c r="AK88" s="571"/>
      <c r="AL88" s="571"/>
      <c r="AM88" s="571"/>
      <c r="AN88" s="571"/>
    </row>
    <row r="89" spans="1:40" x14ac:dyDescent="0.25">
      <c r="A89" s="35" t="s">
        <v>38</v>
      </c>
      <c r="B89" s="357"/>
      <c r="C89" s="358"/>
      <c r="D89" s="358"/>
      <c r="E89" s="353"/>
      <c r="F89" s="119"/>
      <c r="G89" s="119"/>
      <c r="H89" s="358"/>
      <c r="I89" s="358"/>
      <c r="J89" s="358"/>
      <c r="K89" s="359"/>
      <c r="L89" s="353"/>
      <c r="M89" s="358"/>
      <c r="N89" s="353"/>
      <c r="O89" s="698"/>
      <c r="P89" s="119"/>
      <c r="Q89" s="119"/>
      <c r="R89" s="119"/>
      <c r="S89" s="119"/>
      <c r="T89" s="186"/>
      <c r="U89" s="120"/>
      <c r="V89" s="353"/>
      <c r="W89" s="353"/>
      <c r="X89" s="353"/>
      <c r="Y89" s="120"/>
      <c r="Z89" s="120"/>
      <c r="AA89" s="261"/>
      <c r="AB89" s="655"/>
      <c r="AC89" s="656"/>
      <c r="AD89" s="570"/>
      <c r="AE89" s="570"/>
      <c r="AF89" s="571"/>
      <c r="AG89" s="571"/>
      <c r="AH89" s="571"/>
      <c r="AI89" s="571"/>
      <c r="AJ89" s="571"/>
      <c r="AK89" s="571"/>
      <c r="AL89" s="571"/>
      <c r="AM89" s="571"/>
      <c r="AN89" s="571"/>
    </row>
    <row r="90" spans="1:40" x14ac:dyDescent="0.25">
      <c r="A90" s="35" t="s">
        <v>39</v>
      </c>
      <c r="B90" s="357"/>
      <c r="C90" s="358"/>
      <c r="D90" s="358"/>
      <c r="E90" s="353"/>
      <c r="F90" s="119"/>
      <c r="G90" s="119"/>
      <c r="H90" s="119"/>
      <c r="I90" s="119"/>
      <c r="J90" s="119"/>
      <c r="K90" s="121"/>
      <c r="L90" s="120"/>
      <c r="M90" s="119"/>
      <c r="N90" s="120"/>
      <c r="O90" s="698"/>
      <c r="P90" s="119"/>
      <c r="Q90" s="119"/>
      <c r="R90" s="119"/>
      <c r="S90" s="119"/>
      <c r="T90" s="186"/>
      <c r="U90" s="120"/>
      <c r="V90" s="353"/>
      <c r="W90" s="353"/>
      <c r="X90" s="353"/>
      <c r="Y90" s="120"/>
      <c r="Z90" s="120"/>
      <c r="AA90" s="261"/>
      <c r="AB90" s="655"/>
      <c r="AC90" s="656"/>
      <c r="AD90" s="570"/>
      <c r="AE90" s="570"/>
      <c r="AF90" s="571"/>
      <c r="AG90" s="571"/>
      <c r="AH90" s="571"/>
      <c r="AI90" s="571"/>
      <c r="AJ90" s="571"/>
      <c r="AK90" s="571"/>
      <c r="AL90" s="571"/>
      <c r="AM90" s="571"/>
      <c r="AN90" s="571"/>
    </row>
    <row r="91" spans="1:40" x14ac:dyDescent="0.25">
      <c r="A91" s="35" t="s">
        <v>62</v>
      </c>
      <c r="B91" s="357"/>
      <c r="C91" s="358"/>
      <c r="D91" s="358"/>
      <c r="E91" s="353"/>
      <c r="F91" s="119"/>
      <c r="G91" s="119"/>
      <c r="H91" s="119"/>
      <c r="I91" s="119"/>
      <c r="J91" s="119"/>
      <c r="K91" s="121"/>
      <c r="L91" s="120"/>
      <c r="M91" s="119"/>
      <c r="N91" s="120"/>
      <c r="O91" s="698"/>
      <c r="P91" s="119"/>
      <c r="Q91" s="119"/>
      <c r="R91" s="119"/>
      <c r="S91" s="119"/>
      <c r="T91" s="186"/>
      <c r="U91" s="120"/>
      <c r="V91" s="353"/>
      <c r="W91" s="353"/>
      <c r="X91" s="353"/>
      <c r="Y91" s="120"/>
      <c r="Z91" s="120"/>
      <c r="AA91" s="261"/>
      <c r="AB91" s="655"/>
      <c r="AC91" s="656"/>
      <c r="AD91" s="570"/>
      <c r="AE91" s="570"/>
      <c r="AF91" s="571"/>
      <c r="AG91" s="571"/>
      <c r="AH91" s="571"/>
      <c r="AI91" s="571"/>
      <c r="AJ91" s="571"/>
      <c r="AK91" s="571"/>
      <c r="AL91" s="571"/>
      <c r="AM91" s="571"/>
      <c r="AN91" s="571"/>
    </row>
    <row r="92" spans="1:40" ht="15.75" thickBot="1" x14ac:dyDescent="0.3">
      <c r="A92" s="37" t="s">
        <v>41</v>
      </c>
      <c r="B92" s="380">
        <v>126</v>
      </c>
      <c r="C92" s="381">
        <v>52</v>
      </c>
      <c r="D92" s="351"/>
      <c r="E92" s="351"/>
      <c r="F92" s="60"/>
      <c r="G92" s="60"/>
      <c r="H92" s="60"/>
      <c r="I92" s="60"/>
      <c r="J92" s="60"/>
      <c r="K92" s="163"/>
      <c r="L92" s="60"/>
      <c r="M92" s="60"/>
      <c r="N92" s="60"/>
      <c r="O92" s="699"/>
      <c r="P92" s="60"/>
      <c r="Q92" s="60"/>
      <c r="R92" s="60"/>
      <c r="S92" s="60"/>
      <c r="T92" s="187"/>
      <c r="U92" s="187"/>
      <c r="V92" s="700"/>
      <c r="W92" s="700"/>
      <c r="X92" s="700"/>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701"/>
      <c r="P93" s="124"/>
      <c r="Q93" s="124"/>
      <c r="R93" s="124"/>
      <c r="S93" s="124"/>
      <c r="T93" s="188"/>
      <c r="U93" s="125"/>
      <c r="V93" s="702"/>
      <c r="W93" s="703"/>
      <c r="X93" s="703"/>
      <c r="Y93" s="555"/>
      <c r="Z93" s="555"/>
      <c r="AA93" s="704"/>
      <c r="AB93" s="663"/>
      <c r="AC93" s="664"/>
      <c r="AD93" s="523"/>
      <c r="AE93" s="523"/>
      <c r="AF93" s="524"/>
      <c r="AG93" s="524"/>
      <c r="AH93" s="524"/>
      <c r="AI93" s="524"/>
      <c r="AJ93" s="524"/>
      <c r="AK93" s="524"/>
      <c r="AL93" s="524"/>
      <c r="AM93" s="524"/>
      <c r="AN93" s="524"/>
    </row>
    <row r="94" spans="1:40" x14ac:dyDescent="0.25">
      <c r="A94" s="35" t="s">
        <v>36</v>
      </c>
      <c r="B94" s="352"/>
      <c r="C94" s="346"/>
      <c r="D94" s="346"/>
      <c r="E94" s="346"/>
      <c r="F94" s="77"/>
      <c r="G94" s="77"/>
      <c r="H94" s="77"/>
      <c r="I94" s="77"/>
      <c r="J94" s="77"/>
      <c r="K94" s="98"/>
      <c r="L94" s="97"/>
      <c r="M94" s="97"/>
      <c r="N94" s="97"/>
      <c r="O94" s="705"/>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705"/>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705"/>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705"/>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705"/>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706"/>
      <c r="P99" s="81"/>
      <c r="Q99" s="81"/>
      <c r="R99" s="81"/>
      <c r="S99" s="81"/>
      <c r="T99" s="80"/>
      <c r="U99" s="80"/>
      <c r="V99" s="707"/>
      <c r="W99" s="707"/>
      <c r="X99" s="707"/>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40"/>
      <c r="P100" s="62"/>
      <c r="Q100" s="62"/>
      <c r="R100" s="62"/>
      <c r="S100" s="62"/>
      <c r="T100" s="63"/>
      <c r="U100" s="64"/>
      <c r="V100" s="598"/>
      <c r="W100" s="641"/>
      <c r="X100" s="641"/>
      <c r="Y100" s="523"/>
      <c r="Z100" s="523"/>
      <c r="AA100" s="642"/>
      <c r="AB100" s="663"/>
      <c r="AC100" s="664"/>
      <c r="AD100" s="523"/>
      <c r="AE100" s="523"/>
      <c r="AF100" s="524"/>
      <c r="AG100" s="524"/>
      <c r="AH100" s="524"/>
      <c r="AI100" s="524"/>
      <c r="AJ100" s="524"/>
      <c r="AK100" s="524"/>
      <c r="AL100" s="524"/>
      <c r="AM100" s="524"/>
      <c r="AN100" s="524"/>
    </row>
    <row r="101" spans="1:40" x14ac:dyDescent="0.25">
      <c r="A101" s="35" t="s">
        <v>36</v>
      </c>
      <c r="B101" s="384"/>
      <c r="C101" s="385"/>
      <c r="D101" s="385"/>
      <c r="E101" s="372"/>
      <c r="F101" s="56"/>
      <c r="G101" s="58"/>
      <c r="H101" s="56"/>
      <c r="I101" s="58"/>
      <c r="J101" s="56"/>
      <c r="K101" s="130"/>
      <c r="L101" s="58"/>
      <c r="M101" s="58"/>
      <c r="N101" s="58"/>
      <c r="O101" s="708"/>
      <c r="P101" s="56"/>
      <c r="Q101" s="58"/>
      <c r="R101" s="56"/>
      <c r="S101" s="58"/>
      <c r="T101" s="130"/>
      <c r="U101" s="58"/>
      <c r="V101" s="372"/>
      <c r="W101" s="372"/>
      <c r="X101" s="372"/>
      <c r="Y101" s="58"/>
      <c r="Z101" s="58"/>
      <c r="AA101" s="242"/>
      <c r="AB101" s="655"/>
      <c r="AC101" s="656"/>
      <c r="AD101" s="570"/>
      <c r="AE101" s="570"/>
      <c r="AF101" s="571"/>
      <c r="AG101" s="571"/>
      <c r="AH101" s="571"/>
      <c r="AI101" s="571"/>
      <c r="AJ101" s="571"/>
      <c r="AK101" s="571"/>
      <c r="AL101" s="571"/>
      <c r="AM101" s="571"/>
      <c r="AN101" s="571"/>
    </row>
    <row r="102" spans="1:40" x14ac:dyDescent="0.25">
      <c r="A102" s="35" t="s">
        <v>37</v>
      </c>
      <c r="B102" s="384"/>
      <c r="C102" s="385"/>
      <c r="D102" s="385"/>
      <c r="E102" s="372"/>
      <c r="F102" s="56"/>
      <c r="G102" s="58"/>
      <c r="H102" s="56"/>
      <c r="I102" s="58"/>
      <c r="J102" s="56"/>
      <c r="K102" s="130"/>
      <c r="L102" s="58"/>
      <c r="M102" s="58"/>
      <c r="N102" s="58"/>
      <c r="O102" s="708"/>
      <c r="P102" s="56"/>
      <c r="Q102" s="58"/>
      <c r="R102" s="56"/>
      <c r="S102" s="58"/>
      <c r="T102" s="130"/>
      <c r="U102" s="58"/>
      <c r="V102" s="372"/>
      <c r="W102" s="372"/>
      <c r="X102" s="372"/>
      <c r="Y102" s="58"/>
      <c r="Z102" s="58"/>
      <c r="AA102" s="264"/>
      <c r="AB102" s="655"/>
      <c r="AC102" s="656"/>
      <c r="AD102" s="570"/>
      <c r="AE102" s="570"/>
      <c r="AF102" s="571"/>
      <c r="AG102" s="571"/>
      <c r="AH102" s="571"/>
      <c r="AI102" s="571"/>
      <c r="AJ102" s="571"/>
      <c r="AK102" s="571"/>
      <c r="AL102" s="571"/>
      <c r="AM102" s="571"/>
      <c r="AN102" s="571"/>
    </row>
    <row r="103" spans="1:40" x14ac:dyDescent="0.25">
      <c r="A103" s="35" t="s">
        <v>38</v>
      </c>
      <c r="B103" s="384"/>
      <c r="C103" s="385"/>
      <c r="D103" s="385"/>
      <c r="E103" s="385"/>
      <c r="F103" s="56"/>
      <c r="G103" s="56"/>
      <c r="H103" s="56"/>
      <c r="I103" s="56"/>
      <c r="J103" s="56"/>
      <c r="K103" s="70"/>
      <c r="L103" s="58"/>
      <c r="M103" s="58"/>
      <c r="N103" s="58"/>
      <c r="O103" s="708"/>
      <c r="P103" s="56"/>
      <c r="Q103" s="58"/>
      <c r="R103" s="56"/>
      <c r="S103" s="58"/>
      <c r="T103" s="130"/>
      <c r="U103" s="58"/>
      <c r="V103" s="372"/>
      <c r="W103" s="372"/>
      <c r="X103" s="372"/>
      <c r="Y103" s="58"/>
      <c r="Z103" s="58"/>
      <c r="AA103" s="264"/>
      <c r="AB103" s="655"/>
      <c r="AC103" s="656"/>
      <c r="AD103" s="570"/>
      <c r="AE103" s="570"/>
      <c r="AF103" s="571"/>
      <c r="AG103" s="571"/>
      <c r="AH103" s="571"/>
      <c r="AI103" s="571"/>
      <c r="AJ103" s="571"/>
      <c r="AK103" s="571"/>
      <c r="AL103" s="571"/>
      <c r="AM103" s="571"/>
      <c r="AN103" s="571"/>
    </row>
    <row r="104" spans="1:40" x14ac:dyDescent="0.25">
      <c r="A104" s="35" t="s">
        <v>39</v>
      </c>
      <c r="B104" s="384"/>
      <c r="C104" s="385"/>
      <c r="D104" s="385"/>
      <c r="E104" s="385"/>
      <c r="F104" s="56"/>
      <c r="G104" s="56"/>
      <c r="H104" s="56"/>
      <c r="I104" s="56"/>
      <c r="J104" s="56"/>
      <c r="K104" s="57"/>
      <c r="L104" s="58"/>
      <c r="M104" s="58"/>
      <c r="N104" s="58"/>
      <c r="O104" s="708"/>
      <c r="P104" s="56"/>
      <c r="Q104" s="58"/>
      <c r="R104" s="56"/>
      <c r="S104" s="58"/>
      <c r="T104" s="130"/>
      <c r="U104" s="58"/>
      <c r="V104" s="372"/>
      <c r="W104" s="372"/>
      <c r="X104" s="372"/>
      <c r="Y104" s="58"/>
      <c r="Z104" s="58"/>
      <c r="AA104" s="264"/>
      <c r="AB104" s="655"/>
      <c r="AC104" s="656"/>
      <c r="AD104" s="570"/>
      <c r="AE104" s="570"/>
      <c r="AF104" s="571"/>
      <c r="AG104" s="571"/>
      <c r="AH104" s="571"/>
      <c r="AI104" s="571"/>
      <c r="AJ104" s="571"/>
      <c r="AK104" s="571"/>
      <c r="AL104" s="571"/>
      <c r="AM104" s="571"/>
      <c r="AN104" s="571"/>
    </row>
    <row r="105" spans="1:40" x14ac:dyDescent="0.25">
      <c r="A105" s="35" t="s">
        <v>40</v>
      </c>
      <c r="B105" s="384"/>
      <c r="C105" s="385"/>
      <c r="D105" s="385"/>
      <c r="E105" s="385"/>
      <c r="F105" s="56"/>
      <c r="G105" s="56"/>
      <c r="H105" s="56"/>
      <c r="I105" s="56"/>
      <c r="J105" s="56"/>
      <c r="K105" s="57"/>
      <c r="L105" s="58"/>
      <c r="M105" s="58"/>
      <c r="N105" s="58"/>
      <c r="O105" s="708"/>
      <c r="P105" s="56"/>
      <c r="Q105" s="58"/>
      <c r="R105" s="56"/>
      <c r="S105" s="58"/>
      <c r="T105" s="130"/>
      <c r="U105" s="58"/>
      <c r="V105" s="372"/>
      <c r="W105" s="372"/>
      <c r="X105" s="372"/>
      <c r="Y105" s="58"/>
      <c r="Z105" s="58"/>
      <c r="AA105" s="264"/>
      <c r="AB105" s="655"/>
      <c r="AC105" s="656"/>
      <c r="AD105" s="570"/>
      <c r="AE105" s="570"/>
      <c r="AF105" s="571"/>
      <c r="AG105" s="571"/>
      <c r="AH105" s="571"/>
      <c r="AI105" s="571"/>
      <c r="AJ105" s="571"/>
      <c r="AK105" s="571"/>
      <c r="AL105" s="571"/>
      <c r="AM105" s="571"/>
      <c r="AN105" s="571"/>
    </row>
    <row r="106" spans="1:40" x14ac:dyDescent="0.25">
      <c r="A106" s="35" t="s">
        <v>41</v>
      </c>
      <c r="B106" s="339"/>
      <c r="C106" s="372"/>
      <c r="D106" s="372"/>
      <c r="E106" s="372"/>
      <c r="F106" s="58"/>
      <c r="G106" s="58"/>
      <c r="H106" s="58"/>
      <c r="I106" s="58"/>
      <c r="J106" s="58"/>
      <c r="K106" s="130"/>
      <c r="L106" s="58"/>
      <c r="M106" s="58"/>
      <c r="N106" s="58"/>
      <c r="O106" s="708"/>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709"/>
      <c r="C107" s="641"/>
      <c r="D107" s="641"/>
      <c r="E107" s="641"/>
      <c r="F107" s="523"/>
      <c r="G107" s="558"/>
      <c r="H107" s="523"/>
      <c r="I107" s="558"/>
      <c r="J107" s="523"/>
      <c r="K107" s="559"/>
      <c r="L107" s="558"/>
      <c r="M107" s="558"/>
      <c r="N107" s="558"/>
      <c r="O107" s="710"/>
      <c r="P107" s="523"/>
      <c r="Q107" s="558"/>
      <c r="R107" s="523"/>
      <c r="S107" s="558"/>
      <c r="T107" s="559"/>
      <c r="U107" s="557"/>
      <c r="V107" s="711"/>
      <c r="W107" s="641"/>
      <c r="X107" s="711"/>
      <c r="Y107" s="523"/>
      <c r="Z107" s="558"/>
      <c r="AA107" s="560"/>
      <c r="AB107" s="652"/>
      <c r="AC107" s="653"/>
      <c r="AD107" s="570"/>
      <c r="AE107" s="570"/>
      <c r="AF107" s="571"/>
      <c r="AG107" s="571"/>
      <c r="AH107" s="571"/>
      <c r="AI107" s="571"/>
      <c r="AJ107" s="571"/>
      <c r="AK107" s="571"/>
      <c r="AL107" s="571"/>
      <c r="AM107" s="571"/>
      <c r="AN107" s="571"/>
    </row>
    <row r="108" spans="1:40" x14ac:dyDescent="0.25">
      <c r="A108" s="35" t="s">
        <v>36</v>
      </c>
      <c r="B108" s="712"/>
      <c r="C108" s="650"/>
      <c r="D108" s="650"/>
      <c r="E108" s="650"/>
      <c r="F108" s="527"/>
      <c r="G108" s="527"/>
      <c r="H108" s="527"/>
      <c r="I108" s="527"/>
      <c r="J108" s="527"/>
      <c r="K108" s="528"/>
      <c r="L108" s="713"/>
      <c r="M108" s="527"/>
      <c r="N108" s="527"/>
      <c r="O108" s="714"/>
      <c r="P108" s="527"/>
      <c r="Q108" s="527"/>
      <c r="R108" s="527"/>
      <c r="S108" s="527"/>
      <c r="T108" s="528"/>
      <c r="U108" s="565"/>
      <c r="V108" s="715"/>
      <c r="W108" s="715"/>
      <c r="X108" s="715"/>
      <c r="Y108" s="563"/>
      <c r="Z108" s="563"/>
      <c r="AA108" s="522"/>
      <c r="AB108" s="655"/>
      <c r="AC108" s="656"/>
      <c r="AD108" s="570"/>
      <c r="AE108" s="570"/>
      <c r="AF108" s="571"/>
      <c r="AG108" s="571"/>
      <c r="AH108" s="571"/>
      <c r="AI108" s="571"/>
      <c r="AJ108" s="571"/>
      <c r="AK108" s="571"/>
      <c r="AL108" s="571"/>
      <c r="AM108" s="571"/>
      <c r="AN108" s="571"/>
    </row>
    <row r="109" spans="1:40" x14ac:dyDescent="0.25">
      <c r="A109" s="35" t="s">
        <v>37</v>
      </c>
      <c r="B109" s="712"/>
      <c r="C109" s="650"/>
      <c r="D109" s="650"/>
      <c r="E109" s="650"/>
      <c r="F109" s="527"/>
      <c r="G109" s="527"/>
      <c r="H109" s="527"/>
      <c r="I109" s="527"/>
      <c r="J109" s="527"/>
      <c r="K109" s="528"/>
      <c r="L109" s="713"/>
      <c r="M109" s="527"/>
      <c r="N109" s="527"/>
      <c r="O109" s="714"/>
      <c r="P109" s="527"/>
      <c r="Q109" s="527"/>
      <c r="R109" s="527"/>
      <c r="S109" s="527"/>
      <c r="T109" s="528"/>
      <c r="U109" s="566"/>
      <c r="V109" s="715"/>
      <c r="W109" s="715"/>
      <c r="X109" s="715"/>
      <c r="Y109" s="563"/>
      <c r="Z109" s="563"/>
      <c r="AA109" s="716"/>
      <c r="AB109" s="655"/>
      <c r="AC109" s="656"/>
      <c r="AD109" s="570"/>
      <c r="AE109" s="570"/>
      <c r="AF109" s="571"/>
      <c r="AG109" s="571"/>
      <c r="AH109" s="571"/>
      <c r="AI109" s="571"/>
      <c r="AJ109" s="571"/>
      <c r="AK109" s="571"/>
      <c r="AL109" s="571"/>
      <c r="AM109" s="571"/>
      <c r="AN109" s="571"/>
    </row>
    <row r="110" spans="1:40" x14ac:dyDescent="0.25">
      <c r="A110" s="35" t="s">
        <v>38</v>
      </c>
      <c r="B110" s="712"/>
      <c r="C110" s="650"/>
      <c r="D110" s="650"/>
      <c r="E110" s="650"/>
      <c r="F110" s="527"/>
      <c r="G110" s="527"/>
      <c r="H110" s="527"/>
      <c r="I110" s="527"/>
      <c r="J110" s="527"/>
      <c r="K110" s="528"/>
      <c r="L110" s="713"/>
      <c r="M110" s="527"/>
      <c r="N110" s="527"/>
      <c r="O110" s="714"/>
      <c r="P110" s="527"/>
      <c r="Q110" s="527"/>
      <c r="R110" s="527"/>
      <c r="S110" s="527"/>
      <c r="T110" s="528"/>
      <c r="U110" s="566"/>
      <c r="V110" s="715"/>
      <c r="W110" s="715"/>
      <c r="X110" s="715"/>
      <c r="Y110" s="563"/>
      <c r="Z110" s="563"/>
      <c r="AA110" s="716"/>
      <c r="AB110" s="655"/>
      <c r="AC110" s="656"/>
      <c r="AD110" s="570"/>
      <c r="AE110" s="570"/>
      <c r="AF110" s="571"/>
      <c r="AG110" s="571"/>
      <c r="AH110" s="571"/>
      <c r="AI110" s="571"/>
      <c r="AJ110" s="571"/>
      <c r="AK110" s="571"/>
      <c r="AL110" s="571"/>
      <c r="AM110" s="571"/>
      <c r="AN110" s="571"/>
    </row>
    <row r="111" spans="1:40" x14ac:dyDescent="0.25">
      <c r="A111" s="35" t="s">
        <v>39</v>
      </c>
      <c r="B111" s="712"/>
      <c r="C111" s="650"/>
      <c r="D111" s="650"/>
      <c r="E111" s="650"/>
      <c r="F111" s="527"/>
      <c r="G111" s="527"/>
      <c r="H111" s="527"/>
      <c r="I111" s="527"/>
      <c r="J111" s="527"/>
      <c r="K111" s="528"/>
      <c r="L111" s="713"/>
      <c r="M111" s="527"/>
      <c r="N111" s="527"/>
      <c r="O111" s="714"/>
      <c r="P111" s="527"/>
      <c r="Q111" s="527"/>
      <c r="R111" s="527"/>
      <c r="S111" s="527"/>
      <c r="T111" s="528"/>
      <c r="U111" s="566"/>
      <c r="V111" s="715"/>
      <c r="W111" s="715"/>
      <c r="X111" s="715"/>
      <c r="Y111" s="563"/>
      <c r="Z111" s="563"/>
      <c r="AA111" s="716"/>
      <c r="AB111" s="655"/>
      <c r="AC111" s="656"/>
      <c r="AD111" s="570"/>
      <c r="AE111" s="570"/>
      <c r="AF111" s="571"/>
      <c r="AG111" s="571"/>
      <c r="AH111" s="571"/>
      <c r="AI111" s="571"/>
      <c r="AJ111" s="571"/>
      <c r="AK111" s="571"/>
      <c r="AL111" s="571"/>
      <c r="AM111" s="571"/>
      <c r="AN111" s="571"/>
    </row>
    <row r="112" spans="1:40" x14ac:dyDescent="0.25">
      <c r="A112" s="35" t="s">
        <v>40</v>
      </c>
      <c r="B112" s="712"/>
      <c r="C112" s="650"/>
      <c r="D112" s="650"/>
      <c r="E112" s="650"/>
      <c r="F112" s="527"/>
      <c r="G112" s="527"/>
      <c r="H112" s="527"/>
      <c r="I112" s="527"/>
      <c r="J112" s="527"/>
      <c r="K112" s="528"/>
      <c r="L112" s="713"/>
      <c r="M112" s="527"/>
      <c r="N112" s="527"/>
      <c r="O112" s="714"/>
      <c r="P112" s="527"/>
      <c r="Q112" s="527"/>
      <c r="R112" s="527"/>
      <c r="S112" s="527"/>
      <c r="T112" s="528"/>
      <c r="U112" s="566"/>
      <c r="V112" s="715"/>
      <c r="W112" s="715"/>
      <c r="X112" s="715"/>
      <c r="Y112" s="563"/>
      <c r="Z112" s="563"/>
      <c r="AA112" s="716"/>
      <c r="AB112" s="655"/>
      <c r="AC112" s="656"/>
      <c r="AD112" s="570"/>
      <c r="AE112" s="570"/>
      <c r="AF112" s="571"/>
      <c r="AG112" s="571"/>
      <c r="AH112" s="571"/>
      <c r="AI112" s="571"/>
      <c r="AJ112" s="571"/>
      <c r="AK112" s="571"/>
      <c r="AL112" s="571"/>
      <c r="AM112" s="571"/>
      <c r="AN112" s="571"/>
    </row>
    <row r="113" spans="1:40" x14ac:dyDescent="0.25">
      <c r="A113" s="35" t="s">
        <v>41</v>
      </c>
      <c r="B113" s="712"/>
      <c r="C113" s="650"/>
      <c r="D113" s="650"/>
      <c r="E113" s="650"/>
      <c r="F113" s="527"/>
      <c r="G113" s="527"/>
      <c r="H113" s="527"/>
      <c r="I113" s="527"/>
      <c r="J113" s="527"/>
      <c r="K113" s="528"/>
      <c r="L113" s="713"/>
      <c r="M113" s="527"/>
      <c r="N113" s="527"/>
      <c r="O113" s="714"/>
      <c r="P113" s="527"/>
      <c r="Q113" s="527"/>
      <c r="R113" s="527"/>
      <c r="S113" s="527"/>
      <c r="T113" s="528"/>
      <c r="U113" s="528"/>
      <c r="V113" s="668"/>
      <c r="W113" s="668"/>
      <c r="X113" s="668"/>
      <c r="Y113" s="528"/>
      <c r="Z113" s="528"/>
      <c r="AA113" s="651"/>
      <c r="AB113" s="651"/>
      <c r="AC113" s="651"/>
      <c r="AD113" s="651"/>
      <c r="AE113" s="651"/>
      <c r="AF113" s="651"/>
      <c r="AG113" s="651"/>
      <c r="AH113" s="651"/>
      <c r="AI113" s="651"/>
      <c r="AJ113" s="651"/>
      <c r="AK113" s="651"/>
      <c r="AL113" s="651"/>
      <c r="AM113" s="651"/>
      <c r="AN113" s="651"/>
    </row>
    <row r="114" spans="1:40" x14ac:dyDescent="0.25">
      <c r="A114" s="717" t="s">
        <v>24</v>
      </c>
      <c r="B114" s="712"/>
      <c r="C114" s="650"/>
      <c r="D114" s="650"/>
      <c r="E114" s="650"/>
      <c r="F114" s="570"/>
      <c r="G114" s="570"/>
      <c r="H114" s="570"/>
      <c r="I114" s="570"/>
      <c r="J114" s="570"/>
      <c r="K114" s="571"/>
      <c r="L114" s="660"/>
      <c r="M114" s="570"/>
      <c r="N114" s="570"/>
      <c r="O114" s="718"/>
      <c r="P114" s="570"/>
      <c r="Q114" s="570"/>
      <c r="R114" s="570"/>
      <c r="S114" s="570"/>
      <c r="T114" s="571"/>
      <c r="U114" s="572"/>
      <c r="V114" s="715"/>
      <c r="W114" s="703"/>
      <c r="X114" s="715"/>
      <c r="Y114" s="555"/>
      <c r="Z114" s="569"/>
      <c r="AA114" s="704"/>
      <c r="AB114" s="652"/>
      <c r="AC114" s="653"/>
      <c r="AD114" s="570"/>
      <c r="AE114" s="570"/>
      <c r="AF114" s="571"/>
      <c r="AG114" s="571"/>
      <c r="AH114" s="571"/>
      <c r="AI114" s="571"/>
      <c r="AJ114" s="571"/>
      <c r="AK114" s="571"/>
      <c r="AL114" s="571"/>
      <c r="AM114" s="571"/>
      <c r="AN114" s="571"/>
    </row>
    <row r="115" spans="1:40" x14ac:dyDescent="0.25">
      <c r="A115" s="35" t="s">
        <v>36</v>
      </c>
      <c r="B115" s="712"/>
      <c r="C115" s="650"/>
      <c r="D115" s="650"/>
      <c r="E115" s="650"/>
      <c r="F115" s="578"/>
      <c r="G115" s="578"/>
      <c r="H115" s="578"/>
      <c r="I115" s="578"/>
      <c r="J115" s="578"/>
      <c r="K115" s="719"/>
      <c r="L115" s="720"/>
      <c r="M115" s="578"/>
      <c r="N115" s="578"/>
      <c r="O115" s="721"/>
      <c r="P115" s="578"/>
      <c r="Q115" s="578"/>
      <c r="R115" s="578"/>
      <c r="S115" s="578"/>
      <c r="T115" s="719"/>
      <c r="U115" s="579"/>
      <c r="V115" s="715"/>
      <c r="W115" s="715"/>
      <c r="X115" s="715"/>
      <c r="Y115" s="576"/>
      <c r="Z115" s="576"/>
      <c r="AA115" s="722"/>
      <c r="AB115" s="655"/>
      <c r="AC115" s="656"/>
      <c r="AD115" s="570"/>
      <c r="AE115" s="570"/>
      <c r="AF115" s="571"/>
      <c r="AG115" s="571"/>
      <c r="AH115" s="571"/>
      <c r="AI115" s="571"/>
      <c r="AJ115" s="571"/>
      <c r="AK115" s="571"/>
      <c r="AL115" s="571"/>
      <c r="AM115" s="571"/>
      <c r="AN115" s="571"/>
    </row>
    <row r="116" spans="1:40" x14ac:dyDescent="0.25">
      <c r="A116" s="35" t="s">
        <v>37</v>
      </c>
      <c r="B116" s="712"/>
      <c r="C116" s="650"/>
      <c r="D116" s="650"/>
      <c r="E116" s="650"/>
      <c r="F116" s="578"/>
      <c r="G116" s="578"/>
      <c r="H116" s="578"/>
      <c r="I116" s="578"/>
      <c r="J116" s="578"/>
      <c r="K116" s="719"/>
      <c r="L116" s="720"/>
      <c r="M116" s="578"/>
      <c r="N116" s="578"/>
      <c r="O116" s="721"/>
      <c r="P116" s="578"/>
      <c r="Q116" s="578"/>
      <c r="R116" s="578"/>
      <c r="S116" s="578"/>
      <c r="T116" s="719"/>
      <c r="U116" s="579"/>
      <c r="V116" s="715"/>
      <c r="W116" s="715"/>
      <c r="X116" s="715"/>
      <c r="Y116" s="576"/>
      <c r="Z116" s="576"/>
      <c r="AA116" s="722"/>
      <c r="AB116" s="655"/>
      <c r="AC116" s="656"/>
      <c r="AD116" s="570"/>
      <c r="AE116" s="570"/>
      <c r="AF116" s="571"/>
      <c r="AG116" s="571"/>
      <c r="AH116" s="571"/>
      <c r="AI116" s="571"/>
      <c r="AJ116" s="571"/>
      <c r="AK116" s="571"/>
      <c r="AL116" s="571"/>
      <c r="AM116" s="571"/>
      <c r="AN116" s="571"/>
    </row>
    <row r="117" spans="1:40" x14ac:dyDescent="0.25">
      <c r="A117" s="35" t="s">
        <v>38</v>
      </c>
      <c r="B117" s="712"/>
      <c r="C117" s="650"/>
      <c r="D117" s="650"/>
      <c r="E117" s="650"/>
      <c r="F117" s="578"/>
      <c r="G117" s="578"/>
      <c r="H117" s="578"/>
      <c r="I117" s="578"/>
      <c r="J117" s="650"/>
      <c r="K117" s="719"/>
      <c r="L117" s="720"/>
      <c r="M117" s="578"/>
      <c r="N117" s="578"/>
      <c r="O117" s="721"/>
      <c r="P117" s="578"/>
      <c r="Q117" s="578"/>
      <c r="R117" s="578"/>
      <c r="S117" s="578"/>
      <c r="T117" s="719"/>
      <c r="U117" s="579"/>
      <c r="V117" s="715"/>
      <c r="W117" s="715"/>
      <c r="X117" s="715"/>
      <c r="Y117" s="576"/>
      <c r="Z117" s="576"/>
      <c r="AA117" s="722"/>
      <c r="AB117" s="655"/>
      <c r="AC117" s="656"/>
      <c r="AD117" s="570"/>
      <c r="AE117" s="570"/>
      <c r="AF117" s="571"/>
      <c r="AG117" s="571"/>
      <c r="AH117" s="571"/>
      <c r="AI117" s="571"/>
      <c r="AJ117" s="571"/>
      <c r="AK117" s="571"/>
      <c r="AL117" s="571"/>
      <c r="AM117" s="571"/>
      <c r="AN117" s="571"/>
    </row>
    <row r="118" spans="1:40" x14ac:dyDescent="0.25">
      <c r="A118" s="35" t="s">
        <v>39</v>
      </c>
      <c r="B118" s="712"/>
      <c r="C118" s="650"/>
      <c r="D118" s="650"/>
      <c r="E118" s="650"/>
      <c r="F118" s="578"/>
      <c r="G118" s="578"/>
      <c r="H118" s="578"/>
      <c r="I118" s="578"/>
      <c r="J118" s="578"/>
      <c r="K118" s="719"/>
      <c r="L118" s="720"/>
      <c r="M118" s="578"/>
      <c r="N118" s="578"/>
      <c r="O118" s="721"/>
      <c r="P118" s="578"/>
      <c r="Q118" s="578"/>
      <c r="R118" s="578"/>
      <c r="S118" s="578"/>
      <c r="T118" s="719"/>
      <c r="U118" s="579"/>
      <c r="V118" s="715"/>
      <c r="W118" s="715"/>
      <c r="X118" s="715"/>
      <c r="Y118" s="576"/>
      <c r="Z118" s="576"/>
      <c r="AA118" s="722"/>
      <c r="AB118" s="655"/>
      <c r="AC118" s="656"/>
      <c r="AD118" s="570"/>
      <c r="AE118" s="570"/>
      <c r="AF118" s="571"/>
      <c r="AG118" s="571"/>
      <c r="AH118" s="571"/>
      <c r="AI118" s="571"/>
      <c r="AJ118" s="571"/>
      <c r="AK118" s="571"/>
      <c r="AL118" s="571"/>
      <c r="AM118" s="571"/>
      <c r="AN118" s="571"/>
    </row>
    <row r="119" spans="1:40" x14ac:dyDescent="0.25">
      <c r="A119" s="35" t="s">
        <v>40</v>
      </c>
      <c r="B119" s="712"/>
      <c r="C119" s="650"/>
      <c r="D119" s="650"/>
      <c r="E119" s="650"/>
      <c r="F119" s="578"/>
      <c r="G119" s="578"/>
      <c r="H119" s="578"/>
      <c r="I119" s="578"/>
      <c r="J119" s="578"/>
      <c r="K119" s="719"/>
      <c r="L119" s="723"/>
      <c r="M119" s="581"/>
      <c r="N119" s="581"/>
      <c r="O119" s="724"/>
      <c r="P119" s="581"/>
      <c r="Q119" s="581"/>
      <c r="R119" s="581"/>
      <c r="S119" s="581"/>
      <c r="T119" s="725"/>
      <c r="U119" s="579"/>
      <c r="V119" s="715"/>
      <c r="W119" s="715"/>
      <c r="X119" s="715"/>
      <c r="Y119" s="576"/>
      <c r="Z119" s="576"/>
      <c r="AA119" s="722"/>
      <c r="AB119" s="655"/>
      <c r="AC119" s="656"/>
      <c r="AD119" s="570"/>
      <c r="AE119" s="570"/>
      <c r="AF119" s="571"/>
      <c r="AG119" s="571"/>
      <c r="AH119" s="571"/>
      <c r="AI119" s="571"/>
      <c r="AJ119" s="571"/>
      <c r="AK119" s="571"/>
      <c r="AL119" s="571"/>
      <c r="AM119" s="571"/>
      <c r="AN119" s="571"/>
    </row>
    <row r="120" spans="1:40" ht="15.75" thickBot="1" x14ac:dyDescent="0.3">
      <c r="A120" s="36" t="s">
        <v>41</v>
      </c>
      <c r="B120" s="726"/>
      <c r="C120" s="727"/>
      <c r="D120" s="727"/>
      <c r="E120" s="727"/>
      <c r="F120" s="585"/>
      <c r="G120" s="585"/>
      <c r="H120" s="585"/>
      <c r="I120" s="585"/>
      <c r="J120" s="585"/>
      <c r="K120" s="588"/>
      <c r="L120" s="585"/>
      <c r="M120" s="587"/>
      <c r="N120" s="585"/>
      <c r="O120" s="728"/>
      <c r="P120" s="585"/>
      <c r="Q120" s="585"/>
      <c r="R120" s="585"/>
      <c r="S120" s="585"/>
      <c r="T120" s="588"/>
      <c r="U120" s="588"/>
      <c r="V120" s="729"/>
      <c r="W120" s="729"/>
      <c r="X120" s="729"/>
      <c r="Y120" s="588"/>
      <c r="Z120" s="730"/>
      <c r="AA120" s="731"/>
      <c r="AB120" s="731"/>
      <c r="AC120" s="731"/>
      <c r="AD120" s="731"/>
      <c r="AE120" s="731"/>
      <c r="AF120" s="731"/>
      <c r="AG120" s="731"/>
      <c r="AH120" s="731"/>
      <c r="AI120" s="731"/>
      <c r="AJ120" s="731"/>
      <c r="AK120" s="731"/>
      <c r="AL120" s="731"/>
      <c r="AM120" s="731"/>
      <c r="AN120" s="731"/>
    </row>
    <row r="121" spans="1:40" ht="15.75" thickTop="1" x14ac:dyDescent="0.25">
      <c r="A121" s="568" t="s">
        <v>46</v>
      </c>
      <c r="B121" s="569"/>
      <c r="C121" s="562"/>
      <c r="D121" s="555"/>
      <c r="E121" s="555"/>
      <c r="F121" s="555"/>
      <c r="G121" s="569"/>
      <c r="H121" s="555"/>
      <c r="I121" s="569"/>
      <c r="J121" s="555"/>
      <c r="K121" s="732"/>
      <c r="L121" s="569"/>
      <c r="M121" s="569"/>
      <c r="N121" s="569"/>
      <c r="O121" s="733"/>
      <c r="P121" s="555"/>
      <c r="Q121" s="569"/>
      <c r="R121" s="555"/>
      <c r="S121" s="569"/>
      <c r="T121" s="732"/>
      <c r="U121" s="572"/>
      <c r="V121" s="715"/>
      <c r="W121" s="703"/>
      <c r="X121" s="715"/>
      <c r="Y121" s="555"/>
      <c r="Z121" s="569"/>
      <c r="AA121" s="704"/>
      <c r="AB121" s="663"/>
      <c r="AC121" s="664"/>
      <c r="AD121" s="523"/>
      <c r="AE121" s="523"/>
      <c r="AF121" s="524"/>
      <c r="AG121" s="524"/>
      <c r="AH121" s="524"/>
      <c r="AI121" s="524"/>
      <c r="AJ121" s="524"/>
      <c r="AK121" s="524"/>
      <c r="AL121" s="524"/>
      <c r="AM121" s="524"/>
      <c r="AN121" s="524"/>
    </row>
    <row r="122" spans="1:40" x14ac:dyDescent="0.25">
      <c r="A122" s="35" t="s">
        <v>36</v>
      </c>
      <c r="B122" s="720"/>
      <c r="C122" s="527"/>
      <c r="D122" s="578"/>
      <c r="E122" s="578"/>
      <c r="F122" s="578"/>
      <c r="G122" s="578"/>
      <c r="H122" s="578"/>
      <c r="I122" s="578"/>
      <c r="J122" s="578"/>
      <c r="K122" s="719"/>
      <c r="L122" s="734"/>
      <c r="M122" s="582"/>
      <c r="N122" s="582"/>
      <c r="O122" s="735"/>
      <c r="P122" s="582"/>
      <c r="Q122" s="582"/>
      <c r="R122" s="582"/>
      <c r="S122" s="582"/>
      <c r="T122" s="736"/>
      <c r="U122" s="579"/>
      <c r="V122" s="715"/>
      <c r="W122" s="715"/>
      <c r="X122" s="715"/>
      <c r="Y122" s="576"/>
      <c r="Z122" s="576"/>
      <c r="AA122" s="722"/>
      <c r="AB122" s="655"/>
      <c r="AC122" s="656"/>
      <c r="AD122" s="570"/>
      <c r="AE122" s="570"/>
      <c r="AF122" s="571"/>
      <c r="AG122" s="571"/>
      <c r="AH122" s="571"/>
      <c r="AI122" s="571"/>
      <c r="AJ122" s="571"/>
      <c r="AK122" s="571"/>
      <c r="AL122" s="571"/>
      <c r="AM122" s="571"/>
      <c r="AN122" s="571"/>
    </row>
    <row r="123" spans="1:40" x14ac:dyDescent="0.25">
      <c r="A123" s="35" t="s">
        <v>37</v>
      </c>
      <c r="B123" s="720"/>
      <c r="C123" s="527"/>
      <c r="D123" s="578"/>
      <c r="E123" s="578"/>
      <c r="F123" s="578"/>
      <c r="G123" s="578"/>
      <c r="H123" s="578"/>
      <c r="I123" s="578"/>
      <c r="J123" s="578"/>
      <c r="K123" s="719"/>
      <c r="L123" s="720"/>
      <c r="M123" s="578"/>
      <c r="N123" s="578"/>
      <c r="O123" s="721"/>
      <c r="P123" s="578"/>
      <c r="Q123" s="578"/>
      <c r="R123" s="578"/>
      <c r="S123" s="578"/>
      <c r="T123" s="719"/>
      <c r="U123" s="579"/>
      <c r="V123" s="715"/>
      <c r="W123" s="715"/>
      <c r="X123" s="715"/>
      <c r="Y123" s="576"/>
      <c r="Z123" s="576"/>
      <c r="AA123" s="722"/>
      <c r="AB123" s="655"/>
      <c r="AC123" s="656"/>
      <c r="AD123" s="570"/>
      <c r="AE123" s="570"/>
      <c r="AF123" s="571"/>
      <c r="AG123" s="571"/>
      <c r="AH123" s="571"/>
      <c r="AI123" s="571"/>
      <c r="AJ123" s="571"/>
      <c r="AK123" s="571"/>
      <c r="AL123" s="571"/>
      <c r="AM123" s="571"/>
      <c r="AN123" s="571"/>
    </row>
    <row r="124" spans="1:40" x14ac:dyDescent="0.25">
      <c r="A124" s="35" t="s">
        <v>38</v>
      </c>
      <c r="B124" s="720"/>
      <c r="C124" s="527"/>
      <c r="D124" s="578"/>
      <c r="E124" s="578"/>
      <c r="F124" s="578"/>
      <c r="G124" s="578"/>
      <c r="H124" s="578"/>
      <c r="I124" s="578"/>
      <c r="J124" s="578"/>
      <c r="K124" s="719"/>
      <c r="L124" s="720"/>
      <c r="M124" s="578"/>
      <c r="N124" s="578"/>
      <c r="O124" s="721"/>
      <c r="P124" s="578"/>
      <c r="Q124" s="578"/>
      <c r="R124" s="578"/>
      <c r="S124" s="578"/>
      <c r="T124" s="719"/>
      <c r="U124" s="579"/>
      <c r="V124" s="715"/>
      <c r="W124" s="715"/>
      <c r="X124" s="715"/>
      <c r="Y124" s="576"/>
      <c r="Z124" s="576"/>
      <c r="AA124" s="722"/>
      <c r="AB124" s="655"/>
      <c r="AC124" s="656"/>
      <c r="AD124" s="570"/>
      <c r="AE124" s="570"/>
      <c r="AF124" s="571"/>
      <c r="AG124" s="571"/>
      <c r="AH124" s="571"/>
      <c r="AI124" s="571"/>
      <c r="AJ124" s="571"/>
      <c r="AK124" s="571"/>
      <c r="AL124" s="571"/>
      <c r="AM124" s="571"/>
      <c r="AN124" s="571"/>
    </row>
    <row r="125" spans="1:40" x14ac:dyDescent="0.25">
      <c r="A125" s="35" t="s">
        <v>39</v>
      </c>
      <c r="B125" s="720"/>
      <c r="C125" s="527"/>
      <c r="D125" s="578"/>
      <c r="E125" s="578"/>
      <c r="F125" s="578"/>
      <c r="G125" s="578"/>
      <c r="H125" s="578"/>
      <c r="I125" s="578"/>
      <c r="J125" s="578"/>
      <c r="K125" s="719"/>
      <c r="L125" s="720"/>
      <c r="M125" s="578"/>
      <c r="N125" s="578"/>
      <c r="O125" s="721"/>
      <c r="P125" s="578"/>
      <c r="Q125" s="578"/>
      <c r="R125" s="578"/>
      <c r="S125" s="578"/>
      <c r="T125" s="719"/>
      <c r="U125" s="579"/>
      <c r="V125" s="715"/>
      <c r="W125" s="715"/>
      <c r="X125" s="715"/>
      <c r="Y125" s="576"/>
      <c r="Z125" s="576"/>
      <c r="AA125" s="722"/>
      <c r="AB125" s="655"/>
      <c r="AC125" s="656"/>
      <c r="AD125" s="570"/>
      <c r="AE125" s="570"/>
      <c r="AF125" s="571"/>
      <c r="AG125" s="571"/>
      <c r="AH125" s="571"/>
      <c r="AI125" s="571"/>
      <c r="AJ125" s="571"/>
      <c r="AK125" s="571"/>
      <c r="AL125" s="571"/>
      <c r="AM125" s="571"/>
      <c r="AN125" s="571"/>
    </row>
    <row r="126" spans="1:40" x14ac:dyDescent="0.25">
      <c r="A126" s="35" t="s">
        <v>40</v>
      </c>
      <c r="B126" s="720"/>
      <c r="C126" s="527"/>
      <c r="D126" s="578"/>
      <c r="E126" s="578"/>
      <c r="F126" s="578"/>
      <c r="G126" s="578"/>
      <c r="H126" s="578"/>
      <c r="I126" s="578"/>
      <c r="J126" s="578"/>
      <c r="K126" s="719"/>
      <c r="L126" s="723"/>
      <c r="M126" s="581"/>
      <c r="N126" s="581"/>
      <c r="O126" s="724"/>
      <c r="P126" s="581"/>
      <c r="Q126" s="581"/>
      <c r="R126" s="581"/>
      <c r="S126" s="581"/>
      <c r="T126" s="725"/>
      <c r="U126" s="579"/>
      <c r="V126" s="715"/>
      <c r="W126" s="715"/>
      <c r="X126" s="715"/>
      <c r="Y126" s="576"/>
      <c r="Z126" s="576"/>
      <c r="AA126" s="722"/>
      <c r="AB126" s="655"/>
      <c r="AC126" s="656"/>
      <c r="AD126" s="570"/>
      <c r="AE126" s="570"/>
      <c r="AF126" s="571"/>
      <c r="AG126" s="571"/>
      <c r="AH126" s="571"/>
      <c r="AI126" s="571"/>
      <c r="AJ126" s="571"/>
      <c r="AK126" s="571"/>
      <c r="AL126" s="571"/>
      <c r="AM126" s="571"/>
      <c r="AN126" s="571"/>
    </row>
    <row r="127" spans="1:40" ht="15.75" thickBot="1" x14ac:dyDescent="0.3">
      <c r="A127" s="36" t="s">
        <v>41</v>
      </c>
      <c r="B127" s="584"/>
      <c r="C127" s="737"/>
      <c r="D127" s="585"/>
      <c r="E127" s="585"/>
      <c r="F127" s="585"/>
      <c r="G127" s="585"/>
      <c r="H127" s="585"/>
      <c r="I127" s="585"/>
      <c r="J127" s="585"/>
      <c r="K127" s="586"/>
      <c r="L127" s="585"/>
      <c r="M127" s="587"/>
      <c r="N127" s="585"/>
      <c r="O127" s="728"/>
      <c r="P127" s="585"/>
      <c r="Q127" s="585"/>
      <c r="R127" s="585"/>
      <c r="S127" s="585"/>
      <c r="T127" s="588"/>
      <c r="U127" s="588"/>
      <c r="V127" s="729"/>
      <c r="W127" s="729"/>
      <c r="X127" s="729"/>
      <c r="Y127" s="588"/>
      <c r="Z127" s="730"/>
      <c r="AA127" s="731"/>
      <c r="AB127" s="731"/>
      <c r="AC127" s="731"/>
      <c r="AD127" s="731"/>
      <c r="AE127" s="731"/>
      <c r="AF127" s="731"/>
      <c r="AG127" s="731"/>
      <c r="AH127" s="731"/>
      <c r="AI127" s="731"/>
      <c r="AJ127" s="731"/>
      <c r="AK127" s="731"/>
      <c r="AL127" s="731"/>
      <c r="AM127" s="731"/>
      <c r="AN127" s="731"/>
    </row>
    <row r="128" spans="1:40" ht="15.75" thickTop="1" x14ac:dyDescent="0.25">
      <c r="A128" s="568" t="s">
        <v>47</v>
      </c>
      <c r="B128" s="738"/>
      <c r="C128" s="562"/>
      <c r="D128" s="555"/>
      <c r="E128" s="555"/>
      <c r="F128" s="555"/>
      <c r="G128" s="569"/>
      <c r="H128" s="555"/>
      <c r="I128" s="569"/>
      <c r="J128" s="555"/>
      <c r="K128" s="732"/>
      <c r="L128" s="569"/>
      <c r="M128" s="569"/>
      <c r="N128" s="569"/>
      <c r="O128" s="733"/>
      <c r="P128" s="555"/>
      <c r="Q128" s="569"/>
      <c r="R128" s="555"/>
      <c r="S128" s="569"/>
      <c r="T128" s="732"/>
      <c r="U128" s="739"/>
      <c r="V128" s="715"/>
      <c r="W128" s="703"/>
      <c r="X128" s="715"/>
      <c r="Y128" s="555"/>
      <c r="Z128" s="569"/>
      <c r="AA128" s="704"/>
      <c r="AB128" s="740"/>
      <c r="AC128" s="741"/>
      <c r="AD128" s="523"/>
      <c r="AE128" s="523"/>
      <c r="AF128" s="524"/>
      <c r="AG128" s="524"/>
      <c r="AH128" s="524"/>
      <c r="AI128" s="524"/>
      <c r="AJ128" s="524"/>
      <c r="AK128" s="524"/>
      <c r="AL128" s="524"/>
      <c r="AM128" s="524"/>
      <c r="AN128" s="524"/>
    </row>
    <row r="129" spans="1:40" x14ac:dyDescent="0.25">
      <c r="A129" s="35" t="s">
        <v>36</v>
      </c>
      <c r="B129" s="720"/>
      <c r="C129" s="527"/>
      <c r="D129" s="578"/>
      <c r="E129" s="578"/>
      <c r="F129" s="578"/>
      <c r="G129" s="578"/>
      <c r="H129" s="578"/>
      <c r="I129" s="578"/>
      <c r="J129" s="578"/>
      <c r="K129" s="736"/>
      <c r="L129" s="734"/>
      <c r="M129" s="582"/>
      <c r="N129" s="582"/>
      <c r="O129" s="735"/>
      <c r="P129" s="582"/>
      <c r="Q129" s="582"/>
      <c r="R129" s="582"/>
      <c r="S129" s="582"/>
      <c r="T129" s="736"/>
      <c r="U129" s="720"/>
      <c r="V129" s="650"/>
      <c r="W129" s="650"/>
      <c r="X129" s="650"/>
      <c r="Y129" s="578"/>
      <c r="Z129" s="578"/>
      <c r="AA129" s="742"/>
      <c r="AB129" s="743"/>
      <c r="AC129" s="744"/>
      <c r="AD129" s="570"/>
      <c r="AE129" s="570"/>
      <c r="AF129" s="571"/>
      <c r="AG129" s="571"/>
      <c r="AH129" s="571"/>
      <c r="AI129" s="571"/>
      <c r="AJ129" s="571"/>
      <c r="AK129" s="571"/>
      <c r="AL129" s="571"/>
      <c r="AM129" s="571"/>
      <c r="AN129" s="571"/>
    </row>
    <row r="130" spans="1:40" x14ac:dyDescent="0.25">
      <c r="A130" s="35" t="s">
        <v>37</v>
      </c>
      <c r="B130" s="720"/>
      <c r="C130" s="527"/>
      <c r="D130" s="578"/>
      <c r="E130" s="578"/>
      <c r="F130" s="578"/>
      <c r="G130" s="578"/>
      <c r="H130" s="578"/>
      <c r="I130" s="578"/>
      <c r="J130" s="578"/>
      <c r="K130" s="719"/>
      <c r="L130" s="720"/>
      <c r="M130" s="578"/>
      <c r="N130" s="578"/>
      <c r="O130" s="721"/>
      <c r="P130" s="578"/>
      <c r="Q130" s="578"/>
      <c r="R130" s="578"/>
      <c r="S130" s="578"/>
      <c r="T130" s="719"/>
      <c r="U130" s="720"/>
      <c r="V130" s="650"/>
      <c r="W130" s="650"/>
      <c r="X130" s="650"/>
      <c r="Y130" s="578"/>
      <c r="Z130" s="578"/>
      <c r="AA130" s="742"/>
      <c r="AB130" s="743"/>
      <c r="AC130" s="744"/>
      <c r="AD130" s="570"/>
      <c r="AE130" s="570"/>
      <c r="AF130" s="571"/>
      <c r="AG130" s="571"/>
      <c r="AH130" s="571"/>
      <c r="AI130" s="571"/>
      <c r="AJ130" s="571"/>
      <c r="AK130" s="571"/>
      <c r="AL130" s="571"/>
      <c r="AM130" s="571"/>
      <c r="AN130" s="571"/>
    </row>
    <row r="131" spans="1:40" x14ac:dyDescent="0.25">
      <c r="A131" s="35" t="s">
        <v>38</v>
      </c>
      <c r="B131" s="720"/>
      <c r="C131" s="527"/>
      <c r="D131" s="578"/>
      <c r="E131" s="578"/>
      <c r="F131" s="578"/>
      <c r="G131" s="578"/>
      <c r="H131" s="578"/>
      <c r="I131" s="578"/>
      <c r="J131" s="578"/>
      <c r="K131" s="719"/>
      <c r="L131" s="720"/>
      <c r="M131" s="578"/>
      <c r="N131" s="578"/>
      <c r="O131" s="721"/>
      <c r="P131" s="578"/>
      <c r="Q131" s="578"/>
      <c r="R131" s="578"/>
      <c r="S131" s="578"/>
      <c r="T131" s="719"/>
      <c r="U131" s="720"/>
      <c r="V131" s="650"/>
      <c r="W131" s="650"/>
      <c r="X131" s="650"/>
      <c r="Y131" s="578"/>
      <c r="Z131" s="578"/>
      <c r="AA131" s="742"/>
      <c r="AB131" s="743"/>
      <c r="AC131" s="744"/>
      <c r="AD131" s="570"/>
      <c r="AE131" s="570"/>
      <c r="AF131" s="571"/>
      <c r="AG131" s="571"/>
      <c r="AH131" s="571"/>
      <c r="AI131" s="571"/>
      <c r="AJ131" s="571"/>
      <c r="AK131" s="571"/>
      <c r="AL131" s="571"/>
      <c r="AM131" s="571"/>
      <c r="AN131" s="571"/>
    </row>
    <row r="132" spans="1:40" x14ac:dyDescent="0.25">
      <c r="A132" s="35" t="s">
        <v>39</v>
      </c>
      <c r="B132" s="720"/>
      <c r="C132" s="527"/>
      <c r="D132" s="578"/>
      <c r="E132" s="578"/>
      <c r="F132" s="578"/>
      <c r="G132" s="578"/>
      <c r="H132" s="578"/>
      <c r="I132" s="578"/>
      <c r="J132" s="578"/>
      <c r="K132" s="719"/>
      <c r="L132" s="720"/>
      <c r="M132" s="578"/>
      <c r="N132" s="578"/>
      <c r="O132" s="721"/>
      <c r="P132" s="578"/>
      <c r="Q132" s="578"/>
      <c r="R132" s="578"/>
      <c r="S132" s="578"/>
      <c r="T132" s="719"/>
      <c r="U132" s="720"/>
      <c r="V132" s="650"/>
      <c r="W132" s="650"/>
      <c r="X132" s="650"/>
      <c r="Y132" s="578"/>
      <c r="Z132" s="578"/>
      <c r="AA132" s="742"/>
      <c r="AB132" s="743"/>
      <c r="AC132" s="744"/>
      <c r="AD132" s="570"/>
      <c r="AE132" s="570"/>
      <c r="AF132" s="571"/>
      <c r="AG132" s="571"/>
      <c r="AH132" s="571"/>
      <c r="AI132" s="571"/>
      <c r="AJ132" s="571"/>
      <c r="AK132" s="571"/>
      <c r="AL132" s="571"/>
      <c r="AM132" s="571"/>
      <c r="AN132" s="571"/>
    </row>
    <row r="133" spans="1:40" x14ac:dyDescent="0.25">
      <c r="A133" s="35" t="s">
        <v>40</v>
      </c>
      <c r="B133" s="723"/>
      <c r="C133" s="527"/>
      <c r="D133" s="578"/>
      <c r="E133" s="578"/>
      <c r="F133" s="578"/>
      <c r="G133" s="578"/>
      <c r="H133" s="578"/>
      <c r="I133" s="578"/>
      <c r="J133" s="578"/>
      <c r="K133" s="725"/>
      <c r="L133" s="723"/>
      <c r="M133" s="581"/>
      <c r="N133" s="581"/>
      <c r="O133" s="724"/>
      <c r="P133" s="581"/>
      <c r="Q133" s="581"/>
      <c r="R133" s="581"/>
      <c r="S133" s="581"/>
      <c r="T133" s="725"/>
      <c r="U133" s="723"/>
      <c r="V133" s="696"/>
      <c r="W133" s="696"/>
      <c r="X133" s="696"/>
      <c r="Y133" s="581"/>
      <c r="Z133" s="581"/>
      <c r="AA133" s="745"/>
      <c r="AB133" s="746"/>
      <c r="AC133" s="744"/>
      <c r="AD133" s="570"/>
      <c r="AE133" s="570"/>
      <c r="AF133" s="571"/>
      <c r="AG133" s="571"/>
      <c r="AH133" s="571"/>
      <c r="AI133" s="571"/>
      <c r="AJ133" s="571"/>
      <c r="AK133" s="571"/>
      <c r="AL133" s="571"/>
      <c r="AM133" s="571"/>
      <c r="AN133" s="571"/>
    </row>
    <row r="134" spans="1:40" ht="15.75" thickBot="1" x14ac:dyDescent="0.3">
      <c r="A134" s="36" t="s">
        <v>41</v>
      </c>
      <c r="B134" s="747"/>
      <c r="C134" s="748"/>
      <c r="D134" s="587"/>
      <c r="E134" s="587"/>
      <c r="F134" s="587"/>
      <c r="G134" s="587"/>
      <c r="H134" s="587"/>
      <c r="I134" s="587"/>
      <c r="J134" s="587"/>
      <c r="K134" s="749"/>
      <c r="L134" s="585"/>
      <c r="M134" s="587"/>
      <c r="N134" s="585"/>
      <c r="O134" s="728"/>
      <c r="P134" s="585"/>
      <c r="Q134" s="585"/>
      <c r="R134" s="585"/>
      <c r="S134" s="585"/>
      <c r="T134" s="588"/>
      <c r="U134" s="750"/>
      <c r="V134" s="727"/>
      <c r="W134" s="727"/>
      <c r="X134" s="727"/>
      <c r="Y134" s="585"/>
      <c r="Z134" s="585"/>
      <c r="AA134" s="751"/>
      <c r="AB134" s="752"/>
      <c r="AC134" s="752"/>
      <c r="AD134" s="752"/>
      <c r="AE134" s="753"/>
      <c r="AF134" s="753"/>
      <c r="AG134" s="753"/>
      <c r="AH134" s="753"/>
      <c r="AI134" s="753"/>
      <c r="AJ134" s="753"/>
      <c r="AK134" s="753"/>
      <c r="AL134" s="753"/>
      <c r="AM134" s="753"/>
      <c r="AN134" s="753"/>
    </row>
    <row r="135" spans="1:40" ht="15.75" thickTop="1" x14ac:dyDescent="0.25"/>
    <row r="136" spans="1:40" x14ac:dyDescent="0.25">
      <c r="A136" s="1" t="s">
        <v>27</v>
      </c>
    </row>
    <row r="137" spans="1:40" x14ac:dyDescent="0.25">
      <c r="A137" s="18" t="s">
        <v>28</v>
      </c>
    </row>
    <row r="140" spans="1:40" x14ac:dyDescent="0.25">
      <c r="A140" s="593" t="s">
        <v>26</v>
      </c>
    </row>
    <row r="141" spans="1:40" ht="97.5" customHeight="1" x14ac:dyDescent="0.25">
      <c r="A141" s="594"/>
      <c r="B141" s="844"/>
      <c r="C141" s="844"/>
      <c r="D141" s="844"/>
      <c r="E141" s="844"/>
      <c r="F141" s="844"/>
      <c r="G141" s="844"/>
      <c r="H141" s="844"/>
      <c r="I141" s="844"/>
      <c r="J141" s="844"/>
      <c r="K141" s="844"/>
    </row>
    <row r="142" spans="1:40" ht="52.5" customHeight="1" x14ac:dyDescent="0.25">
      <c r="A142" s="594"/>
      <c r="B142" s="842"/>
      <c r="C142" s="842"/>
      <c r="D142" s="842"/>
      <c r="E142" s="842"/>
      <c r="F142" s="842"/>
      <c r="G142" s="842"/>
      <c r="H142" s="842"/>
      <c r="I142" s="842"/>
      <c r="J142" s="842"/>
      <c r="K142" s="842"/>
    </row>
    <row r="143" spans="1:40" ht="36.75" customHeight="1" x14ac:dyDescent="0.25">
      <c r="A143" s="594"/>
      <c r="B143" s="844"/>
      <c r="C143" s="844"/>
      <c r="D143" s="844"/>
      <c r="E143" s="844"/>
      <c r="F143" s="844"/>
      <c r="G143" s="844"/>
      <c r="H143" s="844"/>
      <c r="I143" s="844"/>
      <c r="J143" s="844"/>
      <c r="K143" s="844"/>
    </row>
    <row r="144" spans="1:40" ht="54" customHeight="1" x14ac:dyDescent="0.25">
      <c r="A144" s="594"/>
      <c r="B144" s="844"/>
      <c r="C144" s="844"/>
      <c r="D144" s="844"/>
      <c r="E144" s="844"/>
      <c r="F144" s="844"/>
      <c r="G144" s="844"/>
      <c r="H144" s="844"/>
      <c r="I144" s="844"/>
      <c r="J144" s="844"/>
      <c r="K144" s="844"/>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51"/>
  <sheetViews>
    <sheetView zoomScale="90" zoomScaleNormal="90" workbookViewId="0">
      <pane xSplit="1" ySplit="8" topLeftCell="Q87" activePane="bottomRight" state="frozen"/>
      <selection pane="topRight" activeCell="B1" sqref="B1"/>
      <selection pane="bottomLeft" activeCell="A9" sqref="A9"/>
      <selection pane="bottomRight" activeCell="AB101" sqref="AB101"/>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5" width="10.85546875" customWidth="1"/>
    <col min="43" max="45" width="11.5703125" bestFit="1" customWidth="1"/>
    <col min="46" max="47" width="10.85546875" style="500" bestFit="1" customWidth="1"/>
    <col min="48" max="48" width="12.140625" style="500" bestFit="1" customWidth="1"/>
    <col min="49" max="50" width="11.5703125" customWidth="1"/>
    <col min="51" max="51" width="12.5703125" customWidth="1"/>
    <col min="52" max="52" width="15" customWidth="1"/>
    <col min="54" max="54" width="14.5703125" customWidth="1"/>
    <col min="55" max="55" width="13.5703125" style="772" customWidth="1"/>
    <col min="56" max="56" width="11.140625" bestFit="1" customWidth="1"/>
    <col min="57" max="57" width="12.140625" bestFit="1" customWidth="1"/>
  </cols>
  <sheetData>
    <row r="1" spans="1:59"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80"/>
      <c r="Y1" s="780"/>
      <c r="Z1" s="780"/>
      <c r="AA1" s="780"/>
      <c r="AB1" s="780"/>
      <c r="AC1" s="780"/>
      <c r="AD1" s="780"/>
      <c r="AE1" s="780"/>
      <c r="AF1" s="780"/>
      <c r="AG1" s="780"/>
      <c r="AH1" s="780"/>
      <c r="AI1" s="780"/>
      <c r="AJ1" s="488"/>
      <c r="AK1" s="488"/>
      <c r="AL1" s="497"/>
      <c r="AM1" s="497"/>
      <c r="AN1" s="497"/>
      <c r="AO1" s="497"/>
      <c r="AP1" s="498"/>
      <c r="AQ1" s="499"/>
      <c r="AR1" s="499"/>
      <c r="AS1" s="499"/>
    </row>
    <row r="2" spans="1:59"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11"/>
    </row>
    <row r="3" spans="1:59"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10"/>
    </row>
    <row r="4" spans="1:59"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11"/>
    </row>
    <row r="5" spans="1:59"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11"/>
    </row>
    <row r="6" spans="1:59"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20"/>
    </row>
    <row r="7" spans="1:59" s="515" customFormat="1" ht="15.75" thickBot="1" x14ac:dyDescent="0.3">
      <c r="A7" s="21"/>
      <c r="B7" s="505">
        <v>2019</v>
      </c>
      <c r="C7" s="506"/>
      <c r="D7" s="506"/>
      <c r="E7" s="506"/>
      <c r="F7" s="506"/>
      <c r="G7" s="506"/>
      <c r="H7" s="506"/>
      <c r="I7" s="506"/>
      <c r="J7" s="506"/>
      <c r="K7" s="507"/>
      <c r="L7" s="508">
        <v>2020</v>
      </c>
      <c r="M7" s="508"/>
      <c r="N7" s="509"/>
      <c r="O7" s="506"/>
      <c r="P7" s="506"/>
      <c r="Q7" s="506"/>
      <c r="R7" s="506"/>
      <c r="S7" s="506"/>
      <c r="T7" s="510"/>
      <c r="U7" s="508"/>
      <c r="V7" s="508"/>
      <c r="W7" s="508"/>
      <c r="X7" s="500"/>
      <c r="Y7" s="500">
        <v>2021</v>
      </c>
      <c r="Z7" s="500"/>
      <c r="AG7" s="772"/>
      <c r="AJ7" s="505" t="s">
        <v>15</v>
      </c>
      <c r="AK7" s="506"/>
      <c r="AL7" s="506"/>
      <c r="AM7" s="506"/>
      <c r="AN7" s="511"/>
      <c r="AO7" s="511"/>
      <c r="AP7" s="512"/>
      <c r="AQ7" s="513"/>
      <c r="AR7" s="514"/>
      <c r="AS7" s="514"/>
      <c r="AT7" s="796"/>
      <c r="AU7" s="796"/>
      <c r="AV7" s="796"/>
      <c r="AW7" s="797"/>
      <c r="AX7" s="797"/>
      <c r="AY7" s="797"/>
      <c r="AZ7" s="797"/>
      <c r="BA7" s="797"/>
      <c r="BB7" s="797"/>
      <c r="BC7" s="782"/>
      <c r="BD7" s="797"/>
      <c r="BE7" s="797"/>
      <c r="BF7" s="797"/>
      <c r="BG7" s="797"/>
    </row>
    <row r="8" spans="1:59"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18" t="s">
        <v>7</v>
      </c>
      <c r="Y8" s="519" t="s">
        <v>8</v>
      </c>
      <c r="Z8" s="519" t="s">
        <v>66</v>
      </c>
      <c r="AA8" s="519" t="s">
        <v>68</v>
      </c>
      <c r="AB8" s="519" t="s">
        <v>16</v>
      </c>
      <c r="AC8" s="606" t="s">
        <v>71</v>
      </c>
      <c r="AD8" s="519" t="s">
        <v>17</v>
      </c>
      <c r="AE8" s="519" t="s">
        <v>72</v>
      </c>
      <c r="AF8" s="519" t="s">
        <v>73</v>
      </c>
      <c r="AG8" s="773" t="s">
        <v>74</v>
      </c>
      <c r="AH8" s="519" t="s">
        <v>75</v>
      </c>
      <c r="AI8" s="519" t="s">
        <v>76</v>
      </c>
      <c r="AJ8" s="28" t="s">
        <v>9</v>
      </c>
      <c r="AK8" s="29" t="s">
        <v>10</v>
      </c>
      <c r="AL8" s="29" t="s">
        <v>16</v>
      </c>
      <c r="AM8" s="29" t="s">
        <v>11</v>
      </c>
      <c r="AN8" s="29" t="s">
        <v>12</v>
      </c>
      <c r="AO8" s="29" t="s">
        <v>3</v>
      </c>
      <c r="AP8" s="32" t="s">
        <v>13</v>
      </c>
      <c r="AQ8" s="516" t="s">
        <v>4</v>
      </c>
      <c r="AR8" s="517" t="s">
        <v>5</v>
      </c>
      <c r="AS8" s="517" t="s">
        <v>6</v>
      </c>
      <c r="AT8" s="798"/>
      <c r="AU8" s="606"/>
      <c r="AV8" s="606"/>
      <c r="AW8" s="606"/>
      <c r="AX8" s="606"/>
      <c r="AY8" s="606"/>
      <c r="AZ8" s="606"/>
      <c r="BA8" s="606"/>
      <c r="BB8" s="606"/>
      <c r="BC8" s="799"/>
      <c r="BD8" s="606"/>
      <c r="BE8" s="606"/>
      <c r="BF8" s="800"/>
      <c r="BG8" s="800"/>
    </row>
    <row r="9" spans="1:59" x14ac:dyDescent="0.25">
      <c r="A9" s="40" t="s">
        <v>14</v>
      </c>
      <c r="B9" s="48"/>
      <c r="C9" s="49"/>
      <c r="D9" s="49"/>
      <c r="E9" s="49"/>
      <c r="F9" s="49"/>
      <c r="G9" s="49"/>
      <c r="H9" s="49"/>
      <c r="I9" s="49"/>
      <c r="J9" s="49"/>
      <c r="K9" s="50"/>
      <c r="L9" s="51"/>
      <c r="M9" s="49"/>
      <c r="N9" s="51"/>
      <c r="O9" s="49"/>
      <c r="P9" s="49"/>
      <c r="Q9" s="49"/>
      <c r="R9" s="49"/>
      <c r="S9" s="49"/>
      <c r="T9" s="50"/>
      <c r="U9" s="319"/>
      <c r="V9" s="319"/>
      <c r="W9" s="319"/>
      <c r="X9" s="500"/>
      <c r="Y9" s="500"/>
      <c r="Z9" s="500"/>
      <c r="AC9" s="2"/>
      <c r="AG9" s="772"/>
      <c r="AJ9" s="51"/>
      <c r="AK9" s="52"/>
      <c r="AL9" s="520"/>
      <c r="AM9" s="520"/>
      <c r="AN9" s="520"/>
      <c r="AO9" s="520"/>
      <c r="AP9" s="521"/>
      <c r="AQ9" s="522"/>
      <c r="AR9" s="522"/>
      <c r="AS9" s="794"/>
      <c r="AT9" s="796"/>
      <c r="AU9" s="796"/>
      <c r="AV9" s="796"/>
      <c r="AW9" s="800"/>
      <c r="AX9" s="800"/>
      <c r="AY9" s="801"/>
      <c r="AZ9" s="800"/>
      <c r="BA9" s="800"/>
      <c r="BB9" s="800"/>
      <c r="BC9" s="782"/>
      <c r="BD9" s="800"/>
      <c r="BE9" s="800"/>
      <c r="BF9" s="800"/>
      <c r="BG9" s="800"/>
    </row>
    <row r="10" spans="1:59"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00">
        <v>1641</v>
      </c>
      <c r="Y10" s="500">
        <v>1638</v>
      </c>
      <c r="Z10" s="500">
        <v>1638</v>
      </c>
      <c r="AA10" s="500">
        <v>1660</v>
      </c>
      <c r="AB10" s="500">
        <v>1657</v>
      </c>
      <c r="AC10" s="607">
        <v>1656</v>
      </c>
      <c r="AD10" s="500">
        <v>1651</v>
      </c>
      <c r="AE10" s="500">
        <v>1647</v>
      </c>
      <c r="AF10" s="500">
        <v>1646</v>
      </c>
      <c r="AG10" s="774">
        <v>1642</v>
      </c>
      <c r="AH10" s="500">
        <v>1648</v>
      </c>
      <c r="AI10" s="500">
        <v>1651</v>
      </c>
      <c r="AJ10" s="58"/>
      <c r="AK10" s="58"/>
      <c r="AL10" s="58"/>
      <c r="AM10" s="58"/>
      <c r="AN10" s="58"/>
      <c r="AO10" s="58"/>
      <c r="AP10" s="70"/>
      <c r="AQ10" s="70"/>
      <c r="AR10" s="70"/>
      <c r="AS10" s="242"/>
      <c r="AT10" s="796"/>
      <c r="AU10" s="796"/>
      <c r="AV10" s="796"/>
      <c r="AW10" s="796"/>
      <c r="AX10" s="796"/>
      <c r="AY10" s="607"/>
      <c r="AZ10" s="796"/>
      <c r="BA10" s="796"/>
      <c r="BB10" s="796"/>
      <c r="BC10" s="802"/>
      <c r="BD10" s="796"/>
      <c r="BE10" s="796"/>
      <c r="BF10" s="800"/>
      <c r="BG10" s="800"/>
    </row>
    <row r="11" spans="1:59"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57">
        <v>123</v>
      </c>
      <c r="U11" s="57">
        <v>123</v>
      </c>
      <c r="V11" s="57">
        <v>123</v>
      </c>
      <c r="W11" s="57">
        <v>127</v>
      </c>
      <c r="X11" s="500">
        <v>132</v>
      </c>
      <c r="Y11" s="500">
        <v>134</v>
      </c>
      <c r="Z11" s="500">
        <v>134</v>
      </c>
      <c r="AA11" s="500">
        <v>111</v>
      </c>
      <c r="AB11" s="500">
        <v>114</v>
      </c>
      <c r="AC11" s="607">
        <v>115</v>
      </c>
      <c r="AD11" s="500">
        <v>121</v>
      </c>
      <c r="AE11" s="500">
        <v>126</v>
      </c>
      <c r="AF11" s="500">
        <v>123</v>
      </c>
      <c r="AG11" s="774">
        <v>126</v>
      </c>
      <c r="AH11" s="500">
        <v>126</v>
      </c>
      <c r="AI11" s="500">
        <v>128</v>
      </c>
      <c r="AJ11" s="58"/>
      <c r="AK11" s="58"/>
      <c r="AL11" s="58"/>
      <c r="AM11" s="58"/>
      <c r="AN11" s="58"/>
      <c r="AO11" s="58"/>
      <c r="AP11" s="70"/>
      <c r="AQ11" s="70"/>
      <c r="AR11" s="70"/>
      <c r="AS11" s="242"/>
      <c r="AT11" s="796"/>
      <c r="AU11" s="796"/>
      <c r="AV11" s="796"/>
      <c r="AW11" s="796"/>
      <c r="AX11" s="796"/>
      <c r="AY11" s="607"/>
      <c r="AZ11" s="796"/>
      <c r="BA11" s="796"/>
      <c r="BB11" s="796"/>
      <c r="BC11" s="802"/>
      <c r="BD11" s="796"/>
      <c r="BE11" s="796"/>
      <c r="BF11" s="800"/>
      <c r="BG11" s="800"/>
    </row>
    <row r="12" spans="1:59"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57">
        <v>183</v>
      </c>
      <c r="U12" s="57">
        <v>183</v>
      </c>
      <c r="V12" s="57">
        <v>184</v>
      </c>
      <c r="W12" s="57">
        <v>185</v>
      </c>
      <c r="X12" s="500">
        <v>186</v>
      </c>
      <c r="Y12" s="500">
        <v>186</v>
      </c>
      <c r="Z12" s="500">
        <v>186</v>
      </c>
      <c r="AA12" s="500">
        <v>187</v>
      </c>
      <c r="AB12" s="500">
        <v>187</v>
      </c>
      <c r="AC12" s="607">
        <v>187</v>
      </c>
      <c r="AD12" s="500">
        <v>187</v>
      </c>
      <c r="AE12" s="500">
        <v>187</v>
      </c>
      <c r="AF12" s="500">
        <v>186</v>
      </c>
      <c r="AG12" s="774">
        <v>190</v>
      </c>
      <c r="AH12" s="500">
        <v>190</v>
      </c>
      <c r="AI12" s="500">
        <v>190</v>
      </c>
      <c r="AJ12" s="58"/>
      <c r="AK12" s="58"/>
      <c r="AL12" s="58"/>
      <c r="AM12" s="58"/>
      <c r="AN12" s="58"/>
      <c r="AO12" s="58"/>
      <c r="AP12" s="57"/>
      <c r="AQ12" s="70"/>
      <c r="AR12" s="70"/>
      <c r="AS12" s="242"/>
      <c r="AT12" s="796"/>
      <c r="AU12" s="796"/>
      <c r="AV12" s="796"/>
      <c r="AW12" s="796"/>
      <c r="AX12" s="796"/>
      <c r="AY12" s="607"/>
      <c r="AZ12" s="796"/>
      <c r="BA12" s="796"/>
      <c r="BB12" s="796"/>
      <c r="BC12" s="802"/>
      <c r="BD12" s="796"/>
      <c r="BE12" s="796"/>
      <c r="BF12" s="800"/>
      <c r="BG12" s="800"/>
    </row>
    <row r="13" spans="1:59" x14ac:dyDescent="0.25">
      <c r="A13" s="35" t="s">
        <v>39</v>
      </c>
      <c r="B13" s="55"/>
      <c r="C13" s="56"/>
      <c r="D13" s="56"/>
      <c r="E13" s="56"/>
      <c r="F13" s="56"/>
      <c r="G13" s="56"/>
      <c r="H13" s="56"/>
      <c r="I13" s="56"/>
      <c r="J13" s="56"/>
      <c r="K13" s="57"/>
      <c r="L13" s="58"/>
      <c r="M13" s="56"/>
      <c r="N13" s="58"/>
      <c r="O13" s="56"/>
      <c r="P13" s="56"/>
      <c r="Q13" s="56"/>
      <c r="R13" s="56"/>
      <c r="S13" s="56"/>
      <c r="T13" s="57"/>
      <c r="U13" s="57"/>
      <c r="V13" s="57"/>
      <c r="W13" s="57"/>
      <c r="X13" s="500"/>
      <c r="Y13" s="500"/>
      <c r="Z13" s="500"/>
      <c r="AC13" s="2"/>
      <c r="AG13" s="774"/>
      <c r="AJ13" s="58"/>
      <c r="AK13" s="58"/>
      <c r="AL13" s="58"/>
      <c r="AM13" s="58"/>
      <c r="AN13" s="58"/>
      <c r="AO13" s="58"/>
      <c r="AP13" s="57"/>
      <c r="AQ13" s="70"/>
      <c r="AR13" s="70"/>
      <c r="AS13" s="242"/>
      <c r="AT13" s="796"/>
      <c r="AU13" s="796"/>
      <c r="AV13" s="796"/>
      <c r="AW13" s="800"/>
      <c r="AX13" s="800"/>
      <c r="AY13" s="801"/>
      <c r="AZ13" s="800"/>
      <c r="BA13" s="800"/>
      <c r="BB13" s="800"/>
      <c r="BC13" s="802"/>
      <c r="BD13" s="800"/>
      <c r="BE13" s="800"/>
      <c r="BF13" s="800"/>
      <c r="BG13" s="800"/>
    </row>
    <row r="14" spans="1:59"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57">
        <v>4</v>
      </c>
      <c r="U14" s="57">
        <v>4</v>
      </c>
      <c r="V14" s="57">
        <v>4</v>
      </c>
      <c r="W14" s="57">
        <v>4</v>
      </c>
      <c r="X14" s="500">
        <v>4</v>
      </c>
      <c r="Y14" s="500">
        <v>4</v>
      </c>
      <c r="Z14" s="500">
        <v>4</v>
      </c>
      <c r="AA14" s="500">
        <v>4</v>
      </c>
      <c r="AB14" s="500">
        <v>4</v>
      </c>
      <c r="AC14" s="607">
        <v>4</v>
      </c>
      <c r="AD14" s="500">
        <v>4</v>
      </c>
      <c r="AE14" s="500">
        <v>4</v>
      </c>
      <c r="AF14" s="500">
        <v>4</v>
      </c>
      <c r="AG14" s="774">
        <v>0</v>
      </c>
      <c r="AJ14" s="58"/>
      <c r="AK14" s="58"/>
      <c r="AL14" s="58"/>
      <c r="AM14" s="58"/>
      <c r="AN14" s="58"/>
      <c r="AO14" s="58"/>
      <c r="AP14" s="57"/>
      <c r="AQ14" s="70"/>
      <c r="AR14" s="70"/>
      <c r="AS14" s="242"/>
      <c r="AT14" s="796"/>
      <c r="AU14" s="796"/>
      <c r="AV14" s="796"/>
      <c r="AW14" s="796"/>
      <c r="AX14" s="796"/>
      <c r="AY14" s="607"/>
      <c r="AZ14" s="796"/>
      <c r="BA14" s="796"/>
      <c r="BB14" s="796"/>
      <c r="BC14" s="802"/>
      <c r="BD14" s="800"/>
      <c r="BE14" s="800"/>
      <c r="BF14" s="800"/>
      <c r="BG14" s="800"/>
    </row>
    <row r="15" spans="1:59"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12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74">
        <f t="shared" si="1"/>
        <v>1958</v>
      </c>
      <c r="AH15" s="500">
        <v>1964</v>
      </c>
      <c r="AI15" s="500">
        <v>1969</v>
      </c>
      <c r="AJ15" s="60"/>
      <c r="AK15" s="60"/>
      <c r="AL15" s="60"/>
      <c r="AM15" s="60"/>
      <c r="AN15" s="60"/>
      <c r="AO15" s="60"/>
      <c r="AP15" s="59"/>
      <c r="AQ15" s="59"/>
      <c r="AR15" s="59"/>
      <c r="AS15" s="262"/>
      <c r="AT15" s="796"/>
      <c r="AU15" s="796"/>
      <c r="AV15" s="796"/>
      <c r="AW15" s="796"/>
      <c r="AX15" s="796"/>
      <c r="AY15" s="607"/>
      <c r="AZ15" s="796"/>
      <c r="BA15" s="796"/>
      <c r="BB15" s="796"/>
      <c r="BC15" s="802"/>
      <c r="BD15" s="796"/>
      <c r="BE15" s="796"/>
      <c r="BF15" s="800"/>
      <c r="BG15" s="800"/>
    </row>
    <row r="16" spans="1:59" x14ac:dyDescent="0.25">
      <c r="A16" s="41" t="s">
        <v>18</v>
      </c>
      <c r="B16" s="61"/>
      <c r="C16" s="62"/>
      <c r="D16" s="62"/>
      <c r="E16" s="62"/>
      <c r="F16" s="62"/>
      <c r="G16" s="62"/>
      <c r="H16" s="62"/>
      <c r="I16" s="62"/>
      <c r="J16" s="62"/>
      <c r="K16" s="63"/>
      <c r="L16" s="64"/>
      <c r="M16" s="62"/>
      <c r="N16" s="64"/>
      <c r="O16" s="62"/>
      <c r="P16" s="62"/>
      <c r="Q16" s="62"/>
      <c r="R16" s="62"/>
      <c r="S16" s="62"/>
      <c r="T16" s="170"/>
      <c r="U16" s="320"/>
      <c r="V16" s="320"/>
      <c r="W16" s="320"/>
      <c r="X16" s="500"/>
      <c r="Y16" s="500"/>
      <c r="Z16" s="500"/>
      <c r="AC16" s="2"/>
      <c r="AG16" s="772"/>
      <c r="AJ16" s="64"/>
      <c r="AK16" s="65"/>
      <c r="AL16" s="523"/>
      <c r="AM16" s="523"/>
      <c r="AN16" s="523"/>
      <c r="AO16" s="523"/>
      <c r="AP16" s="524"/>
      <c r="AQ16" s="500"/>
      <c r="AR16" s="500"/>
      <c r="AS16" s="500"/>
      <c r="AT16" s="796"/>
      <c r="AU16" s="796"/>
      <c r="AV16" s="796"/>
      <c r="AW16" s="800"/>
      <c r="AX16" s="800"/>
      <c r="AY16" s="801"/>
      <c r="AZ16" s="800"/>
      <c r="BA16" s="800"/>
      <c r="BB16" s="800"/>
      <c r="BC16" s="782"/>
      <c r="BD16" s="800"/>
      <c r="BE16" s="800"/>
      <c r="BF16" s="800"/>
      <c r="BG16" s="800"/>
    </row>
    <row r="17" spans="1:59"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68">
        <v>600</v>
      </c>
      <c r="U17" s="68">
        <v>948</v>
      </c>
      <c r="V17" s="68">
        <v>632</v>
      </c>
      <c r="W17" s="68">
        <v>876</v>
      </c>
      <c r="X17" s="500">
        <v>910</v>
      </c>
      <c r="Y17" s="500">
        <v>648</v>
      </c>
      <c r="Z17" s="500">
        <v>928</v>
      </c>
      <c r="AA17" s="500">
        <v>652</v>
      </c>
      <c r="AB17" s="525"/>
      <c r="AC17" s="2"/>
      <c r="AG17" s="772"/>
      <c r="AJ17" s="71"/>
      <c r="AK17" s="71"/>
      <c r="AL17" s="71"/>
      <c r="AM17" s="71"/>
      <c r="AN17" s="71"/>
      <c r="AO17" s="71"/>
      <c r="AP17" s="70"/>
      <c r="AQ17" s="70"/>
      <c r="AR17" s="70"/>
      <c r="AS17" s="242"/>
      <c r="AT17" s="796"/>
      <c r="AU17" s="796"/>
      <c r="AV17" s="796"/>
      <c r="AW17" s="796"/>
      <c r="AX17" s="800"/>
      <c r="AY17" s="801"/>
      <c r="AZ17" s="800"/>
      <c r="BA17" s="800"/>
      <c r="BB17" s="800"/>
      <c r="BC17" s="782"/>
      <c r="BD17" s="800"/>
      <c r="BE17" s="800"/>
      <c r="BF17" s="800"/>
      <c r="BG17" s="800"/>
    </row>
    <row r="18" spans="1:59" x14ac:dyDescent="0.25">
      <c r="A18" s="35" t="s">
        <v>37</v>
      </c>
      <c r="B18" s="131"/>
      <c r="C18" s="69"/>
      <c r="D18" s="69"/>
      <c r="E18" s="69"/>
      <c r="F18" s="69"/>
      <c r="G18" s="69"/>
      <c r="H18" s="69"/>
      <c r="I18" s="69"/>
      <c r="J18" s="69"/>
      <c r="K18" s="70"/>
      <c r="L18" s="71"/>
      <c r="M18" s="71"/>
      <c r="N18" s="71"/>
      <c r="O18" s="71"/>
      <c r="P18" s="71"/>
      <c r="Q18" s="71"/>
      <c r="R18" s="71"/>
      <c r="S18" s="71"/>
      <c r="T18" s="68"/>
      <c r="U18" s="68"/>
      <c r="V18" s="68"/>
      <c r="W18" s="68"/>
      <c r="X18" s="500"/>
      <c r="Y18" s="500"/>
      <c r="Z18" s="500"/>
      <c r="AB18" s="525"/>
      <c r="AC18" s="2"/>
      <c r="AG18" s="772"/>
      <c r="AJ18" s="71"/>
      <c r="AK18" s="71"/>
      <c r="AL18" s="71"/>
      <c r="AM18" s="71"/>
      <c r="AN18" s="71"/>
      <c r="AO18" s="71"/>
      <c r="AP18" s="70"/>
      <c r="AQ18" s="70"/>
      <c r="AR18" s="70"/>
      <c r="AS18" s="242"/>
      <c r="AT18" s="796"/>
      <c r="AU18" s="796"/>
      <c r="AV18" s="796"/>
      <c r="AW18" s="800"/>
      <c r="AX18" s="800"/>
      <c r="AY18" s="801"/>
      <c r="AZ18" s="800"/>
      <c r="BA18" s="800"/>
      <c r="BB18" s="800"/>
      <c r="BC18" s="782"/>
      <c r="BD18" s="800"/>
      <c r="BE18" s="800"/>
      <c r="BF18" s="800"/>
      <c r="BG18" s="800"/>
    </row>
    <row r="19" spans="1:59"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68">
        <v>44</v>
      </c>
      <c r="U19" s="68">
        <v>65</v>
      </c>
      <c r="V19" s="68">
        <v>40</v>
      </c>
      <c r="W19" s="68">
        <v>61</v>
      </c>
      <c r="X19" s="500">
        <v>88</v>
      </c>
      <c r="Y19" s="500">
        <v>43</v>
      </c>
      <c r="Z19" s="500">
        <v>96</v>
      </c>
      <c r="AA19" s="500">
        <v>117</v>
      </c>
      <c r="AB19" s="525"/>
      <c r="AC19" s="2"/>
      <c r="AG19" s="772"/>
      <c r="AJ19" s="71"/>
      <c r="AK19" s="71"/>
      <c r="AL19" s="71"/>
      <c r="AM19" s="71"/>
      <c r="AN19" s="71"/>
      <c r="AO19" s="71"/>
      <c r="AP19" s="70"/>
      <c r="AQ19" s="70"/>
      <c r="AR19" s="70"/>
      <c r="AS19" s="242"/>
      <c r="AT19" s="796"/>
      <c r="AU19" s="796"/>
      <c r="AV19" s="796"/>
      <c r="AW19" s="796"/>
      <c r="AX19" s="800"/>
      <c r="AY19" s="801"/>
      <c r="AZ19" s="800"/>
      <c r="BA19" s="800"/>
      <c r="BB19" s="800"/>
      <c r="BC19" s="782"/>
      <c r="BD19" s="800"/>
      <c r="BE19" s="800"/>
      <c r="BF19" s="800"/>
      <c r="BG19" s="800"/>
    </row>
    <row r="20" spans="1:59" x14ac:dyDescent="0.25">
      <c r="A20" s="35" t="s">
        <v>39</v>
      </c>
      <c r="B20" s="131"/>
      <c r="C20" s="69"/>
      <c r="D20" s="69"/>
      <c r="E20" s="69"/>
      <c r="F20" s="69"/>
      <c r="G20" s="69"/>
      <c r="H20" s="69"/>
      <c r="I20" s="69"/>
      <c r="J20" s="69"/>
      <c r="K20" s="70"/>
      <c r="L20" s="71"/>
      <c r="M20" s="71"/>
      <c r="N20" s="71"/>
      <c r="O20" s="71"/>
      <c r="P20" s="71"/>
      <c r="Q20" s="71"/>
      <c r="R20" s="71"/>
      <c r="S20" s="71"/>
      <c r="T20" s="68"/>
      <c r="U20" s="68"/>
      <c r="V20" s="68"/>
      <c r="W20" s="68"/>
      <c r="X20" s="500"/>
      <c r="Y20" s="500"/>
      <c r="Z20" s="500"/>
      <c r="AB20" s="525"/>
      <c r="AC20" s="2"/>
      <c r="AG20" s="772"/>
      <c r="AJ20" s="71"/>
      <c r="AK20" s="71"/>
      <c r="AL20" s="71"/>
      <c r="AM20" s="71"/>
      <c r="AN20" s="71"/>
      <c r="AO20" s="71"/>
      <c r="AP20" s="70"/>
      <c r="AQ20" s="70"/>
      <c r="AR20" s="70"/>
      <c r="AS20" s="242"/>
      <c r="AT20" s="796"/>
      <c r="AU20" s="796"/>
      <c r="AV20" s="796"/>
      <c r="AW20" s="800"/>
      <c r="AX20" s="800"/>
      <c r="AY20" s="801"/>
      <c r="AZ20" s="800"/>
      <c r="BA20" s="800"/>
      <c r="BB20" s="800"/>
      <c r="BC20" s="782"/>
      <c r="BD20" s="800"/>
      <c r="BE20" s="800"/>
      <c r="BF20" s="800"/>
      <c r="BG20" s="800"/>
    </row>
    <row r="21" spans="1:59" x14ac:dyDescent="0.25">
      <c r="A21" s="35" t="s">
        <v>61</v>
      </c>
      <c r="B21" s="131"/>
      <c r="C21" s="69"/>
      <c r="D21" s="69"/>
      <c r="E21" s="69"/>
      <c r="F21" s="69"/>
      <c r="G21" s="69"/>
      <c r="H21" s="69"/>
      <c r="I21" s="69"/>
      <c r="J21" s="69"/>
      <c r="K21" s="70"/>
      <c r="L21" s="71"/>
      <c r="M21" s="71"/>
      <c r="N21" s="71"/>
      <c r="O21" s="71"/>
      <c r="P21" s="71"/>
      <c r="Q21" s="71"/>
      <c r="R21" s="71"/>
      <c r="S21" s="71"/>
      <c r="T21" s="68"/>
      <c r="U21" s="68"/>
      <c r="V21" s="68"/>
      <c r="W21" s="68"/>
      <c r="X21" s="500"/>
      <c r="Y21" s="500"/>
      <c r="Z21" s="500"/>
      <c r="AB21" s="525"/>
      <c r="AC21" s="2"/>
      <c r="AG21" s="772"/>
      <c r="AJ21" s="71"/>
      <c r="AK21" s="71"/>
      <c r="AL21" s="71"/>
      <c r="AM21" s="71"/>
      <c r="AN21" s="71"/>
      <c r="AO21" s="71"/>
      <c r="AP21" s="70"/>
      <c r="AQ21" s="70"/>
      <c r="AR21" s="70"/>
      <c r="AS21" s="242"/>
      <c r="AT21" s="796"/>
      <c r="AU21" s="796"/>
      <c r="AV21" s="796"/>
      <c r="AW21" s="800"/>
      <c r="AX21" s="800"/>
      <c r="AY21" s="801"/>
      <c r="AZ21" s="800"/>
      <c r="BA21" s="800"/>
      <c r="BB21" s="800"/>
      <c r="BC21" s="782"/>
      <c r="BD21" s="800"/>
      <c r="BE21" s="800"/>
      <c r="BF21" s="800"/>
      <c r="BG21" s="800"/>
    </row>
    <row r="22" spans="1:59" x14ac:dyDescent="0.25">
      <c r="A22" s="35" t="s">
        <v>41</v>
      </c>
      <c r="B22" s="131">
        <f t="shared" ref="B22:AS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131">
        <f t="shared" si="2"/>
        <v>1013</v>
      </c>
      <c r="V22" s="131">
        <f t="shared" si="2"/>
        <v>672</v>
      </c>
      <c r="W22" s="131">
        <f t="shared" si="2"/>
        <v>937</v>
      </c>
      <c r="X22" s="131">
        <f t="shared" ref="X22:AC22" si="3">SUM(X17:X20)</f>
        <v>998</v>
      </c>
      <c r="Y22" s="131">
        <f t="shared" si="3"/>
        <v>691</v>
      </c>
      <c r="Z22" s="131">
        <f t="shared" si="3"/>
        <v>1024</v>
      </c>
      <c r="AA22" s="131">
        <f t="shared" si="3"/>
        <v>769</v>
      </c>
      <c r="AB22" s="526">
        <f t="shared" si="3"/>
        <v>0</v>
      </c>
      <c r="AC22" s="131">
        <f t="shared" si="3"/>
        <v>0</v>
      </c>
      <c r="AG22" s="772"/>
      <c r="AJ22" s="131">
        <f t="shared" si="2"/>
        <v>0</v>
      </c>
      <c r="AK22" s="131">
        <f t="shared" si="2"/>
        <v>0</v>
      </c>
      <c r="AL22" s="131">
        <f t="shared" si="2"/>
        <v>0</v>
      </c>
      <c r="AM22" s="131">
        <f t="shared" si="2"/>
        <v>0</v>
      </c>
      <c r="AN22" s="131">
        <f t="shared" si="2"/>
        <v>0</v>
      </c>
      <c r="AO22" s="131">
        <f t="shared" si="2"/>
        <v>0</v>
      </c>
      <c r="AP22" s="131">
        <f t="shared" si="2"/>
        <v>0</v>
      </c>
      <c r="AQ22" s="131">
        <f t="shared" si="2"/>
        <v>0</v>
      </c>
      <c r="AR22" s="131">
        <f t="shared" si="2"/>
        <v>0</v>
      </c>
      <c r="AS22" s="131">
        <f t="shared" si="2"/>
        <v>0</v>
      </c>
      <c r="AT22" s="803"/>
      <c r="AU22" s="803"/>
      <c r="AV22" s="803"/>
      <c r="AW22" s="803"/>
      <c r="AX22" s="803"/>
      <c r="AY22" s="803"/>
      <c r="AZ22" s="800"/>
      <c r="BA22" s="800"/>
      <c r="BB22" s="800"/>
      <c r="BC22" s="782"/>
      <c r="BD22" s="800"/>
      <c r="BE22" s="800"/>
      <c r="BF22" s="800"/>
      <c r="BG22" s="800"/>
    </row>
    <row r="23" spans="1:59" x14ac:dyDescent="0.25">
      <c r="A23" s="42" t="s">
        <v>21</v>
      </c>
      <c r="B23" s="68"/>
      <c r="C23" s="69"/>
      <c r="D23" s="69"/>
      <c r="E23" s="69"/>
      <c r="F23" s="69"/>
      <c r="G23" s="69"/>
      <c r="H23" s="69"/>
      <c r="I23" s="69"/>
      <c r="J23" s="69"/>
      <c r="K23" s="70"/>
      <c r="L23" s="71"/>
      <c r="M23" s="69"/>
      <c r="N23" s="71"/>
      <c r="O23" s="69"/>
      <c r="P23" s="69"/>
      <c r="Q23" s="69"/>
      <c r="R23" s="69"/>
      <c r="S23" s="69"/>
      <c r="T23" s="171"/>
      <c r="U23" s="251"/>
      <c r="V23" s="251"/>
      <c r="W23" s="251"/>
      <c r="X23" s="500"/>
      <c r="Y23" s="500"/>
      <c r="Z23" s="500"/>
      <c r="AB23" s="525"/>
      <c r="AC23" s="2"/>
      <c r="AG23" s="772"/>
      <c r="AJ23" s="71"/>
      <c r="AK23" s="72"/>
      <c r="AL23" s="527"/>
      <c r="AM23" s="527"/>
      <c r="AN23" s="527"/>
      <c r="AO23" s="527"/>
      <c r="AP23" s="528"/>
      <c r="AQ23" s="522"/>
      <c r="AR23" s="522"/>
      <c r="AS23" s="522"/>
      <c r="AT23" s="796"/>
      <c r="AU23" s="796"/>
      <c r="AV23" s="796"/>
      <c r="AW23" s="800"/>
      <c r="AX23" s="800"/>
      <c r="AY23" s="801"/>
      <c r="AZ23" s="800"/>
      <c r="BA23" s="800"/>
      <c r="BB23" s="800"/>
      <c r="BC23" s="782"/>
      <c r="BD23" s="800"/>
      <c r="BE23" s="800"/>
      <c r="BF23" s="800"/>
      <c r="BG23" s="800"/>
    </row>
    <row r="24" spans="1:59"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71">
        <v>52</v>
      </c>
      <c r="U24" s="71">
        <v>389</v>
      </c>
      <c r="V24" s="71">
        <v>63</v>
      </c>
      <c r="W24" s="71">
        <v>361</v>
      </c>
      <c r="X24" s="500">
        <v>411</v>
      </c>
      <c r="Y24" s="500">
        <v>238</v>
      </c>
      <c r="Z24" s="500">
        <v>645</v>
      </c>
      <c r="AA24" s="500">
        <v>450</v>
      </c>
      <c r="AB24" s="529"/>
      <c r="AC24" s="2"/>
      <c r="AG24" s="772"/>
      <c r="AJ24" s="71"/>
      <c r="AK24" s="71"/>
      <c r="AL24" s="71"/>
      <c r="AM24" s="71"/>
      <c r="AN24" s="71"/>
      <c r="AO24" s="71"/>
      <c r="AP24" s="70"/>
      <c r="AQ24" s="70"/>
      <c r="AR24" s="70"/>
      <c r="AS24" s="242"/>
      <c r="AT24" s="796"/>
      <c r="AU24" s="796"/>
      <c r="AV24" s="796"/>
      <c r="AW24" s="796"/>
      <c r="AX24" s="796"/>
      <c r="AY24" s="801"/>
      <c r="AZ24" s="800"/>
      <c r="BA24" s="800"/>
      <c r="BB24" s="800"/>
      <c r="BC24" s="782"/>
      <c r="BD24" s="800"/>
      <c r="BE24" s="800"/>
      <c r="BF24" s="800"/>
      <c r="BG24" s="800"/>
    </row>
    <row r="25" spans="1:59"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71">
        <v>6</v>
      </c>
      <c r="U25" s="71">
        <v>66</v>
      </c>
      <c r="V25" s="71">
        <v>3</v>
      </c>
      <c r="W25" s="71">
        <v>73</v>
      </c>
      <c r="X25" s="500">
        <v>87</v>
      </c>
      <c r="Y25" s="500">
        <v>79</v>
      </c>
      <c r="Z25" s="500">
        <v>133</v>
      </c>
      <c r="AA25" s="500">
        <v>84</v>
      </c>
      <c r="AB25" s="525"/>
      <c r="AC25" s="2"/>
      <c r="AG25" s="772"/>
      <c r="AJ25" s="71"/>
      <c r="AK25" s="71"/>
      <c r="AL25" s="71"/>
      <c r="AM25" s="71"/>
      <c r="AN25" s="71"/>
      <c r="AO25" s="71"/>
      <c r="AP25" s="70"/>
      <c r="AQ25" s="70"/>
      <c r="AR25" s="70"/>
      <c r="AS25" s="242"/>
      <c r="AT25" s="796"/>
      <c r="AU25" s="796"/>
      <c r="AV25" s="796"/>
      <c r="AW25" s="796"/>
      <c r="AX25" s="800"/>
      <c r="AY25" s="801"/>
      <c r="AZ25" s="800"/>
      <c r="BA25" s="800"/>
      <c r="BB25" s="800"/>
      <c r="BC25" s="782"/>
      <c r="BD25" s="800"/>
      <c r="BE25" s="800"/>
      <c r="BF25" s="800"/>
      <c r="BG25" s="800"/>
    </row>
    <row r="26" spans="1:59"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71">
        <v>6</v>
      </c>
      <c r="U26" s="71">
        <v>28</v>
      </c>
      <c r="V26" s="71">
        <v>4</v>
      </c>
      <c r="W26" s="71">
        <v>31</v>
      </c>
      <c r="X26" s="500">
        <v>54</v>
      </c>
      <c r="Y26" s="500">
        <v>18</v>
      </c>
      <c r="Z26" s="500">
        <v>74</v>
      </c>
      <c r="AA26" s="500">
        <v>59</v>
      </c>
      <c r="AB26" s="525"/>
      <c r="AC26" s="2"/>
      <c r="AG26" s="772"/>
      <c r="AJ26" s="71"/>
      <c r="AK26" s="71"/>
      <c r="AL26" s="71"/>
      <c r="AM26" s="71"/>
      <c r="AN26" s="71"/>
      <c r="AO26" s="71"/>
      <c r="AP26" s="70"/>
      <c r="AQ26" s="70"/>
      <c r="AR26" s="70"/>
      <c r="AS26" s="242"/>
      <c r="AT26" s="796"/>
      <c r="AU26" s="796"/>
      <c r="AV26" s="796"/>
      <c r="AW26" s="796"/>
      <c r="AX26" s="800"/>
      <c r="AY26" s="801"/>
      <c r="AZ26" s="800"/>
      <c r="BA26" s="800"/>
      <c r="BB26" s="800"/>
      <c r="BC26" s="782"/>
      <c r="BD26" s="800"/>
      <c r="BE26" s="800"/>
      <c r="BF26" s="800"/>
      <c r="BG26" s="800"/>
    </row>
    <row r="27" spans="1:59" x14ac:dyDescent="0.25">
      <c r="A27" s="35" t="s">
        <v>39</v>
      </c>
      <c r="B27" s="131"/>
      <c r="C27" s="69"/>
      <c r="D27" s="69"/>
      <c r="E27" s="69"/>
      <c r="F27" s="69"/>
      <c r="G27" s="69"/>
      <c r="H27" s="69"/>
      <c r="I27" s="69"/>
      <c r="J27" s="69"/>
      <c r="K27" s="70"/>
      <c r="L27" s="71"/>
      <c r="M27" s="69"/>
      <c r="N27" s="71"/>
      <c r="O27" s="69"/>
      <c r="P27" s="69"/>
      <c r="Q27" s="69"/>
      <c r="R27" s="69"/>
      <c r="S27" s="69"/>
      <c r="T27" s="71"/>
      <c r="U27" s="71"/>
      <c r="V27" s="71"/>
      <c r="W27" s="71"/>
      <c r="X27" s="500"/>
      <c r="Y27" s="500"/>
      <c r="Z27" s="500"/>
      <c r="AB27" s="525"/>
      <c r="AC27" s="2"/>
      <c r="AG27" s="772"/>
      <c r="AJ27" s="71"/>
      <c r="AK27" s="71"/>
      <c r="AL27" s="71"/>
      <c r="AM27" s="71"/>
      <c r="AN27" s="71"/>
      <c r="AO27" s="71"/>
      <c r="AP27" s="70"/>
      <c r="AQ27" s="70"/>
      <c r="AR27" s="70"/>
      <c r="AS27" s="242"/>
      <c r="AT27" s="796"/>
      <c r="AU27" s="796"/>
      <c r="AV27" s="796"/>
      <c r="AW27" s="800"/>
      <c r="AX27" s="800"/>
      <c r="AY27" s="801"/>
      <c r="AZ27" s="800"/>
      <c r="BA27" s="800"/>
      <c r="BB27" s="800"/>
      <c r="BC27" s="782"/>
      <c r="BD27" s="800"/>
      <c r="BE27" s="800"/>
      <c r="BF27" s="800"/>
      <c r="BG27" s="800"/>
    </row>
    <row r="28" spans="1:59" x14ac:dyDescent="0.25">
      <c r="A28" s="35" t="s">
        <v>61</v>
      </c>
      <c r="B28" s="68"/>
      <c r="C28" s="69"/>
      <c r="D28" s="69"/>
      <c r="E28" s="69"/>
      <c r="F28" s="69"/>
      <c r="G28" s="69"/>
      <c r="H28" s="69"/>
      <c r="I28" s="69"/>
      <c r="J28" s="69"/>
      <c r="K28" s="70"/>
      <c r="L28" s="71"/>
      <c r="M28" s="69"/>
      <c r="N28" s="71"/>
      <c r="O28" s="69"/>
      <c r="P28" s="69"/>
      <c r="Q28" s="69"/>
      <c r="R28" s="69"/>
      <c r="S28" s="69"/>
      <c r="T28" s="71"/>
      <c r="U28" s="71"/>
      <c r="V28" s="71"/>
      <c r="W28" s="71"/>
      <c r="X28" s="500"/>
      <c r="Y28" s="500"/>
      <c r="Z28" s="500"/>
      <c r="AB28" s="525"/>
      <c r="AC28" s="2"/>
      <c r="AG28" s="772"/>
      <c r="AJ28" s="71"/>
      <c r="AK28" s="71"/>
      <c r="AL28" s="71"/>
      <c r="AM28" s="71"/>
      <c r="AN28" s="71"/>
      <c r="AO28" s="71"/>
      <c r="AP28" s="70"/>
      <c r="AQ28" s="70"/>
      <c r="AR28" s="70"/>
      <c r="AS28" s="242"/>
      <c r="AT28" s="796"/>
      <c r="AU28" s="796"/>
      <c r="AV28" s="796"/>
      <c r="AW28" s="800"/>
      <c r="AX28" s="800"/>
      <c r="AY28" s="801"/>
      <c r="AZ28" s="800"/>
      <c r="BA28" s="800"/>
      <c r="BB28" s="800"/>
      <c r="BC28" s="782"/>
      <c r="BD28" s="800"/>
      <c r="BE28" s="800"/>
      <c r="BF28" s="800"/>
      <c r="BG28" s="800"/>
    </row>
    <row r="29" spans="1:59" x14ac:dyDescent="0.25">
      <c r="A29" s="35" t="s">
        <v>41</v>
      </c>
      <c r="B29" s="131">
        <f t="shared" ref="B29:AS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131">
        <f t="shared" si="4"/>
        <v>483</v>
      </c>
      <c r="V29" s="131">
        <f t="shared" si="4"/>
        <v>70</v>
      </c>
      <c r="W29" s="131">
        <f t="shared" si="4"/>
        <v>465</v>
      </c>
      <c r="X29" s="131">
        <f t="shared" ref="X29:AC29" si="5">SUM(X24:X28)</f>
        <v>552</v>
      </c>
      <c r="Y29" s="131">
        <f t="shared" si="5"/>
        <v>335</v>
      </c>
      <c r="Z29" s="131">
        <f t="shared" si="5"/>
        <v>852</v>
      </c>
      <c r="AA29" s="131">
        <f t="shared" si="5"/>
        <v>593</v>
      </c>
      <c r="AB29" s="526">
        <f t="shared" si="5"/>
        <v>0</v>
      </c>
      <c r="AC29" s="131">
        <f t="shared" si="5"/>
        <v>0</v>
      </c>
      <c r="AG29" s="772"/>
      <c r="AJ29" s="131">
        <f t="shared" si="4"/>
        <v>0</v>
      </c>
      <c r="AK29" s="131">
        <f t="shared" si="4"/>
        <v>0</v>
      </c>
      <c r="AL29" s="131">
        <f t="shared" si="4"/>
        <v>0</v>
      </c>
      <c r="AM29" s="131">
        <f t="shared" si="4"/>
        <v>0</v>
      </c>
      <c r="AN29" s="131">
        <f t="shared" si="4"/>
        <v>0</v>
      </c>
      <c r="AO29" s="131">
        <f t="shared" si="4"/>
        <v>0</v>
      </c>
      <c r="AP29" s="131">
        <f t="shared" si="4"/>
        <v>0</v>
      </c>
      <c r="AQ29" s="131">
        <f t="shared" si="4"/>
        <v>0</v>
      </c>
      <c r="AR29" s="131">
        <f t="shared" si="4"/>
        <v>0</v>
      </c>
      <c r="AS29" s="131">
        <f t="shared" si="4"/>
        <v>0</v>
      </c>
      <c r="AT29" s="803"/>
      <c r="AU29" s="803"/>
      <c r="AV29" s="803"/>
      <c r="AW29" s="803"/>
      <c r="AX29" s="803"/>
      <c r="AY29" s="803"/>
      <c r="AZ29" s="800"/>
      <c r="BA29" s="800"/>
      <c r="BB29" s="800"/>
      <c r="BC29" s="782"/>
      <c r="BD29" s="800"/>
      <c r="BE29" s="800"/>
      <c r="BF29" s="800"/>
      <c r="BG29" s="800"/>
    </row>
    <row r="30" spans="1:59" x14ac:dyDescent="0.25">
      <c r="A30" s="42" t="s">
        <v>22</v>
      </c>
      <c r="B30" s="131"/>
      <c r="C30" s="71"/>
      <c r="D30" s="71"/>
      <c r="E30" s="71"/>
      <c r="F30" s="71"/>
      <c r="G30" s="71"/>
      <c r="H30" s="71"/>
      <c r="I30" s="71"/>
      <c r="J30" s="71"/>
      <c r="K30" s="162"/>
      <c r="L30" s="71"/>
      <c r="M30" s="71"/>
      <c r="N30" s="71"/>
      <c r="O30" s="71"/>
      <c r="P30" s="71"/>
      <c r="Q30" s="71"/>
      <c r="R30" s="71"/>
      <c r="S30" s="71"/>
      <c r="T30" s="172"/>
      <c r="U30" s="251"/>
      <c r="V30" s="251"/>
      <c r="W30" s="251"/>
      <c r="X30" s="500"/>
      <c r="Y30" s="500"/>
      <c r="Z30" s="500"/>
      <c r="AB30" s="525"/>
      <c r="AC30" s="2"/>
      <c r="AG30" s="772"/>
      <c r="AJ30" s="71"/>
      <c r="AK30" s="71"/>
      <c r="AL30" s="71"/>
      <c r="AM30" s="71"/>
      <c r="AN30" s="71"/>
      <c r="AO30" s="71"/>
      <c r="AP30" s="70"/>
      <c r="AQ30" s="530"/>
      <c r="AR30" s="530"/>
      <c r="AS30" s="530"/>
      <c r="AT30" s="796"/>
      <c r="AU30" s="796"/>
      <c r="AV30" s="796"/>
      <c r="AW30" s="800"/>
      <c r="AX30" s="800"/>
      <c r="AY30" s="801"/>
      <c r="AZ30" s="800"/>
      <c r="BA30" s="800"/>
      <c r="BB30" s="800"/>
      <c r="BC30" s="782"/>
      <c r="BD30" s="800"/>
      <c r="BE30" s="800"/>
      <c r="BF30" s="800"/>
      <c r="BG30" s="800"/>
    </row>
    <row r="31" spans="1:59"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71">
        <v>243</v>
      </c>
      <c r="U31" s="71">
        <v>236</v>
      </c>
      <c r="V31" s="71">
        <v>238</v>
      </c>
      <c r="W31" s="71">
        <v>216</v>
      </c>
      <c r="X31" s="500">
        <v>212</v>
      </c>
      <c r="Y31" s="500">
        <v>168</v>
      </c>
      <c r="Z31" s="500">
        <v>148</v>
      </c>
      <c r="AA31" s="500">
        <v>63</v>
      </c>
      <c r="AB31" s="529"/>
      <c r="AC31" s="2"/>
      <c r="AG31" s="772"/>
      <c r="AJ31" s="71"/>
      <c r="AK31" s="71"/>
      <c r="AL31" s="71"/>
      <c r="AM31" s="71"/>
      <c r="AN31" s="71"/>
      <c r="AO31" s="71"/>
      <c r="AP31" s="70"/>
      <c r="AQ31" s="70"/>
      <c r="AR31" s="70"/>
      <c r="AS31" s="242"/>
      <c r="AT31" s="796"/>
      <c r="AU31" s="796"/>
      <c r="AV31" s="796"/>
      <c r="AW31" s="796"/>
      <c r="AX31" s="796"/>
      <c r="AY31" s="801"/>
      <c r="AZ31" s="800"/>
      <c r="BA31" s="800"/>
      <c r="BB31" s="800"/>
      <c r="BC31" s="782"/>
      <c r="BD31" s="800"/>
      <c r="BE31" s="800"/>
      <c r="BF31" s="800"/>
      <c r="BG31" s="800"/>
    </row>
    <row r="32" spans="1:59"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71">
        <v>57</v>
      </c>
      <c r="U32" s="71">
        <v>56</v>
      </c>
      <c r="V32" s="71">
        <v>49</v>
      </c>
      <c r="W32" s="71">
        <v>50</v>
      </c>
      <c r="X32" s="500">
        <v>64</v>
      </c>
      <c r="Y32" s="500">
        <v>62</v>
      </c>
      <c r="Z32" s="500">
        <v>51</v>
      </c>
      <c r="AA32" s="500">
        <v>84</v>
      </c>
      <c r="AB32" s="525"/>
      <c r="AC32" s="2"/>
      <c r="AG32" s="772"/>
      <c r="AJ32" s="71"/>
      <c r="AK32" s="71"/>
      <c r="AL32" s="71"/>
      <c r="AM32" s="71"/>
      <c r="AN32" s="71"/>
      <c r="AO32" s="71"/>
      <c r="AP32" s="70"/>
      <c r="AQ32" s="70"/>
      <c r="AR32" s="70"/>
      <c r="AS32" s="242"/>
      <c r="AT32" s="796"/>
      <c r="AU32" s="796"/>
      <c r="AV32" s="796"/>
      <c r="AW32" s="796"/>
      <c r="AX32" s="800"/>
      <c r="AY32" s="801"/>
      <c r="AZ32" s="800"/>
      <c r="BA32" s="800"/>
      <c r="BB32" s="800"/>
      <c r="BC32" s="782"/>
      <c r="BD32" s="800"/>
      <c r="BE32" s="800"/>
      <c r="BF32" s="800"/>
      <c r="BG32" s="800"/>
    </row>
    <row r="33" spans="1:59"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71">
        <v>17</v>
      </c>
      <c r="U33" s="71">
        <v>15</v>
      </c>
      <c r="V33" s="71">
        <v>16</v>
      </c>
      <c r="W33" s="71">
        <v>12</v>
      </c>
      <c r="X33" s="500">
        <v>15</v>
      </c>
      <c r="Y33" s="500">
        <v>15</v>
      </c>
      <c r="Z33" s="500">
        <v>10</v>
      </c>
      <c r="AA33" s="500">
        <v>53</v>
      </c>
      <c r="AB33" s="525"/>
      <c r="AC33" s="2"/>
      <c r="AG33" s="772"/>
      <c r="AJ33" s="71"/>
      <c r="AK33" s="71"/>
      <c r="AL33" s="71"/>
      <c r="AM33" s="71"/>
      <c r="AN33" s="71"/>
      <c r="AO33" s="71"/>
      <c r="AP33" s="70"/>
      <c r="AQ33" s="70"/>
      <c r="AR33" s="70"/>
      <c r="AS33" s="242"/>
      <c r="AT33" s="796"/>
      <c r="AU33" s="796"/>
      <c r="AV33" s="796"/>
      <c r="AW33" s="796"/>
      <c r="AX33" s="800"/>
      <c r="AY33" s="801"/>
      <c r="AZ33" s="800"/>
      <c r="BA33" s="800"/>
      <c r="BB33" s="800"/>
      <c r="BC33" s="782"/>
      <c r="BD33" s="800"/>
      <c r="BE33" s="800"/>
      <c r="BF33" s="800"/>
      <c r="BG33" s="800"/>
    </row>
    <row r="34" spans="1:59" x14ac:dyDescent="0.25">
      <c r="A34" s="35" t="s">
        <v>39</v>
      </c>
      <c r="B34" s="131"/>
      <c r="C34" s="71"/>
      <c r="D34" s="71"/>
      <c r="E34" s="71"/>
      <c r="F34" s="71"/>
      <c r="G34" s="71"/>
      <c r="H34" s="71"/>
      <c r="I34" s="71"/>
      <c r="J34" s="71"/>
      <c r="K34" s="162"/>
      <c r="L34" s="71"/>
      <c r="M34" s="71"/>
      <c r="N34" s="71"/>
      <c r="O34" s="71"/>
      <c r="P34" s="71"/>
      <c r="Q34" s="71"/>
      <c r="R34" s="71"/>
      <c r="S34" s="71"/>
      <c r="T34" s="71"/>
      <c r="U34" s="71"/>
      <c r="V34" s="71"/>
      <c r="W34" s="71"/>
      <c r="X34" s="500"/>
      <c r="Y34" s="500"/>
      <c r="Z34" s="500"/>
      <c r="AB34" s="525"/>
      <c r="AC34" s="2"/>
      <c r="AG34" s="772"/>
      <c r="AJ34" s="71"/>
      <c r="AK34" s="71"/>
      <c r="AL34" s="71"/>
      <c r="AM34" s="71"/>
      <c r="AN34" s="71"/>
      <c r="AO34" s="71"/>
      <c r="AP34" s="70"/>
      <c r="AQ34" s="70"/>
      <c r="AR34" s="70"/>
      <c r="AS34" s="242"/>
      <c r="AT34" s="796"/>
      <c r="AU34" s="796"/>
      <c r="AV34" s="796"/>
      <c r="AW34" s="800"/>
      <c r="AX34" s="800"/>
      <c r="AY34" s="801"/>
      <c r="AZ34" s="800"/>
      <c r="BA34" s="800"/>
      <c r="BB34" s="800"/>
      <c r="BC34" s="782"/>
      <c r="BD34" s="800"/>
      <c r="BE34" s="800"/>
      <c r="BF34" s="800"/>
      <c r="BG34" s="800"/>
    </row>
    <row r="35" spans="1:59" x14ac:dyDescent="0.25">
      <c r="A35" s="35" t="s">
        <v>61</v>
      </c>
      <c r="B35" s="131"/>
      <c r="C35" s="71"/>
      <c r="D35" s="71"/>
      <c r="E35" s="71"/>
      <c r="F35" s="71"/>
      <c r="G35" s="71"/>
      <c r="H35" s="71"/>
      <c r="I35" s="71"/>
      <c r="J35" s="71"/>
      <c r="K35" s="162"/>
      <c r="L35" s="71"/>
      <c r="M35" s="71"/>
      <c r="N35" s="71"/>
      <c r="O35" s="71"/>
      <c r="P35" s="71"/>
      <c r="Q35" s="71"/>
      <c r="R35" s="71"/>
      <c r="S35" s="71"/>
      <c r="T35" s="71"/>
      <c r="U35" s="71"/>
      <c r="V35" s="71"/>
      <c r="W35" s="71"/>
      <c r="X35" s="500"/>
      <c r="Y35" s="500"/>
      <c r="Z35" s="500"/>
      <c r="AB35" s="525"/>
      <c r="AC35" s="2"/>
      <c r="AG35" s="772"/>
      <c r="AJ35" s="71"/>
      <c r="AK35" s="71"/>
      <c r="AL35" s="71"/>
      <c r="AM35" s="71"/>
      <c r="AN35" s="71"/>
      <c r="AO35" s="71"/>
      <c r="AP35" s="70"/>
      <c r="AQ35" s="70"/>
      <c r="AR35" s="70"/>
      <c r="AS35" s="242"/>
      <c r="AT35" s="796"/>
      <c r="AU35" s="796"/>
      <c r="AV35" s="796"/>
      <c r="AW35" s="800"/>
      <c r="AX35" s="800"/>
      <c r="AY35" s="801"/>
      <c r="AZ35" s="800"/>
      <c r="BA35" s="800"/>
      <c r="BB35" s="800"/>
      <c r="BC35" s="782"/>
      <c r="BD35" s="800"/>
      <c r="BE35" s="800"/>
      <c r="BF35" s="800"/>
      <c r="BG35" s="800"/>
    </row>
    <row r="36" spans="1:59" x14ac:dyDescent="0.25">
      <c r="A36" s="35" t="s">
        <v>41</v>
      </c>
      <c r="B36" s="131">
        <f t="shared" ref="B36:AS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131">
        <f t="shared" si="6"/>
        <v>307</v>
      </c>
      <c r="V36" s="131">
        <f t="shared" si="6"/>
        <v>303</v>
      </c>
      <c r="W36" s="131">
        <f t="shared" si="6"/>
        <v>278</v>
      </c>
      <c r="X36" s="131">
        <f t="shared" ref="X36:AC36" si="7">SUM(X31:X35)</f>
        <v>291</v>
      </c>
      <c r="Y36" s="131">
        <f t="shared" si="7"/>
        <v>245</v>
      </c>
      <c r="Z36" s="131">
        <f t="shared" si="7"/>
        <v>209</v>
      </c>
      <c r="AA36" s="131">
        <f t="shared" si="7"/>
        <v>200</v>
      </c>
      <c r="AB36" s="526">
        <f t="shared" si="7"/>
        <v>0</v>
      </c>
      <c r="AC36" s="131">
        <f t="shared" si="7"/>
        <v>0</v>
      </c>
      <c r="AG36" s="772"/>
      <c r="AJ36" s="131">
        <f t="shared" si="6"/>
        <v>0</v>
      </c>
      <c r="AK36" s="131">
        <f t="shared" si="6"/>
        <v>0</v>
      </c>
      <c r="AL36" s="131">
        <f t="shared" si="6"/>
        <v>0</v>
      </c>
      <c r="AM36" s="131">
        <f t="shared" si="6"/>
        <v>0</v>
      </c>
      <c r="AN36" s="131">
        <f t="shared" si="6"/>
        <v>0</v>
      </c>
      <c r="AO36" s="131">
        <f t="shared" si="6"/>
        <v>0</v>
      </c>
      <c r="AP36" s="131">
        <f t="shared" si="6"/>
        <v>0</v>
      </c>
      <c r="AQ36" s="131">
        <f t="shared" si="6"/>
        <v>0</v>
      </c>
      <c r="AR36" s="131">
        <f t="shared" si="6"/>
        <v>0</v>
      </c>
      <c r="AS36" s="131">
        <f t="shared" si="6"/>
        <v>0</v>
      </c>
      <c r="AT36" s="803"/>
      <c r="AU36" s="803"/>
      <c r="AV36" s="803"/>
      <c r="AW36" s="803"/>
      <c r="AX36" s="803"/>
      <c r="AY36" s="803"/>
      <c r="AZ36" s="800"/>
      <c r="BA36" s="800"/>
      <c r="BB36" s="800"/>
      <c r="BC36" s="782"/>
      <c r="BD36" s="800"/>
      <c r="BE36" s="800"/>
      <c r="BF36" s="800"/>
      <c r="BG36" s="800"/>
    </row>
    <row r="37" spans="1:59" x14ac:dyDescent="0.25">
      <c r="A37" s="42" t="s">
        <v>23</v>
      </c>
      <c r="B37" s="131"/>
      <c r="C37" s="71"/>
      <c r="D37" s="71"/>
      <c r="E37" s="71"/>
      <c r="F37" s="71"/>
      <c r="G37" s="71"/>
      <c r="H37" s="71"/>
      <c r="I37" s="71"/>
      <c r="J37" s="71"/>
      <c r="K37" s="162"/>
      <c r="L37" s="71"/>
      <c r="M37" s="71"/>
      <c r="N37" s="71"/>
      <c r="O37" s="71"/>
      <c r="P37" s="71"/>
      <c r="Q37" s="71"/>
      <c r="R37" s="71"/>
      <c r="S37" s="71"/>
      <c r="T37" s="172"/>
      <c r="U37" s="251"/>
      <c r="V37" s="251"/>
      <c r="W37" s="251"/>
      <c r="X37" s="500"/>
      <c r="Y37" s="500"/>
      <c r="Z37" s="500"/>
      <c r="AB37" s="525"/>
      <c r="AC37" s="2"/>
      <c r="AG37" s="772"/>
      <c r="AJ37" s="71"/>
      <c r="AK37" s="71"/>
      <c r="AL37" s="71"/>
      <c r="AM37" s="71"/>
      <c r="AN37" s="71"/>
      <c r="AO37" s="71"/>
      <c r="AP37" s="70"/>
      <c r="AQ37" s="530"/>
      <c r="AR37" s="530"/>
      <c r="AS37" s="530"/>
      <c r="AT37" s="796"/>
      <c r="AU37" s="796"/>
      <c r="AV37" s="796"/>
      <c r="AW37" s="800"/>
      <c r="AX37" s="800"/>
      <c r="AY37" s="801"/>
      <c r="AZ37" s="800"/>
      <c r="BA37" s="800"/>
      <c r="BB37" s="800"/>
      <c r="BC37" s="782"/>
      <c r="BD37" s="800"/>
      <c r="BE37" s="800"/>
      <c r="BF37" s="800"/>
      <c r="BG37" s="800"/>
    </row>
    <row r="38" spans="1:59"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71">
        <v>305</v>
      </c>
      <c r="U38" s="71">
        <v>323</v>
      </c>
      <c r="V38" s="71">
        <v>331</v>
      </c>
      <c r="W38" s="71">
        <v>299</v>
      </c>
      <c r="X38" s="500">
        <v>287</v>
      </c>
      <c r="Y38" s="500">
        <v>242</v>
      </c>
      <c r="Z38" s="500">
        <v>135</v>
      </c>
      <c r="AA38" s="500">
        <v>139</v>
      </c>
      <c r="AB38" s="525"/>
      <c r="AC38" s="2"/>
      <c r="AG38" s="772"/>
      <c r="AJ38" s="71"/>
      <c r="AK38" s="71"/>
      <c r="AL38" s="71"/>
      <c r="AM38" s="71"/>
      <c r="AN38" s="71"/>
      <c r="AO38" s="71"/>
      <c r="AP38" s="70"/>
      <c r="AQ38" s="70"/>
      <c r="AR38" s="70"/>
      <c r="AS38" s="242"/>
      <c r="AT38" s="796"/>
      <c r="AU38" s="796"/>
      <c r="AV38" s="796"/>
      <c r="AW38" s="796"/>
      <c r="AX38" s="800"/>
      <c r="AY38" s="801"/>
      <c r="AZ38" s="800"/>
      <c r="BA38" s="800"/>
      <c r="BB38" s="800"/>
      <c r="BC38" s="782"/>
      <c r="BD38" s="800"/>
      <c r="BE38" s="800"/>
      <c r="BF38" s="800"/>
      <c r="BG38" s="800"/>
    </row>
    <row r="39" spans="1:59"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71">
        <v>99</v>
      </c>
      <c r="U39" s="71">
        <v>95</v>
      </c>
      <c r="V39" s="71">
        <v>78</v>
      </c>
      <c r="W39" s="71">
        <v>65</v>
      </c>
      <c r="X39" s="500">
        <v>75</v>
      </c>
      <c r="Y39" s="500">
        <v>71</v>
      </c>
      <c r="Z39" s="500">
        <v>38</v>
      </c>
      <c r="AA39" s="500">
        <v>20</v>
      </c>
      <c r="AB39" s="525"/>
      <c r="AC39" s="2"/>
      <c r="AG39" s="772"/>
      <c r="AJ39" s="71"/>
      <c r="AK39" s="71"/>
      <c r="AL39" s="71"/>
      <c r="AM39" s="71"/>
      <c r="AN39" s="71"/>
      <c r="AO39" s="71"/>
      <c r="AP39" s="70"/>
      <c r="AQ39" s="70"/>
      <c r="AR39" s="70"/>
      <c r="AS39" s="242"/>
      <c r="AT39" s="796"/>
      <c r="AU39" s="796"/>
      <c r="AV39" s="796"/>
      <c r="AW39" s="796"/>
      <c r="AX39" s="800"/>
      <c r="AY39" s="801"/>
      <c r="AZ39" s="800"/>
      <c r="BA39" s="800"/>
      <c r="BB39" s="800"/>
      <c r="BC39" s="782"/>
      <c r="BD39" s="800"/>
      <c r="BE39" s="800"/>
      <c r="BF39" s="800"/>
      <c r="BG39" s="800"/>
    </row>
    <row r="40" spans="1:59"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71">
        <v>21</v>
      </c>
      <c r="U40" s="71">
        <v>22</v>
      </c>
      <c r="V40" s="71">
        <v>20</v>
      </c>
      <c r="W40" s="71">
        <v>18</v>
      </c>
      <c r="X40" s="500">
        <v>19</v>
      </c>
      <c r="Y40" s="500">
        <v>15</v>
      </c>
      <c r="Z40" s="500">
        <v>12</v>
      </c>
      <c r="AA40" s="500">
        <v>5</v>
      </c>
      <c r="AB40" s="525"/>
      <c r="AC40" s="2"/>
      <c r="AG40" s="772"/>
      <c r="AJ40" s="71"/>
      <c r="AK40" s="71"/>
      <c r="AL40" s="71"/>
      <c r="AM40" s="71"/>
      <c r="AN40" s="71"/>
      <c r="AO40" s="71"/>
      <c r="AP40" s="70"/>
      <c r="AQ40" s="70"/>
      <c r="AR40" s="70"/>
      <c r="AS40" s="242"/>
      <c r="AT40" s="796"/>
      <c r="AU40" s="796"/>
      <c r="AV40" s="796"/>
      <c r="AW40" s="796"/>
      <c r="AX40" s="800"/>
      <c r="AY40" s="801"/>
      <c r="AZ40" s="800"/>
      <c r="BA40" s="800"/>
      <c r="BB40" s="800"/>
      <c r="BC40" s="782"/>
      <c r="BD40" s="800"/>
      <c r="BE40" s="800"/>
      <c r="BF40" s="800"/>
      <c r="BG40" s="800"/>
    </row>
    <row r="41" spans="1:59" x14ac:dyDescent="0.25">
      <c r="A41" s="35" t="s">
        <v>39</v>
      </c>
      <c r="B41" s="337"/>
      <c r="C41" s="71"/>
      <c r="D41" s="71"/>
      <c r="E41" s="71"/>
      <c r="F41" s="71"/>
      <c r="G41" s="71"/>
      <c r="H41" s="71"/>
      <c r="I41" s="71"/>
      <c r="J41" s="71"/>
      <c r="K41" s="162"/>
      <c r="L41" s="71"/>
      <c r="M41" s="71"/>
      <c r="N41" s="71"/>
      <c r="O41" s="71"/>
      <c r="P41" s="71"/>
      <c r="Q41" s="71"/>
      <c r="R41" s="71"/>
      <c r="S41" s="71"/>
      <c r="T41" s="71"/>
      <c r="U41" s="71"/>
      <c r="V41" s="71"/>
      <c r="W41" s="71"/>
      <c r="X41" s="500"/>
      <c r="Y41" s="500"/>
      <c r="Z41" s="500"/>
      <c r="AB41" s="525"/>
      <c r="AC41" s="2"/>
      <c r="AG41" s="772"/>
      <c r="AJ41" s="71"/>
      <c r="AK41" s="71"/>
      <c r="AL41" s="71"/>
      <c r="AM41" s="71"/>
      <c r="AN41" s="71"/>
      <c r="AO41" s="71"/>
      <c r="AP41" s="70"/>
      <c r="AQ41" s="70"/>
      <c r="AR41" s="70"/>
      <c r="AS41" s="242"/>
      <c r="AT41" s="796"/>
      <c r="AU41" s="796"/>
      <c r="AV41" s="796"/>
      <c r="AW41" s="800"/>
      <c r="AX41" s="800"/>
      <c r="AY41" s="801"/>
      <c r="AZ41" s="800"/>
      <c r="BA41" s="800"/>
      <c r="BB41" s="800"/>
      <c r="BC41" s="782"/>
      <c r="BD41" s="800"/>
      <c r="BE41" s="800"/>
      <c r="BF41" s="800"/>
      <c r="BG41" s="800"/>
    </row>
    <row r="42" spans="1:59" x14ac:dyDescent="0.25">
      <c r="A42" s="35" t="s">
        <v>61</v>
      </c>
      <c r="B42" s="131"/>
      <c r="C42" s="71"/>
      <c r="D42" s="71"/>
      <c r="E42" s="71"/>
      <c r="F42" s="71"/>
      <c r="G42" s="71"/>
      <c r="H42" s="71"/>
      <c r="I42" s="71"/>
      <c r="J42" s="71"/>
      <c r="K42" s="162"/>
      <c r="L42" s="71"/>
      <c r="M42" s="71"/>
      <c r="N42" s="71"/>
      <c r="O42" s="71"/>
      <c r="P42" s="71"/>
      <c r="Q42" s="71"/>
      <c r="R42" s="71"/>
      <c r="S42" s="71"/>
      <c r="T42" s="71"/>
      <c r="U42" s="71"/>
      <c r="V42" s="71"/>
      <c r="W42" s="71"/>
      <c r="X42" s="500"/>
      <c r="Y42" s="500"/>
      <c r="Z42" s="500"/>
      <c r="AB42" s="525"/>
      <c r="AC42" s="2"/>
      <c r="AG42" s="772"/>
      <c r="AJ42" s="71"/>
      <c r="AK42" s="71"/>
      <c r="AL42" s="71"/>
      <c r="AM42" s="71"/>
      <c r="AN42" s="71"/>
      <c r="AO42" s="71"/>
      <c r="AP42" s="70"/>
      <c r="AQ42" s="70"/>
      <c r="AR42" s="70"/>
      <c r="AS42" s="242"/>
      <c r="AT42" s="796"/>
      <c r="AU42" s="796"/>
      <c r="AV42" s="796"/>
      <c r="AW42" s="800"/>
      <c r="AX42" s="800"/>
      <c r="AY42" s="801"/>
      <c r="AZ42" s="800"/>
      <c r="BA42" s="800"/>
      <c r="BB42" s="800"/>
      <c r="BC42" s="782"/>
      <c r="BD42" s="800"/>
      <c r="BE42" s="800"/>
      <c r="BF42" s="800"/>
      <c r="BG42" s="800"/>
    </row>
    <row r="43" spans="1:59" ht="15.75" thickBot="1" x14ac:dyDescent="0.3">
      <c r="A43" s="37" t="s">
        <v>41</v>
      </c>
      <c r="B43" s="122">
        <f t="shared" ref="B43:AS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122">
        <f t="shared" si="8"/>
        <v>440</v>
      </c>
      <c r="V43" s="122">
        <f t="shared" si="8"/>
        <v>429</v>
      </c>
      <c r="W43" s="122">
        <f t="shared" si="8"/>
        <v>382</v>
      </c>
      <c r="X43" s="122">
        <f t="shared" ref="X43:AC43" si="9">SUM(X38:X42)</f>
        <v>381</v>
      </c>
      <c r="Y43" s="122">
        <f t="shared" si="9"/>
        <v>328</v>
      </c>
      <c r="Z43" s="122">
        <f t="shared" si="9"/>
        <v>185</v>
      </c>
      <c r="AA43" s="122">
        <f t="shared" si="9"/>
        <v>164</v>
      </c>
      <c r="AB43" s="531">
        <f t="shared" si="9"/>
        <v>0</v>
      </c>
      <c r="AC43" s="122">
        <f t="shared" si="9"/>
        <v>0</v>
      </c>
      <c r="AG43" s="772"/>
      <c r="AJ43" s="122">
        <f t="shared" si="8"/>
        <v>0</v>
      </c>
      <c r="AK43" s="122">
        <f t="shared" si="8"/>
        <v>0</v>
      </c>
      <c r="AL43" s="122">
        <f t="shared" si="8"/>
        <v>0</v>
      </c>
      <c r="AM43" s="122">
        <f t="shared" si="8"/>
        <v>0</v>
      </c>
      <c r="AN43" s="122">
        <f t="shared" si="8"/>
        <v>0</v>
      </c>
      <c r="AO43" s="122">
        <f t="shared" si="8"/>
        <v>0</v>
      </c>
      <c r="AP43" s="122">
        <f t="shared" si="8"/>
        <v>0</v>
      </c>
      <c r="AQ43" s="122">
        <f t="shared" si="8"/>
        <v>0</v>
      </c>
      <c r="AR43" s="122">
        <f t="shared" si="8"/>
        <v>0</v>
      </c>
      <c r="AS43" s="122">
        <f t="shared" si="8"/>
        <v>0</v>
      </c>
      <c r="AT43" s="803"/>
      <c r="AU43" s="803"/>
      <c r="AV43" s="803"/>
      <c r="AW43" s="803"/>
      <c r="AX43" s="803"/>
      <c r="AY43" s="803"/>
      <c r="AZ43" s="800"/>
      <c r="BA43" s="800"/>
      <c r="BB43" s="800"/>
      <c r="BC43" s="782"/>
      <c r="BD43" s="800"/>
      <c r="BE43" s="800"/>
      <c r="BF43" s="800"/>
      <c r="BG43" s="800"/>
    </row>
    <row r="44" spans="1:59" x14ac:dyDescent="0.25">
      <c r="A44" s="41" t="s">
        <v>29</v>
      </c>
      <c r="B44" s="154"/>
      <c r="C44" s="76"/>
      <c r="D44" s="76"/>
      <c r="E44" s="76"/>
      <c r="F44" s="76"/>
      <c r="G44" s="76"/>
      <c r="H44" s="76"/>
      <c r="I44" s="76"/>
      <c r="J44" s="76"/>
      <c r="K44" s="164"/>
      <c r="L44" s="76"/>
      <c r="M44" s="76"/>
      <c r="N44" s="76"/>
      <c r="O44" s="76"/>
      <c r="P44" s="76"/>
      <c r="Q44" s="76"/>
      <c r="R44" s="76"/>
      <c r="S44" s="76"/>
      <c r="T44" s="174"/>
      <c r="U44" s="321"/>
      <c r="V44" s="321"/>
      <c r="W44" s="321"/>
      <c r="X44" s="500"/>
      <c r="Y44" s="500"/>
      <c r="Z44" s="500"/>
      <c r="AC44" s="2"/>
      <c r="AG44" s="772"/>
      <c r="AJ44" s="76"/>
      <c r="AK44" s="76"/>
      <c r="AL44" s="76"/>
      <c r="AM44" s="76"/>
      <c r="AN44" s="76"/>
      <c r="AO44" s="76"/>
      <c r="AP44" s="75"/>
      <c r="AQ44" s="532"/>
      <c r="AR44" s="532"/>
      <c r="AS44" s="532"/>
      <c r="AT44" s="796"/>
      <c r="AU44" s="796"/>
      <c r="AV44" s="796"/>
      <c r="AW44" s="800"/>
      <c r="AX44" s="800"/>
      <c r="AY44" s="801"/>
      <c r="AZ44" s="800"/>
      <c r="BA44" s="800"/>
      <c r="BB44" s="800"/>
      <c r="BC44" s="782"/>
      <c r="BD44" s="800"/>
      <c r="BE44" s="800"/>
      <c r="BF44" s="800"/>
      <c r="BG44" s="800"/>
    </row>
    <row r="45" spans="1:59"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341">
        <v>-3479.51</v>
      </c>
      <c r="U45" s="340">
        <v>5325.27</v>
      </c>
      <c r="V45" s="341">
        <v>-3478.77</v>
      </c>
      <c r="W45" s="340">
        <v>20562.13</v>
      </c>
      <c r="X45" s="533">
        <v>50689.61</v>
      </c>
      <c r="Y45" s="533">
        <v>24245.16</v>
      </c>
      <c r="Z45" s="534">
        <v>103832.01</v>
      </c>
      <c r="AA45" s="479">
        <v>-2644.5</v>
      </c>
      <c r="AB45" s="535">
        <v>47482.68</v>
      </c>
      <c r="AC45" s="604">
        <v>12070.64</v>
      </c>
      <c r="AD45" s="434">
        <v>-1352.37</v>
      </c>
      <c r="AE45" s="668">
        <v>6611.02</v>
      </c>
      <c r="AF45" s="760">
        <v>-6794.58</v>
      </c>
      <c r="AG45" s="772">
        <v>1053.53</v>
      </c>
      <c r="AH45">
        <v>-7345.42</v>
      </c>
      <c r="AI45" s="784">
        <v>40141.51</v>
      </c>
      <c r="AJ45" s="340"/>
      <c r="AK45" s="340"/>
      <c r="AL45" s="340"/>
      <c r="AM45" s="340"/>
      <c r="AN45" s="340"/>
      <c r="AO45" s="79"/>
      <c r="AP45" s="78"/>
      <c r="AQ45" s="78"/>
      <c r="AR45" s="78"/>
      <c r="AS45" s="254"/>
      <c r="AT45" s="804"/>
      <c r="AU45" s="804"/>
      <c r="AV45" s="805"/>
      <c r="AW45" s="806"/>
      <c r="AX45" s="807"/>
      <c r="AY45" s="808"/>
      <c r="AZ45" s="809"/>
      <c r="BA45" s="804"/>
      <c r="BB45" s="809"/>
      <c r="BC45" s="782"/>
      <c r="BD45" s="800"/>
      <c r="BE45" s="810"/>
      <c r="BF45" s="800"/>
      <c r="BG45" s="800"/>
    </row>
    <row r="46" spans="1:59"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341">
        <v>-1316.29</v>
      </c>
      <c r="U46" s="340">
        <v>569.14</v>
      </c>
      <c r="V46" s="341">
        <v>-105.45</v>
      </c>
      <c r="W46" s="340">
        <v>4100.3500000000004</v>
      </c>
      <c r="X46" s="533">
        <v>9495.69</v>
      </c>
      <c r="Y46" s="537">
        <v>8519.23</v>
      </c>
      <c r="Z46" s="537">
        <v>9692.64</v>
      </c>
      <c r="AA46" s="538">
        <v>1424.6</v>
      </c>
      <c r="AB46" s="535">
        <v>2123.44</v>
      </c>
      <c r="AC46" s="604">
        <v>-4861.17</v>
      </c>
      <c r="AD46" s="533">
        <v>190.12</v>
      </c>
      <c r="AE46" s="760">
        <v>-297.86</v>
      </c>
      <c r="AF46" s="760">
        <v>-2518.56</v>
      </c>
      <c r="AG46" s="772">
        <v>78.89</v>
      </c>
      <c r="AH46">
        <v>-66.41</v>
      </c>
      <c r="AI46" s="784">
        <v>784.69</v>
      </c>
      <c r="AJ46" s="340"/>
      <c r="AK46" s="340"/>
      <c r="AL46" s="340"/>
      <c r="AM46" s="340"/>
      <c r="AN46" s="340"/>
      <c r="AO46" s="79"/>
      <c r="AP46" s="78"/>
      <c r="AQ46" s="78"/>
      <c r="AR46" s="78"/>
      <c r="AS46" s="254"/>
      <c r="AT46" s="804"/>
      <c r="AU46" s="811"/>
      <c r="AV46" s="811"/>
      <c r="AW46" s="812"/>
      <c r="AX46" s="807"/>
      <c r="AY46" s="808"/>
      <c r="AZ46" s="804"/>
      <c r="BA46" s="809"/>
      <c r="BB46" s="809"/>
      <c r="BC46" s="782"/>
      <c r="BD46" s="800"/>
      <c r="BE46" s="810"/>
      <c r="BF46" s="800"/>
      <c r="BG46" s="800"/>
    </row>
    <row r="47" spans="1:59"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341">
        <v>-428.81</v>
      </c>
      <c r="U47" s="340">
        <v>783.28</v>
      </c>
      <c r="V47" s="341">
        <v>-391.89</v>
      </c>
      <c r="W47" s="340">
        <v>4765.71</v>
      </c>
      <c r="X47" s="533">
        <v>17030.150000000001</v>
      </c>
      <c r="Y47" s="537">
        <v>2143.12</v>
      </c>
      <c r="Z47" s="537">
        <v>30792.28</v>
      </c>
      <c r="AA47" s="538">
        <v>7935.02</v>
      </c>
      <c r="AB47" s="541">
        <v>-5111.16</v>
      </c>
      <c r="AC47" s="604">
        <v>1386.6</v>
      </c>
      <c r="AD47" s="533">
        <v>-990.7</v>
      </c>
      <c r="AE47" s="668">
        <v>2457.21</v>
      </c>
      <c r="AF47" s="760">
        <v>-119.07</v>
      </c>
      <c r="AG47" s="772">
        <v>2417.77</v>
      </c>
      <c r="AH47" s="782">
        <v>-129.97999999999999</v>
      </c>
      <c r="AI47" s="785">
        <v>30657.23</v>
      </c>
      <c r="AJ47" s="340"/>
      <c r="AK47" s="340"/>
      <c r="AL47" s="340"/>
      <c r="AM47" s="340"/>
      <c r="AN47" s="340"/>
      <c r="AO47" s="79"/>
      <c r="AP47" s="78"/>
      <c r="AQ47" s="78"/>
      <c r="AR47" s="78"/>
      <c r="AS47" s="254"/>
      <c r="AT47" s="804"/>
      <c r="AU47" s="811"/>
      <c r="AV47" s="811"/>
      <c r="AW47" s="812"/>
      <c r="AX47" s="813"/>
      <c r="AY47" s="808"/>
      <c r="AZ47" s="804"/>
      <c r="BA47" s="804"/>
      <c r="BB47" s="809"/>
      <c r="BC47" s="782"/>
      <c r="BD47" s="782"/>
      <c r="BE47" s="785"/>
      <c r="BF47" s="800"/>
      <c r="BG47" s="800"/>
    </row>
    <row r="48" spans="1:59" x14ac:dyDescent="0.25">
      <c r="A48" s="35" t="s">
        <v>39</v>
      </c>
      <c r="B48" s="339"/>
      <c r="C48" s="340"/>
      <c r="D48" s="340"/>
      <c r="E48" s="340"/>
      <c r="F48" s="340"/>
      <c r="G48" s="340"/>
      <c r="H48" s="340"/>
      <c r="I48" s="340"/>
      <c r="J48" s="340"/>
      <c r="K48" s="342"/>
      <c r="L48" s="340"/>
      <c r="M48" s="340"/>
      <c r="N48" s="340"/>
      <c r="O48" s="340"/>
      <c r="P48" s="340"/>
      <c r="Q48" s="340"/>
      <c r="R48" s="340"/>
      <c r="S48" s="340"/>
      <c r="T48" s="340"/>
      <c r="U48" s="340"/>
      <c r="V48" s="340"/>
      <c r="W48" s="340"/>
      <c r="X48" s="533"/>
      <c r="Y48" s="500"/>
      <c r="Z48" s="500"/>
      <c r="AC48" s="2"/>
      <c r="AF48" s="668"/>
      <c r="AG48" s="772"/>
      <c r="AI48" s="784"/>
      <c r="AJ48" s="340"/>
      <c r="AK48" s="340"/>
      <c r="AL48" s="340"/>
      <c r="AM48" s="340"/>
      <c r="AN48" s="340"/>
      <c r="AO48" s="79"/>
      <c r="AP48" s="78"/>
      <c r="AQ48" s="78"/>
      <c r="AR48" s="78"/>
      <c r="AS48" s="254"/>
      <c r="AT48" s="804"/>
      <c r="AU48" s="796"/>
      <c r="AV48" s="796"/>
      <c r="AW48" s="800"/>
      <c r="AX48" s="800"/>
      <c r="AY48" s="801"/>
      <c r="AZ48" s="800"/>
      <c r="BA48" s="800"/>
      <c r="BB48" s="804"/>
      <c r="BC48" s="782"/>
      <c r="BD48" s="800"/>
      <c r="BE48" s="810"/>
      <c r="BF48" s="800"/>
      <c r="BG48" s="800"/>
    </row>
    <row r="49" spans="1:59" x14ac:dyDescent="0.25">
      <c r="A49" s="35" t="s">
        <v>61</v>
      </c>
      <c r="B49" s="339"/>
      <c r="C49" s="340"/>
      <c r="D49" s="340"/>
      <c r="E49" s="340"/>
      <c r="F49" s="340"/>
      <c r="G49" s="340"/>
      <c r="H49" s="340"/>
      <c r="I49" s="340"/>
      <c r="J49" s="340"/>
      <c r="K49" s="342"/>
      <c r="L49" s="340"/>
      <c r="M49" s="340"/>
      <c r="N49" s="340"/>
      <c r="O49" s="340"/>
      <c r="P49" s="340"/>
      <c r="Q49" s="340"/>
      <c r="R49" s="340"/>
      <c r="S49" s="340"/>
      <c r="T49" s="340"/>
      <c r="U49" s="340"/>
      <c r="V49" s="340"/>
      <c r="W49" s="340"/>
      <c r="X49" s="533"/>
      <c r="Y49" s="536"/>
      <c r="Z49" s="536"/>
      <c r="AC49" s="2"/>
      <c r="AG49" s="772"/>
      <c r="AI49" s="784"/>
      <c r="AJ49" s="340"/>
      <c r="AK49" s="340"/>
      <c r="AL49" s="340"/>
      <c r="AM49" s="340"/>
      <c r="AN49" s="340"/>
      <c r="AO49" s="79"/>
      <c r="AP49" s="78"/>
      <c r="AQ49" s="78"/>
      <c r="AR49" s="78"/>
      <c r="AS49" s="254"/>
      <c r="AT49" s="804"/>
      <c r="AU49" s="814"/>
      <c r="AV49" s="814"/>
      <c r="AW49" s="800"/>
      <c r="AX49" s="800"/>
      <c r="AY49" s="801"/>
      <c r="AZ49" s="800"/>
      <c r="BA49" s="800"/>
      <c r="BB49" s="800"/>
      <c r="BC49" s="782"/>
      <c r="BD49" s="800"/>
      <c r="BE49" s="810"/>
      <c r="BF49" s="800"/>
      <c r="BG49" s="800"/>
    </row>
    <row r="50" spans="1:59" x14ac:dyDescent="0.25">
      <c r="A50" s="35" t="s">
        <v>41</v>
      </c>
      <c r="B50" s="339">
        <f t="shared" ref="B50:AS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39">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75">
        <f t="shared" si="11"/>
        <v>3550.19</v>
      </c>
      <c r="AH50">
        <v>-7541.81</v>
      </c>
      <c r="AI50" s="784">
        <f>SUM(AI45:AI47)</f>
        <v>71583.430000000008</v>
      </c>
      <c r="AJ50" s="339">
        <f t="shared" si="10"/>
        <v>0</v>
      </c>
      <c r="AK50" s="339">
        <f t="shared" si="10"/>
        <v>0</v>
      </c>
      <c r="AL50" s="339">
        <f t="shared" si="10"/>
        <v>0</v>
      </c>
      <c r="AM50" s="339">
        <f t="shared" si="10"/>
        <v>0</v>
      </c>
      <c r="AN50" s="339">
        <f t="shared" si="10"/>
        <v>0</v>
      </c>
      <c r="AO50" s="339">
        <f t="shared" si="10"/>
        <v>0</v>
      </c>
      <c r="AP50" s="339">
        <f t="shared" si="10"/>
        <v>0</v>
      </c>
      <c r="AQ50" s="339">
        <f t="shared" si="10"/>
        <v>0</v>
      </c>
      <c r="AR50" s="339">
        <f t="shared" si="10"/>
        <v>0</v>
      </c>
      <c r="AS50" s="339">
        <f t="shared" si="10"/>
        <v>0</v>
      </c>
      <c r="AT50" s="609"/>
      <c r="AU50" s="609"/>
      <c r="AV50" s="609"/>
      <c r="AW50" s="609"/>
      <c r="AX50" s="609"/>
      <c r="AY50" s="609"/>
      <c r="AZ50" s="609"/>
      <c r="BA50" s="609"/>
      <c r="BB50" s="809"/>
      <c r="BC50" s="804"/>
      <c r="BD50" s="800"/>
      <c r="BE50" s="810"/>
      <c r="BF50" s="800"/>
      <c r="BG50" s="800"/>
    </row>
    <row r="51" spans="1:59" x14ac:dyDescent="0.25">
      <c r="A51" s="42" t="s">
        <v>30</v>
      </c>
      <c r="B51" s="339"/>
      <c r="C51" s="340"/>
      <c r="D51" s="340"/>
      <c r="E51" s="340"/>
      <c r="F51" s="340"/>
      <c r="G51" s="340"/>
      <c r="H51" s="340"/>
      <c r="I51" s="340"/>
      <c r="J51" s="340"/>
      <c r="K51" s="342"/>
      <c r="L51" s="340"/>
      <c r="M51" s="340"/>
      <c r="N51" s="340"/>
      <c r="O51" s="340"/>
      <c r="P51" s="340"/>
      <c r="Q51" s="340"/>
      <c r="R51" s="340"/>
      <c r="S51" s="340"/>
      <c r="T51" s="486"/>
      <c r="U51" s="344"/>
      <c r="V51" s="344"/>
      <c r="W51" s="344"/>
      <c r="X51" s="533"/>
      <c r="Y51" s="539"/>
      <c r="Z51" s="539"/>
      <c r="AA51" s="540"/>
      <c r="AC51" s="2"/>
      <c r="AF51" s="760"/>
      <c r="AG51" s="772"/>
      <c r="AI51" s="784"/>
      <c r="AJ51" s="340"/>
      <c r="AK51" s="340"/>
      <c r="AL51" s="340"/>
      <c r="AM51" s="340"/>
      <c r="AN51" s="340"/>
      <c r="AO51" s="79"/>
      <c r="AP51" s="78"/>
      <c r="AQ51" s="532"/>
      <c r="AR51" s="532"/>
      <c r="AS51" s="532"/>
      <c r="AT51" s="804"/>
      <c r="AU51" s="815"/>
      <c r="AV51" s="815"/>
      <c r="AW51" s="816"/>
      <c r="AX51" s="800"/>
      <c r="AY51" s="801"/>
      <c r="AZ51" s="800"/>
      <c r="BA51" s="800"/>
      <c r="BB51" s="809"/>
      <c r="BC51" s="782"/>
      <c r="BD51" s="800"/>
      <c r="BE51" s="810"/>
      <c r="BF51" s="800"/>
      <c r="BG51" s="800"/>
    </row>
    <row r="52" spans="1:59"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341">
        <v>-454.89</v>
      </c>
      <c r="U52" s="341">
        <v>-1663.41</v>
      </c>
      <c r="V52" s="340">
        <v>1425.56</v>
      </c>
      <c r="W52" s="340">
        <v>4412.6499999999996</v>
      </c>
      <c r="X52" s="533">
        <v>9346.89</v>
      </c>
      <c r="Y52" s="533">
        <v>7330.08</v>
      </c>
      <c r="Z52" s="533">
        <v>14884.14</v>
      </c>
      <c r="AA52" s="533">
        <v>52215.49</v>
      </c>
      <c r="AB52" s="533">
        <v>21617.439999999999</v>
      </c>
      <c r="AC52" s="604">
        <v>33978.1</v>
      </c>
      <c r="AD52" s="533">
        <v>7055.96</v>
      </c>
      <c r="AE52" s="668">
        <v>437.88</v>
      </c>
      <c r="AF52" s="760">
        <v>-258.61</v>
      </c>
      <c r="AG52" s="776">
        <v>-2757.1</v>
      </c>
      <c r="AH52">
        <v>-7541.81</v>
      </c>
      <c r="AI52" s="784">
        <v>1949.19</v>
      </c>
      <c r="AJ52" s="340"/>
      <c r="AK52" s="340"/>
      <c r="AL52" s="340"/>
      <c r="AM52" s="340"/>
      <c r="AN52" s="340"/>
      <c r="AO52" s="79"/>
      <c r="AP52" s="78"/>
      <c r="AQ52" s="78"/>
      <c r="AR52" s="78"/>
      <c r="AS52" s="254"/>
      <c r="AT52" s="804"/>
      <c r="AU52" s="804"/>
      <c r="AV52" s="804"/>
      <c r="AW52" s="804"/>
      <c r="AX52" s="804"/>
      <c r="AY52" s="808"/>
      <c r="AZ52" s="804"/>
      <c r="BA52" s="804"/>
      <c r="BB52" s="809"/>
      <c r="BC52" s="783"/>
      <c r="BD52" s="800"/>
      <c r="BE52" s="810"/>
      <c r="BF52" s="800"/>
      <c r="BG52" s="800"/>
    </row>
    <row r="53" spans="1:59" x14ac:dyDescent="0.25">
      <c r="A53" s="35" t="s">
        <v>37</v>
      </c>
      <c r="B53" s="339">
        <v>585.04999999999995</v>
      </c>
      <c r="C53" s="340">
        <v>2896.24</v>
      </c>
      <c r="D53" s="340">
        <v>1430.9</v>
      </c>
      <c r="E53" s="341">
        <v>-1541.95</v>
      </c>
      <c r="F53" s="341">
        <v>-766.57</v>
      </c>
      <c r="G53" s="54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0">
        <v>655.35</v>
      </c>
      <c r="U53" s="341">
        <v>-380.36</v>
      </c>
      <c r="V53" s="340">
        <v>367.18</v>
      </c>
      <c r="W53" s="340">
        <v>1094.32</v>
      </c>
      <c r="X53" s="533">
        <v>3271.16</v>
      </c>
      <c r="Y53" s="533">
        <v>2847.48</v>
      </c>
      <c r="Z53" s="533">
        <v>3905.96</v>
      </c>
      <c r="AA53" s="533">
        <v>730.11</v>
      </c>
      <c r="AB53" s="533">
        <v>1036.5</v>
      </c>
      <c r="AC53" s="604">
        <v>-890.92</v>
      </c>
      <c r="AD53" s="434">
        <v>-4293.21</v>
      </c>
      <c r="AE53" s="668">
        <v>221.81</v>
      </c>
      <c r="AF53" s="760">
        <v>-428.3</v>
      </c>
      <c r="AG53" s="776">
        <v>-1992.87</v>
      </c>
      <c r="AH53" s="783">
        <v>426.98</v>
      </c>
      <c r="AI53" s="784">
        <v>74.05</v>
      </c>
      <c r="AJ53" s="340"/>
      <c r="AK53" s="340"/>
      <c r="AL53" s="340"/>
      <c r="AM53" s="340"/>
      <c r="AN53" s="340"/>
      <c r="AO53" s="79"/>
      <c r="AP53" s="78"/>
      <c r="AQ53" s="78"/>
      <c r="AR53" s="78"/>
      <c r="AS53" s="254"/>
      <c r="AT53" s="804"/>
      <c r="AU53" s="804"/>
      <c r="AV53" s="804"/>
      <c r="AW53" s="804"/>
      <c r="AX53" s="804"/>
      <c r="AY53" s="808"/>
      <c r="AZ53" s="809"/>
      <c r="BA53" s="804"/>
      <c r="BB53" s="809"/>
      <c r="BC53" s="783"/>
      <c r="BD53" s="783"/>
      <c r="BE53" s="810"/>
      <c r="BF53" s="800"/>
      <c r="BG53" s="800"/>
    </row>
    <row r="54" spans="1:59"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0">
        <v>650.51</v>
      </c>
      <c r="U54" s="341">
        <v>-141.97</v>
      </c>
      <c r="V54" s="341">
        <v>-31.18</v>
      </c>
      <c r="W54" s="341">
        <v>-47.86</v>
      </c>
      <c r="X54" s="533">
        <v>711.38</v>
      </c>
      <c r="Y54" s="533">
        <v>232.78</v>
      </c>
      <c r="Z54" s="533">
        <v>577.07000000000005</v>
      </c>
      <c r="AA54" s="538">
        <v>-140.72</v>
      </c>
      <c r="AB54" s="434">
        <v>-138.97999999999999</v>
      </c>
      <c r="AC54" s="604">
        <v>-3924.88</v>
      </c>
      <c r="AD54" s="533">
        <v>471.72</v>
      </c>
      <c r="AE54" s="760">
        <v>-400.29</v>
      </c>
      <c r="AF54" s="668">
        <v>935.06</v>
      </c>
      <c r="AG54" s="772">
        <v>226.8</v>
      </c>
      <c r="AH54" s="782">
        <v>366.18</v>
      </c>
      <c r="AI54" s="784">
        <v>1281.68</v>
      </c>
      <c r="AJ54" s="340"/>
      <c r="AK54" s="340"/>
      <c r="AL54" s="340"/>
      <c r="AM54" s="340"/>
      <c r="AN54" s="340"/>
      <c r="AO54" s="79"/>
      <c r="AP54" s="78"/>
      <c r="AQ54" s="78"/>
      <c r="AR54" s="78"/>
      <c r="AS54" s="254"/>
      <c r="AT54" s="804"/>
      <c r="AU54" s="804"/>
      <c r="AV54" s="804"/>
      <c r="AW54" s="812"/>
      <c r="AX54" s="809"/>
      <c r="AY54" s="808"/>
      <c r="AZ54" s="804"/>
      <c r="BA54" s="809"/>
      <c r="BB54" s="804"/>
      <c r="BC54" s="782"/>
      <c r="BD54" s="782"/>
      <c r="BE54" s="810"/>
      <c r="BF54" s="800"/>
      <c r="BG54" s="800"/>
    </row>
    <row r="55" spans="1:59" x14ac:dyDescent="0.25">
      <c r="A55" s="35" t="s">
        <v>39</v>
      </c>
      <c r="B55" s="339"/>
      <c r="C55" s="340"/>
      <c r="D55" s="340"/>
      <c r="E55" s="340"/>
      <c r="F55" s="340"/>
      <c r="G55" s="340"/>
      <c r="H55" s="340"/>
      <c r="I55" s="340"/>
      <c r="J55" s="340"/>
      <c r="K55" s="342"/>
      <c r="L55" s="340"/>
      <c r="M55" s="340"/>
      <c r="N55" s="340"/>
      <c r="O55" s="340"/>
      <c r="P55" s="340"/>
      <c r="Q55" s="340"/>
      <c r="R55" s="340"/>
      <c r="S55" s="340"/>
      <c r="T55" s="340"/>
      <c r="U55" s="340"/>
      <c r="V55" s="340"/>
      <c r="W55" s="340"/>
      <c r="X55" s="533"/>
      <c r="Y55" s="539"/>
      <c r="Z55" s="539"/>
      <c r="AA55" s="540"/>
      <c r="AC55" s="2"/>
      <c r="AG55" s="772"/>
      <c r="AH55">
        <v>1193.83</v>
      </c>
      <c r="AI55" s="784"/>
      <c r="AJ55" s="340"/>
      <c r="AK55" s="340"/>
      <c r="AL55" s="340"/>
      <c r="AM55" s="340"/>
      <c r="AN55" s="340"/>
      <c r="AO55" s="79"/>
      <c r="AP55" s="78"/>
      <c r="AQ55" s="78"/>
      <c r="AR55" s="78"/>
      <c r="AS55" s="254"/>
      <c r="AT55" s="804"/>
      <c r="AU55" s="815"/>
      <c r="AV55" s="815"/>
      <c r="AW55" s="816"/>
      <c r="AX55" s="800"/>
      <c r="AY55" s="801"/>
      <c r="AZ55" s="800"/>
      <c r="BA55" s="800"/>
      <c r="BB55" s="800"/>
      <c r="BC55" s="782"/>
      <c r="BD55" s="800"/>
      <c r="BE55" s="810"/>
      <c r="BF55" s="800"/>
      <c r="BG55" s="800"/>
    </row>
    <row r="56" spans="1:59" x14ac:dyDescent="0.25">
      <c r="A56" s="35" t="s">
        <v>61</v>
      </c>
      <c r="B56" s="339"/>
      <c r="C56" s="340"/>
      <c r="D56" s="340"/>
      <c r="E56" s="340"/>
      <c r="F56" s="340"/>
      <c r="G56" s="340"/>
      <c r="H56" s="340"/>
      <c r="I56" s="340"/>
      <c r="J56" s="340"/>
      <c r="K56" s="342"/>
      <c r="L56" s="340"/>
      <c r="M56" s="340"/>
      <c r="N56" s="340"/>
      <c r="O56" s="340"/>
      <c r="P56" s="340"/>
      <c r="Q56" s="340"/>
      <c r="R56" s="340"/>
      <c r="S56" s="340"/>
      <c r="T56" s="340"/>
      <c r="U56" s="340"/>
      <c r="V56" s="340"/>
      <c r="W56" s="340"/>
      <c r="X56" s="533"/>
      <c r="Y56" s="500"/>
      <c r="Z56" s="500"/>
      <c r="AC56" s="2"/>
      <c r="AF56" s="668"/>
      <c r="AG56" s="772"/>
      <c r="AI56" s="784"/>
      <c r="AJ56" s="340"/>
      <c r="AK56" s="340"/>
      <c r="AL56" s="340"/>
      <c r="AM56" s="340"/>
      <c r="AN56" s="340"/>
      <c r="AO56" s="79"/>
      <c r="AP56" s="78"/>
      <c r="AQ56" s="78"/>
      <c r="AR56" s="78"/>
      <c r="AS56" s="254"/>
      <c r="AT56" s="804"/>
      <c r="AU56" s="796"/>
      <c r="AV56" s="796"/>
      <c r="AW56" s="800"/>
      <c r="AX56" s="800"/>
      <c r="AY56" s="801"/>
      <c r="AZ56" s="800"/>
      <c r="BA56" s="800"/>
      <c r="BB56" s="804"/>
      <c r="BC56" s="782"/>
      <c r="BD56" s="800"/>
      <c r="BE56" s="810"/>
      <c r="BF56" s="800"/>
      <c r="BG56" s="800"/>
    </row>
    <row r="57" spans="1:59" x14ac:dyDescent="0.25">
      <c r="A57" s="35" t="s">
        <v>41</v>
      </c>
      <c r="B57" s="339">
        <f t="shared" ref="B57:AS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343">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57">
        <f>SUM(AG52:AG54)</f>
        <v>-4523.1699999999992</v>
      </c>
      <c r="AH57">
        <v>1986.99</v>
      </c>
      <c r="AI57" s="784">
        <f>SUM(AI52:AI56)</f>
        <v>3304.92</v>
      </c>
      <c r="AJ57" s="339">
        <f t="shared" si="12"/>
        <v>0</v>
      </c>
      <c r="AK57" s="339">
        <f t="shared" si="12"/>
        <v>0</v>
      </c>
      <c r="AL57" s="339">
        <f t="shared" si="12"/>
        <v>0</v>
      </c>
      <c r="AM57" s="339">
        <f t="shared" si="12"/>
        <v>0</v>
      </c>
      <c r="AN57" s="339">
        <f t="shared" si="12"/>
        <v>0</v>
      </c>
      <c r="AO57" s="339">
        <f t="shared" si="12"/>
        <v>0</v>
      </c>
      <c r="AP57" s="339">
        <f t="shared" si="12"/>
        <v>0</v>
      </c>
      <c r="AQ57" s="339">
        <f t="shared" si="12"/>
        <v>0</v>
      </c>
      <c r="AR57" s="339">
        <f t="shared" si="12"/>
        <v>0</v>
      </c>
      <c r="AS57" s="339">
        <f t="shared" si="12"/>
        <v>0</v>
      </c>
      <c r="AT57" s="609"/>
      <c r="AU57" s="609"/>
      <c r="AV57" s="609"/>
      <c r="AW57" s="609"/>
      <c r="AX57" s="609"/>
      <c r="AY57" s="609"/>
      <c r="AZ57" s="609"/>
      <c r="BA57" s="609"/>
      <c r="BB57" s="817"/>
      <c r="BC57" s="783"/>
      <c r="BD57" s="800"/>
      <c r="BE57" s="810"/>
      <c r="BF57" s="800"/>
      <c r="BG57" s="800"/>
    </row>
    <row r="58" spans="1:59" x14ac:dyDescent="0.25">
      <c r="A58" s="42" t="s">
        <v>31</v>
      </c>
      <c r="B58" s="339"/>
      <c r="C58" s="340"/>
      <c r="D58" s="340"/>
      <c r="E58" s="340"/>
      <c r="F58" s="340"/>
      <c r="G58" s="340"/>
      <c r="H58" s="340"/>
      <c r="I58" s="340"/>
      <c r="J58" s="340"/>
      <c r="K58" s="342"/>
      <c r="L58" s="340"/>
      <c r="M58" s="340"/>
      <c r="N58" s="340"/>
      <c r="O58" s="340"/>
      <c r="P58" s="340"/>
      <c r="Q58" s="340"/>
      <c r="R58" s="340"/>
      <c r="S58" s="340"/>
      <c r="T58" s="486"/>
      <c r="U58" s="344"/>
      <c r="V58" s="344"/>
      <c r="W58" s="344"/>
      <c r="X58" s="533"/>
      <c r="Y58" s="539"/>
      <c r="Z58" s="539"/>
      <c r="AA58" s="540"/>
      <c r="AC58" s="2"/>
      <c r="AF58" s="760"/>
      <c r="AG58" s="772"/>
      <c r="AI58" s="784"/>
      <c r="AJ58" s="340"/>
      <c r="AK58" s="340"/>
      <c r="AL58" s="340"/>
      <c r="AM58" s="340"/>
      <c r="AN58" s="340"/>
      <c r="AO58" s="79"/>
      <c r="AP58" s="78"/>
      <c r="AQ58" s="532"/>
      <c r="AR58" s="532"/>
      <c r="AS58" s="532"/>
      <c r="AT58" s="804"/>
      <c r="AU58" s="815"/>
      <c r="AV58" s="815"/>
      <c r="AW58" s="816"/>
      <c r="AX58" s="800"/>
      <c r="AY58" s="801"/>
      <c r="AZ58" s="800"/>
      <c r="BA58" s="800"/>
      <c r="BB58" s="809"/>
      <c r="BC58" s="782"/>
      <c r="BD58" s="800"/>
      <c r="BE58" s="810"/>
      <c r="BF58" s="800"/>
      <c r="BG58" s="800"/>
    </row>
    <row r="59" spans="1:59"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0">
        <v>25887.97</v>
      </c>
      <c r="U59" s="340">
        <v>19602.099999999999</v>
      </c>
      <c r="V59" s="340">
        <v>20678.939999999999</v>
      </c>
      <c r="W59" s="340">
        <v>26065.84</v>
      </c>
      <c r="X59" s="533">
        <v>28125.53</v>
      </c>
      <c r="Y59" s="537">
        <v>24611.21</v>
      </c>
      <c r="Z59" s="537">
        <v>29891.9</v>
      </c>
      <c r="AA59" s="538">
        <v>9054.43</v>
      </c>
      <c r="AB59" s="535">
        <v>18287.3</v>
      </c>
      <c r="AC59" s="604">
        <v>44143.73</v>
      </c>
      <c r="AD59" s="533">
        <v>29779.21</v>
      </c>
      <c r="AE59" s="668">
        <v>25689.11</v>
      </c>
      <c r="AF59" s="668">
        <v>7045.5</v>
      </c>
      <c r="AG59" s="772">
        <v>2020.63</v>
      </c>
      <c r="AH59" s="782">
        <v>6042.56</v>
      </c>
      <c r="AI59" s="784">
        <v>1949.75</v>
      </c>
      <c r="AJ59" s="340"/>
      <c r="AK59" s="340"/>
      <c r="AL59" s="340"/>
      <c r="AM59" s="340"/>
      <c r="AN59" s="340"/>
      <c r="AO59" s="79"/>
      <c r="AP59" s="78"/>
      <c r="AQ59" s="78"/>
      <c r="AR59" s="78"/>
      <c r="AS59" s="254"/>
      <c r="AT59" s="804"/>
      <c r="AU59" s="811"/>
      <c r="AV59" s="811"/>
      <c r="AW59" s="812"/>
      <c r="AX59" s="807"/>
      <c r="AY59" s="808"/>
      <c r="AZ59" s="804"/>
      <c r="BA59" s="804"/>
      <c r="BB59" s="804"/>
      <c r="BC59" s="782"/>
      <c r="BD59" s="782"/>
      <c r="BE59" s="810"/>
      <c r="BF59" s="800"/>
      <c r="BG59" s="800"/>
    </row>
    <row r="60" spans="1:59"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0">
        <v>920.17</v>
      </c>
      <c r="U60" s="340">
        <v>1652.79</v>
      </c>
      <c r="V60" s="340">
        <v>2016.62</v>
      </c>
      <c r="W60" s="340">
        <v>2762.63</v>
      </c>
      <c r="X60" s="533">
        <v>3250.97</v>
      </c>
      <c r="Y60" s="533">
        <v>3168.14</v>
      </c>
      <c r="Z60" s="533">
        <v>4082.17</v>
      </c>
      <c r="AA60" s="533">
        <v>1075.3800000000001</v>
      </c>
      <c r="AB60" s="533">
        <v>986.61</v>
      </c>
      <c r="AC60" s="604">
        <v>2323.54</v>
      </c>
      <c r="AD60" s="533">
        <v>4333.5200000000004</v>
      </c>
      <c r="AE60" s="760">
        <v>-2462.67</v>
      </c>
      <c r="AF60" s="760">
        <v>-3839.03</v>
      </c>
      <c r="AG60" s="776">
        <v>-3439.93</v>
      </c>
      <c r="AH60" s="783">
        <v>-1399.4</v>
      </c>
      <c r="AI60" s="784">
        <v>120.94</v>
      </c>
      <c r="AJ60" s="340"/>
      <c r="AK60" s="340"/>
      <c r="AL60" s="340"/>
      <c r="AM60" s="340"/>
      <c r="AN60" s="340"/>
      <c r="AO60" s="79"/>
      <c r="AP60" s="78"/>
      <c r="AQ60" s="78"/>
      <c r="AR60" s="78"/>
      <c r="AS60" s="254"/>
      <c r="AT60" s="804"/>
      <c r="AU60" s="804"/>
      <c r="AV60" s="804"/>
      <c r="AW60" s="804"/>
      <c r="AX60" s="804"/>
      <c r="AY60" s="808"/>
      <c r="AZ60" s="804"/>
      <c r="BA60" s="809"/>
      <c r="BB60" s="809"/>
      <c r="BC60" s="783"/>
      <c r="BD60" s="783"/>
      <c r="BE60" s="810"/>
      <c r="BF60" s="800"/>
      <c r="BG60" s="800"/>
    </row>
    <row r="61" spans="1:59"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341">
        <v>-2759.15</v>
      </c>
      <c r="U61" s="341">
        <v>-3468.61</v>
      </c>
      <c r="V61" s="341">
        <v>-3524.46</v>
      </c>
      <c r="W61" s="341">
        <v>-3523.98</v>
      </c>
      <c r="X61" s="434">
        <v>-3219.12</v>
      </c>
      <c r="Y61" s="434">
        <v>-3684.01</v>
      </c>
      <c r="Z61" s="434">
        <v>-3152.12</v>
      </c>
      <c r="AA61" s="434">
        <v>-343.81</v>
      </c>
      <c r="AB61" s="434">
        <v>-672.54</v>
      </c>
      <c r="AC61" s="604">
        <v>-2059.31</v>
      </c>
      <c r="AD61" s="434">
        <v>-6729.51</v>
      </c>
      <c r="AE61" s="760">
        <v>-7435.2</v>
      </c>
      <c r="AF61" s="760">
        <v>-7585.14</v>
      </c>
      <c r="AG61" s="776">
        <v>-7480.07</v>
      </c>
      <c r="AH61" s="783">
        <v>-6452.47</v>
      </c>
      <c r="AI61" s="784">
        <v>-4705.07</v>
      </c>
      <c r="AJ61" s="340"/>
      <c r="AK61" s="340"/>
      <c r="AL61" s="340"/>
      <c r="AM61" s="340"/>
      <c r="AN61" s="340"/>
      <c r="AO61" s="79"/>
      <c r="AP61" s="78"/>
      <c r="AQ61" s="78"/>
      <c r="AR61" s="78"/>
      <c r="AS61" s="254"/>
      <c r="AT61" s="809"/>
      <c r="AU61" s="809"/>
      <c r="AV61" s="809"/>
      <c r="AW61" s="809"/>
      <c r="AX61" s="809"/>
      <c r="AY61" s="808"/>
      <c r="AZ61" s="809"/>
      <c r="BA61" s="809"/>
      <c r="BB61" s="809"/>
      <c r="BC61" s="783"/>
      <c r="BD61" s="783"/>
      <c r="BE61" s="810"/>
      <c r="BF61" s="800"/>
      <c r="BG61" s="800"/>
    </row>
    <row r="62" spans="1:59" x14ac:dyDescent="0.25">
      <c r="A62" s="35" t="s">
        <v>39</v>
      </c>
      <c r="B62" s="339"/>
      <c r="C62" s="340"/>
      <c r="D62" s="340"/>
      <c r="E62" s="340"/>
      <c r="F62" s="340"/>
      <c r="G62" s="340"/>
      <c r="H62" s="340"/>
      <c r="I62" s="340"/>
      <c r="J62" s="340"/>
      <c r="K62" s="342"/>
      <c r="L62" s="340"/>
      <c r="M62" s="340"/>
      <c r="N62" s="340"/>
      <c r="O62" s="340"/>
      <c r="P62" s="340"/>
      <c r="Q62" s="340"/>
      <c r="R62" s="340"/>
      <c r="S62" s="340"/>
      <c r="T62" s="340"/>
      <c r="U62" s="340"/>
      <c r="V62" s="340"/>
      <c r="W62" s="340"/>
      <c r="X62" s="533"/>
      <c r="Y62" s="500"/>
      <c r="Z62" s="500"/>
      <c r="AC62" s="2"/>
      <c r="AG62" s="772"/>
      <c r="AI62" s="784"/>
      <c r="AJ62" s="340"/>
      <c r="AK62" s="340"/>
      <c r="AL62" s="340"/>
      <c r="AM62" s="340"/>
      <c r="AN62" s="340"/>
      <c r="AO62" s="79"/>
      <c r="AP62" s="78"/>
      <c r="AQ62" s="78"/>
      <c r="AR62" s="78"/>
      <c r="AS62" s="254"/>
      <c r="AT62" s="804"/>
      <c r="AU62" s="796"/>
      <c r="AV62" s="796"/>
      <c r="AW62" s="800"/>
      <c r="AX62" s="800"/>
      <c r="AY62" s="801"/>
      <c r="AZ62" s="800"/>
      <c r="BA62" s="800"/>
      <c r="BB62" s="800"/>
      <c r="BC62" s="782"/>
      <c r="BD62" s="800"/>
      <c r="BE62" s="810"/>
      <c r="BF62" s="800"/>
      <c r="BG62" s="800"/>
    </row>
    <row r="63" spans="1:59" x14ac:dyDescent="0.25">
      <c r="A63" s="35" t="s">
        <v>61</v>
      </c>
      <c r="B63" s="339"/>
      <c r="C63" s="340"/>
      <c r="D63" s="340"/>
      <c r="E63" s="340"/>
      <c r="F63" s="340"/>
      <c r="G63" s="340"/>
      <c r="H63" s="340"/>
      <c r="I63" s="340"/>
      <c r="J63" s="340"/>
      <c r="K63" s="342"/>
      <c r="L63" s="340"/>
      <c r="M63" s="340"/>
      <c r="N63" s="340"/>
      <c r="O63" s="340"/>
      <c r="P63" s="340"/>
      <c r="Q63" s="340"/>
      <c r="R63" s="340"/>
      <c r="S63" s="340"/>
      <c r="T63" s="340"/>
      <c r="U63" s="340"/>
      <c r="V63" s="340"/>
      <c r="W63" s="340"/>
      <c r="X63" s="533"/>
      <c r="Y63" s="500"/>
      <c r="Z63" s="500"/>
      <c r="AC63" s="2"/>
      <c r="AF63" s="676"/>
      <c r="AG63" s="772"/>
      <c r="AI63" s="784"/>
      <c r="AJ63" s="340"/>
      <c r="AK63" s="340"/>
      <c r="AL63" s="340"/>
      <c r="AM63" s="340"/>
      <c r="AN63" s="340"/>
      <c r="AO63" s="79"/>
      <c r="AP63" s="78"/>
      <c r="AQ63" s="78"/>
      <c r="AR63" s="78"/>
      <c r="AS63" s="254"/>
      <c r="AT63" s="804"/>
      <c r="AU63" s="796"/>
      <c r="AV63" s="796"/>
      <c r="AW63" s="800"/>
      <c r="AX63" s="800"/>
      <c r="AY63" s="801"/>
      <c r="AZ63" s="800"/>
      <c r="BA63" s="800"/>
      <c r="BB63" s="809"/>
      <c r="BC63" s="782"/>
      <c r="BD63" s="800"/>
      <c r="BE63" s="810"/>
      <c r="BF63" s="800"/>
      <c r="BG63" s="800"/>
    </row>
    <row r="64" spans="1:59" x14ac:dyDescent="0.25">
      <c r="A64" s="35" t="s">
        <v>41</v>
      </c>
      <c r="B64" s="339">
        <f t="shared" ref="B64:AS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39">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784">
        <f>SUM(AI59:AI63)</f>
        <v>-2634.3799999999997</v>
      </c>
      <c r="AJ64" s="339">
        <f t="shared" si="14"/>
        <v>0</v>
      </c>
      <c r="AK64" s="339">
        <f t="shared" si="14"/>
        <v>0</v>
      </c>
      <c r="AL64" s="339">
        <f t="shared" si="14"/>
        <v>0</v>
      </c>
      <c r="AM64" s="339">
        <f t="shared" si="14"/>
        <v>0</v>
      </c>
      <c r="AN64" s="339">
        <f t="shared" si="14"/>
        <v>0</v>
      </c>
      <c r="AO64" s="339">
        <f t="shared" si="14"/>
        <v>0</v>
      </c>
      <c r="AP64" s="339">
        <f t="shared" si="14"/>
        <v>0</v>
      </c>
      <c r="AQ64" s="339">
        <f t="shared" si="14"/>
        <v>0</v>
      </c>
      <c r="AR64" s="339">
        <f t="shared" si="14"/>
        <v>0</v>
      </c>
      <c r="AS64" s="339">
        <f t="shared" si="14"/>
        <v>0</v>
      </c>
      <c r="AT64" s="609"/>
      <c r="AU64" s="609"/>
      <c r="AV64" s="609"/>
      <c r="AW64" s="609"/>
      <c r="AX64" s="609"/>
      <c r="AY64" s="609"/>
      <c r="AZ64" s="609"/>
      <c r="BA64" s="609"/>
      <c r="BB64" s="809"/>
      <c r="BC64" s="809"/>
      <c r="BD64" s="800"/>
      <c r="BE64" s="810"/>
      <c r="BF64" s="800"/>
      <c r="BG64" s="800"/>
    </row>
    <row r="65" spans="1:59" x14ac:dyDescent="0.25">
      <c r="A65" s="42" t="s">
        <v>42</v>
      </c>
      <c r="B65" s="339"/>
      <c r="C65" s="340"/>
      <c r="D65" s="340"/>
      <c r="E65" s="340"/>
      <c r="F65" s="340"/>
      <c r="G65" s="340"/>
      <c r="H65" s="340"/>
      <c r="I65" s="340"/>
      <c r="J65" s="340"/>
      <c r="K65" s="342"/>
      <c r="L65" s="340"/>
      <c r="M65" s="340"/>
      <c r="N65" s="340"/>
      <c r="O65" s="340"/>
      <c r="P65" s="340"/>
      <c r="Q65" s="340"/>
      <c r="R65" s="340"/>
      <c r="S65" s="340"/>
      <c r="T65" s="486"/>
      <c r="U65" s="344"/>
      <c r="V65" s="344"/>
      <c r="W65" s="344"/>
      <c r="X65" s="533"/>
      <c r="Y65" s="500"/>
      <c r="Z65" s="500"/>
      <c r="AC65" s="2"/>
      <c r="AF65" s="757"/>
      <c r="AG65" s="772"/>
      <c r="AI65" s="784"/>
      <c r="AJ65" s="340"/>
      <c r="AK65" s="340"/>
      <c r="AL65" s="340"/>
      <c r="AM65" s="340"/>
      <c r="AN65" s="340"/>
      <c r="AO65" s="79"/>
      <c r="AP65" s="78"/>
      <c r="AQ65" s="532"/>
      <c r="AR65" s="532"/>
      <c r="AS65" s="532"/>
      <c r="AT65" s="804"/>
      <c r="AU65" s="796"/>
      <c r="AV65" s="796"/>
      <c r="AW65" s="800"/>
      <c r="AX65" s="800"/>
      <c r="AY65" s="801"/>
      <c r="AZ65" s="800"/>
      <c r="BA65" s="800"/>
      <c r="BB65" s="783"/>
      <c r="BC65" s="782"/>
      <c r="BD65" s="800"/>
      <c r="BE65" s="810"/>
      <c r="BF65" s="800"/>
      <c r="BG65" s="800"/>
    </row>
    <row r="66" spans="1:59"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484">
        <v>21953.57</v>
      </c>
      <c r="U66" s="484">
        <v>23263.96</v>
      </c>
      <c r="V66" s="484">
        <v>18625.73</v>
      </c>
      <c r="W66" s="484">
        <v>51040.62</v>
      </c>
      <c r="X66" s="533">
        <v>88162.03</v>
      </c>
      <c r="Y66" s="533">
        <v>56189.45</v>
      </c>
      <c r="Z66" s="533">
        <v>148608.04999999999</v>
      </c>
      <c r="AA66" s="533">
        <v>58625.440000000002</v>
      </c>
      <c r="AB66" s="533">
        <v>87387.42</v>
      </c>
      <c r="AC66" s="608">
        <f>SUM(AC45,AC52,AC59)</f>
        <v>90192.47</v>
      </c>
      <c r="AD66" s="533">
        <v>35482.800000000003</v>
      </c>
      <c r="AE66" s="335">
        <v>32738.01</v>
      </c>
      <c r="AF66" s="676">
        <v>-7.69</v>
      </c>
      <c r="AG66" s="772">
        <v>317.06</v>
      </c>
      <c r="AH66">
        <v>-875.88</v>
      </c>
      <c r="AI66" s="784">
        <v>44040.45</v>
      </c>
      <c r="AJ66" s="340"/>
      <c r="AK66" s="340"/>
      <c r="AL66" s="340"/>
      <c r="AM66" s="340"/>
      <c r="AN66" s="340"/>
      <c r="AO66" s="79"/>
      <c r="AP66" s="78"/>
      <c r="AQ66" s="78"/>
      <c r="AR66" s="78"/>
      <c r="AS66" s="254"/>
      <c r="AT66" s="804"/>
      <c r="AU66" s="804"/>
      <c r="AV66" s="804"/>
      <c r="AW66" s="804"/>
      <c r="AX66" s="804"/>
      <c r="AY66" s="818"/>
      <c r="AZ66" s="804"/>
      <c r="BA66" s="609"/>
      <c r="BB66" s="809"/>
      <c r="BC66" s="782"/>
      <c r="BD66" s="800"/>
      <c r="BE66" s="810"/>
      <c r="BF66" s="800"/>
      <c r="BG66" s="800"/>
    </row>
    <row r="67" spans="1:59"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484">
        <v>259.23</v>
      </c>
      <c r="U67" s="484">
        <v>1841.57</v>
      </c>
      <c r="V67" s="484">
        <v>2278.35</v>
      </c>
      <c r="W67" s="484">
        <v>7957.3</v>
      </c>
      <c r="X67" s="533">
        <v>16017.82</v>
      </c>
      <c r="Y67" s="533">
        <v>14534.85</v>
      </c>
      <c r="Z67" s="533">
        <v>17680.77</v>
      </c>
      <c r="AA67" s="533">
        <v>3230.09</v>
      </c>
      <c r="AB67" s="533">
        <v>4146.55</v>
      </c>
      <c r="AC67" s="608">
        <f>SUM(AC46,AC53,AC60)</f>
        <v>-3428.55</v>
      </c>
      <c r="AD67" s="533">
        <v>230.43</v>
      </c>
      <c r="AE67" s="676">
        <v>-2538.7199999999998</v>
      </c>
      <c r="AF67" s="676">
        <v>-6785.89</v>
      </c>
      <c r="AG67" s="776">
        <v>-5353.91</v>
      </c>
      <c r="AH67" s="783">
        <v>-1099.6300000000001</v>
      </c>
      <c r="AI67" s="784">
        <v>979.68</v>
      </c>
      <c r="AJ67" s="340"/>
      <c r="AK67" s="340"/>
      <c r="AL67" s="340"/>
      <c r="AM67" s="340"/>
      <c r="AN67" s="340"/>
      <c r="AO67" s="79"/>
      <c r="AP67" s="78"/>
      <c r="AQ67" s="78"/>
      <c r="AR67" s="78"/>
      <c r="AS67" s="254"/>
      <c r="AT67" s="804"/>
      <c r="AU67" s="804"/>
      <c r="AV67" s="804"/>
      <c r="AW67" s="804"/>
      <c r="AX67" s="804"/>
      <c r="AY67" s="818"/>
      <c r="AZ67" s="804"/>
      <c r="BA67" s="809"/>
      <c r="BB67" s="809"/>
      <c r="BC67" s="783"/>
      <c r="BD67" s="783"/>
      <c r="BE67" s="810"/>
      <c r="BF67" s="800"/>
      <c r="BG67" s="800"/>
    </row>
    <row r="68" spans="1:59"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543">
        <v>-2537.4499999999998</v>
      </c>
      <c r="U68" s="484">
        <v>2827.3</v>
      </c>
      <c r="V68" s="543">
        <v>-3947.53</v>
      </c>
      <c r="W68" s="484">
        <v>1193.8699999999999</v>
      </c>
      <c r="X68" s="533">
        <v>14522.41</v>
      </c>
      <c r="Y68" s="434">
        <v>-1308.1099999999999</v>
      </c>
      <c r="Z68" s="533">
        <v>28217.23</v>
      </c>
      <c r="AA68" s="533">
        <v>7450.49</v>
      </c>
      <c r="AB68" s="434">
        <v>-5922.68</v>
      </c>
      <c r="AC68" s="608">
        <f>SUM(AC47,AC54,AC61)</f>
        <v>-4597.59</v>
      </c>
      <c r="AD68" s="434">
        <v>-7248.49</v>
      </c>
      <c r="AE68" s="676">
        <v>-5378.28</v>
      </c>
      <c r="AF68" s="676">
        <v>-6769.15</v>
      </c>
      <c r="AG68" s="776">
        <v>-4835.5</v>
      </c>
      <c r="AH68" s="783">
        <v>-5388.62</v>
      </c>
      <c r="AI68" s="784">
        <v>27233.84</v>
      </c>
      <c r="AJ68" s="340"/>
      <c r="AK68" s="340"/>
      <c r="AL68" s="340"/>
      <c r="AM68" s="340"/>
      <c r="AN68" s="340"/>
      <c r="AO68" s="79"/>
      <c r="AP68" s="78"/>
      <c r="AQ68" s="78"/>
      <c r="AR68" s="78"/>
      <c r="AS68" s="254"/>
      <c r="AT68" s="804"/>
      <c r="AU68" s="809"/>
      <c r="AV68" s="804"/>
      <c r="AW68" s="804"/>
      <c r="AX68" s="809"/>
      <c r="AY68" s="818"/>
      <c r="AZ68" s="809"/>
      <c r="BA68" s="809"/>
      <c r="BB68" s="809"/>
      <c r="BC68" s="783"/>
      <c r="BD68" s="783"/>
      <c r="BE68" s="810"/>
      <c r="BF68" s="800"/>
      <c r="BG68" s="800"/>
    </row>
    <row r="69" spans="1:59" x14ac:dyDescent="0.25">
      <c r="A69" s="35" t="s">
        <v>39</v>
      </c>
      <c r="B69" s="339"/>
      <c r="C69" s="346"/>
      <c r="D69" s="346"/>
      <c r="E69" s="346"/>
      <c r="F69" s="346"/>
      <c r="G69" s="346"/>
      <c r="H69" s="346"/>
      <c r="I69" s="346"/>
      <c r="J69" s="346"/>
      <c r="K69" s="344"/>
      <c r="L69" s="339"/>
      <c r="M69" s="346"/>
      <c r="N69" s="346"/>
      <c r="O69" s="346"/>
      <c r="P69" s="346"/>
      <c r="Q69" s="346"/>
      <c r="R69" s="346"/>
      <c r="S69" s="346"/>
      <c r="T69" s="484"/>
      <c r="U69" s="484"/>
      <c r="V69" s="484"/>
      <c r="W69" s="484"/>
      <c r="X69" s="533"/>
      <c r="Y69" s="500"/>
      <c r="Z69" s="500"/>
      <c r="AC69" s="2"/>
      <c r="AG69" s="772"/>
      <c r="AI69" s="784"/>
      <c r="AJ69" s="340"/>
      <c r="AK69" s="340"/>
      <c r="AL69" s="340"/>
      <c r="AM69" s="340"/>
      <c r="AN69" s="340"/>
      <c r="AO69" s="79"/>
      <c r="AP69" s="78"/>
      <c r="AQ69" s="78"/>
      <c r="AR69" s="78"/>
      <c r="AS69" s="254"/>
      <c r="AT69" s="804"/>
      <c r="AU69" s="796"/>
      <c r="AV69" s="796"/>
      <c r="AW69" s="800"/>
      <c r="AX69" s="800"/>
      <c r="AY69" s="801"/>
      <c r="AZ69" s="800"/>
      <c r="BA69" s="800"/>
      <c r="BB69" s="800"/>
      <c r="BC69" s="782"/>
      <c r="BD69" s="800"/>
      <c r="BE69" s="810"/>
      <c r="BF69" s="800"/>
      <c r="BG69" s="800"/>
    </row>
    <row r="70" spans="1:59" x14ac:dyDescent="0.25">
      <c r="A70" s="35" t="s">
        <v>61</v>
      </c>
      <c r="B70" s="339"/>
      <c r="C70" s="346"/>
      <c r="D70" s="346"/>
      <c r="E70" s="346"/>
      <c r="F70" s="346"/>
      <c r="G70" s="346"/>
      <c r="H70" s="346"/>
      <c r="I70" s="346"/>
      <c r="J70" s="346"/>
      <c r="K70" s="344"/>
      <c r="L70" s="339"/>
      <c r="M70" s="346"/>
      <c r="N70" s="346"/>
      <c r="O70" s="346"/>
      <c r="P70" s="346"/>
      <c r="Q70" s="346"/>
      <c r="R70" s="346"/>
      <c r="S70" s="346"/>
      <c r="T70" s="484"/>
      <c r="U70" s="484"/>
      <c r="V70" s="484"/>
      <c r="W70" s="484"/>
      <c r="X70" s="533"/>
      <c r="Y70" s="500"/>
      <c r="Z70" s="500"/>
      <c r="AC70" s="2"/>
      <c r="AG70" s="772"/>
      <c r="AJ70" s="340"/>
      <c r="AK70" s="340"/>
      <c r="AL70" s="340"/>
      <c r="AM70" s="340"/>
      <c r="AN70" s="340"/>
      <c r="AO70" s="79"/>
      <c r="AP70" s="78"/>
      <c r="AQ70" s="78"/>
      <c r="AR70" s="78"/>
      <c r="AS70" s="254"/>
      <c r="AT70" s="804"/>
      <c r="AU70" s="796"/>
      <c r="AV70" s="796"/>
      <c r="AW70" s="800"/>
      <c r="AX70" s="800"/>
      <c r="AY70" s="801"/>
      <c r="AZ70" s="800"/>
      <c r="BA70" s="800"/>
      <c r="BB70" s="800"/>
      <c r="BC70" s="782"/>
      <c r="BD70" s="800"/>
      <c r="BE70" s="800"/>
      <c r="BF70" s="800"/>
      <c r="BG70" s="800"/>
    </row>
    <row r="71" spans="1:59" ht="15.75" thickBot="1" x14ac:dyDescent="0.3">
      <c r="A71" s="37" t="s">
        <v>41</v>
      </c>
      <c r="B71" s="349">
        <f t="shared" ref="B71:AS71" si="16">SUM(B66:B70)</f>
        <v>174566.78</v>
      </c>
      <c r="C71" s="349">
        <f t="shared" si="16"/>
        <v>55492.42</v>
      </c>
      <c r="D71" s="349">
        <f t="shared" si="16"/>
        <v>108272.46000000002</v>
      </c>
      <c r="E71" s="349">
        <f t="shared" si="16"/>
        <v>35924.01</v>
      </c>
      <c r="F71" s="349">
        <f t="shared" si="16"/>
        <v>25737.51</v>
      </c>
      <c r="G71" s="349">
        <f t="shared" si="16"/>
        <v>13438.659999999998</v>
      </c>
      <c r="H71" s="350">
        <f t="shared" si="16"/>
        <v>-11185.96</v>
      </c>
      <c r="I71" s="350">
        <f t="shared" si="16"/>
        <v>-2446.12</v>
      </c>
      <c r="J71" s="350">
        <f t="shared" si="16"/>
        <v>-7318.3499999999995</v>
      </c>
      <c r="K71" s="349">
        <f t="shared" si="16"/>
        <v>33297.630000000005</v>
      </c>
      <c r="L71" s="349">
        <f t="shared" si="16"/>
        <v>54031.34</v>
      </c>
      <c r="M71" s="349">
        <f t="shared" si="16"/>
        <v>6901.369999999999</v>
      </c>
      <c r="N71" s="349">
        <f t="shared" si="16"/>
        <v>89319.679999999993</v>
      </c>
      <c r="O71" s="349">
        <f t="shared" si="16"/>
        <v>38267.279999999999</v>
      </c>
      <c r="P71" s="349">
        <f t="shared" si="16"/>
        <v>100605.6</v>
      </c>
      <c r="Q71" s="349">
        <f t="shared" si="16"/>
        <v>65230.17</v>
      </c>
      <c r="R71" s="349">
        <f t="shared" si="16"/>
        <v>59670.789999999994</v>
      </c>
      <c r="S71" s="349">
        <f t="shared" si="16"/>
        <v>45913.05</v>
      </c>
      <c r="T71" s="349">
        <f t="shared" si="16"/>
        <v>19675.349999999999</v>
      </c>
      <c r="U71" s="349">
        <f t="shared" si="16"/>
        <v>27932.829999999998</v>
      </c>
      <c r="V71" s="349">
        <f t="shared" si="16"/>
        <v>16956.55</v>
      </c>
      <c r="W71" s="349">
        <f t="shared" si="16"/>
        <v>60191.790000000008</v>
      </c>
      <c r="X71" s="349">
        <f t="shared" ref="X71:AG71" si="17">SUM(X66:X70)</f>
        <v>118702.26000000001</v>
      </c>
      <c r="Y71" s="349">
        <f t="shared" si="17"/>
        <v>69416.19</v>
      </c>
      <c r="Z71" s="349">
        <f t="shared" si="17"/>
        <v>194506.05</v>
      </c>
      <c r="AA71" s="349">
        <f t="shared" si="17"/>
        <v>69306.02</v>
      </c>
      <c r="AB71" s="349">
        <f t="shared" si="17"/>
        <v>85611.290000000008</v>
      </c>
      <c r="AC71" s="349">
        <f t="shared" si="17"/>
        <v>82166.33</v>
      </c>
      <c r="AD71" s="349">
        <f t="shared" si="17"/>
        <v>28464.740000000005</v>
      </c>
      <c r="AE71" s="349">
        <f t="shared" si="17"/>
        <v>24821.01</v>
      </c>
      <c r="AF71" s="350">
        <f t="shared" si="17"/>
        <v>-13562.73</v>
      </c>
      <c r="AG71" s="350">
        <f t="shared" si="17"/>
        <v>-9872.3499999999985</v>
      </c>
      <c r="AH71">
        <v>-7364.13</v>
      </c>
      <c r="AI71" s="786">
        <f>SUM(AI66:AI70)</f>
        <v>72253.97</v>
      </c>
      <c r="AJ71" s="349">
        <f t="shared" si="16"/>
        <v>0</v>
      </c>
      <c r="AK71" s="349">
        <f t="shared" si="16"/>
        <v>0</v>
      </c>
      <c r="AL71" s="349">
        <f t="shared" si="16"/>
        <v>0</v>
      </c>
      <c r="AM71" s="349">
        <f t="shared" si="16"/>
        <v>0</v>
      </c>
      <c r="AN71" s="349">
        <f t="shared" si="16"/>
        <v>0</v>
      </c>
      <c r="AO71" s="349">
        <f t="shared" si="16"/>
        <v>0</v>
      </c>
      <c r="AP71" s="349">
        <f t="shared" si="16"/>
        <v>0</v>
      </c>
      <c r="AQ71" s="349">
        <f t="shared" si="16"/>
        <v>0</v>
      </c>
      <c r="AR71" s="349">
        <f t="shared" si="16"/>
        <v>0</v>
      </c>
      <c r="AS71" s="349">
        <f t="shared" si="16"/>
        <v>0</v>
      </c>
      <c r="AT71" s="609"/>
      <c r="AU71" s="609"/>
      <c r="AV71" s="609"/>
      <c r="AW71" s="609"/>
      <c r="AX71" s="609"/>
      <c r="AY71" s="609"/>
      <c r="AZ71" s="609"/>
      <c r="BA71" s="609"/>
      <c r="BB71" s="809"/>
      <c r="BC71" s="809"/>
      <c r="BD71" s="800"/>
      <c r="BE71" s="819"/>
      <c r="BF71" s="800"/>
      <c r="BG71" s="800"/>
    </row>
    <row r="72" spans="1:59" x14ac:dyDescent="0.25">
      <c r="A72" s="41" t="s">
        <v>33</v>
      </c>
      <c r="B72" s="155"/>
      <c r="C72" s="64"/>
      <c r="D72" s="64"/>
      <c r="E72" s="64"/>
      <c r="F72" s="64"/>
      <c r="G72" s="64"/>
      <c r="H72" s="64"/>
      <c r="I72" s="64"/>
      <c r="J72" s="64"/>
      <c r="K72" s="165"/>
      <c r="L72" s="64"/>
      <c r="M72" s="64"/>
      <c r="N72" s="64"/>
      <c r="O72" s="64"/>
      <c r="P72" s="64"/>
      <c r="Q72" s="64"/>
      <c r="R72" s="64"/>
      <c r="S72" s="64"/>
      <c r="T72" s="177"/>
      <c r="U72" s="320"/>
      <c r="V72" s="320"/>
      <c r="W72" s="320"/>
      <c r="X72" s="533"/>
      <c r="Y72" s="500"/>
      <c r="Z72" s="500"/>
      <c r="AC72" s="2"/>
      <c r="AG72" s="772"/>
      <c r="AJ72" s="64"/>
      <c r="AK72" s="64"/>
      <c r="AL72" s="64"/>
      <c r="AM72" s="64"/>
      <c r="AN72" s="64"/>
      <c r="AO72" s="64"/>
      <c r="AP72" s="63"/>
      <c r="AQ72" s="544"/>
      <c r="AR72" s="544"/>
      <c r="AS72" s="544"/>
      <c r="AT72" s="804"/>
      <c r="AU72" s="796"/>
      <c r="AV72" s="796"/>
      <c r="AW72" s="800"/>
      <c r="AX72" s="800"/>
      <c r="AY72" s="801"/>
      <c r="AZ72" s="800"/>
      <c r="BA72" s="800"/>
      <c r="BB72" s="800"/>
      <c r="BC72" s="782"/>
      <c r="BD72" s="800"/>
      <c r="BE72" s="800"/>
      <c r="BF72" s="800"/>
      <c r="BG72" s="800"/>
    </row>
    <row r="73" spans="1:59" x14ac:dyDescent="0.25">
      <c r="A73" s="35" t="s">
        <v>36</v>
      </c>
      <c r="B73" s="339">
        <v>290184.34999999998</v>
      </c>
      <c r="C73" s="340">
        <v>173694.58</v>
      </c>
      <c r="D73" s="790">
        <v>93046.57</v>
      </c>
      <c r="E73" s="790">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486">
        <v>66041.929999999993</v>
      </c>
      <c r="U73" s="344">
        <v>79599.649999999994</v>
      </c>
      <c r="V73" s="344">
        <v>167766.9</v>
      </c>
      <c r="W73" s="344">
        <v>291304.71999999997</v>
      </c>
      <c r="X73" s="533">
        <v>253256.29</v>
      </c>
      <c r="Y73" s="533">
        <v>277329.28999999998</v>
      </c>
      <c r="Z73" s="340">
        <v>237118.31</v>
      </c>
      <c r="AA73" s="545">
        <v>146383.71</v>
      </c>
      <c r="AB73" s="545">
        <v>71337.87</v>
      </c>
      <c r="AC73" s="787">
        <v>58077.84</v>
      </c>
      <c r="AD73" s="788">
        <v>55990.71</v>
      </c>
      <c r="AE73" s="769">
        <v>47334.15</v>
      </c>
      <c r="AF73" s="768">
        <v>50591.7</v>
      </c>
      <c r="AG73" s="789">
        <v>67404.27</v>
      </c>
      <c r="AH73" s="768">
        <v>236095.46</v>
      </c>
      <c r="AI73" s="768">
        <v>320297.28999999998</v>
      </c>
      <c r="AJ73" s="340"/>
      <c r="AK73" s="340"/>
      <c r="AL73" s="340"/>
      <c r="AM73" s="340"/>
      <c r="AN73" s="340"/>
      <c r="AO73" s="340"/>
      <c r="AP73" s="347"/>
      <c r="AQ73" s="347"/>
      <c r="AR73" s="347"/>
      <c r="AS73" s="335"/>
      <c r="AT73" s="804"/>
      <c r="AU73" s="804"/>
      <c r="AV73" s="609"/>
      <c r="AW73" s="609"/>
      <c r="AX73" s="609"/>
      <c r="AY73" s="787"/>
      <c r="AZ73" s="787"/>
      <c r="BA73" s="820"/>
      <c r="BB73" s="820"/>
      <c r="BC73" s="821"/>
      <c r="BD73" s="820"/>
      <c r="BE73" s="820"/>
      <c r="BF73" s="800"/>
      <c r="BG73" s="800"/>
    </row>
    <row r="74" spans="1:59" x14ac:dyDescent="0.25">
      <c r="A74" s="35" t="s">
        <v>37</v>
      </c>
      <c r="B74" s="339">
        <v>13581.98</v>
      </c>
      <c r="C74" s="340">
        <v>9607</v>
      </c>
      <c r="D74" s="790">
        <v>5084.55</v>
      </c>
      <c r="E74" s="790">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486">
        <v>3612.95</v>
      </c>
      <c r="U74" s="344">
        <v>4452.34</v>
      </c>
      <c r="V74" s="344">
        <v>9473.7999999999993</v>
      </c>
      <c r="W74" s="344">
        <v>17007.11</v>
      </c>
      <c r="X74" s="533">
        <v>13016.44</v>
      </c>
      <c r="Y74" s="533">
        <v>15108.74</v>
      </c>
      <c r="Z74" s="340">
        <v>16438.900000000001</v>
      </c>
      <c r="AA74" s="545">
        <v>9157.2000000000007</v>
      </c>
      <c r="AB74" s="545">
        <v>3524.43</v>
      </c>
      <c r="AC74" s="787">
        <v>2682.02</v>
      </c>
      <c r="AD74" s="788">
        <v>2658.89</v>
      </c>
      <c r="AE74" s="769">
        <v>2369.4499999999998</v>
      </c>
      <c r="AF74" s="769">
        <v>2411.52</v>
      </c>
      <c r="AG74" s="789">
        <v>3410.11</v>
      </c>
      <c r="AH74" s="768">
        <v>11665.52</v>
      </c>
      <c r="AI74" s="768">
        <v>16182.17</v>
      </c>
      <c r="AJ74" s="340"/>
      <c r="AK74" s="340"/>
      <c r="AL74" s="340"/>
      <c r="AM74" s="340"/>
      <c r="AN74" s="340"/>
      <c r="AO74" s="340"/>
      <c r="AP74" s="347"/>
      <c r="AQ74" s="347"/>
      <c r="AR74" s="347"/>
      <c r="AS74" s="335"/>
      <c r="AT74" s="804"/>
      <c r="AU74" s="804"/>
      <c r="AV74" s="609"/>
      <c r="AW74" s="609"/>
      <c r="AX74" s="609"/>
      <c r="AY74" s="787"/>
      <c r="AZ74" s="787"/>
      <c r="BA74" s="820"/>
      <c r="BB74" s="820"/>
      <c r="BC74" s="821"/>
      <c r="BD74" s="820"/>
      <c r="BE74" s="820"/>
      <c r="BF74" s="800"/>
      <c r="BG74" s="800"/>
    </row>
    <row r="75" spans="1:59" x14ac:dyDescent="0.25">
      <c r="A75" s="35" t="s">
        <v>38</v>
      </c>
      <c r="B75" s="339">
        <v>122728.26</v>
      </c>
      <c r="C75" s="340">
        <v>72701.86</v>
      </c>
      <c r="D75" s="790">
        <v>34957.949999999997</v>
      </c>
      <c r="E75" s="790">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486">
        <v>21939.87</v>
      </c>
      <c r="U75" s="344">
        <v>23020.49</v>
      </c>
      <c r="V75" s="344">
        <v>47388.08</v>
      </c>
      <c r="W75" s="344">
        <v>85680.89</v>
      </c>
      <c r="X75" s="533">
        <v>68215.12</v>
      </c>
      <c r="Y75" s="533">
        <v>83690.14</v>
      </c>
      <c r="Z75" s="340">
        <v>63301.95</v>
      </c>
      <c r="AA75" s="545">
        <v>40791.980000000003</v>
      </c>
      <c r="AB75" s="545">
        <v>18920.13</v>
      </c>
      <c r="AC75" s="787">
        <v>15221.07</v>
      </c>
      <c r="AD75" s="788">
        <v>17570.64</v>
      </c>
      <c r="AE75" s="769">
        <v>14266.88</v>
      </c>
      <c r="AF75" s="769">
        <v>15524.4</v>
      </c>
      <c r="AG75" s="789">
        <v>26762.15</v>
      </c>
      <c r="AH75" s="768">
        <v>96507.37</v>
      </c>
      <c r="AI75" s="768">
        <v>137760.98000000001</v>
      </c>
      <c r="AJ75" s="340"/>
      <c r="AK75" s="340"/>
      <c r="AL75" s="340"/>
      <c r="AM75" s="340"/>
      <c r="AN75" s="340"/>
      <c r="AO75" s="340"/>
      <c r="AP75" s="347"/>
      <c r="AQ75" s="347"/>
      <c r="AR75" s="347"/>
      <c r="AS75" s="335"/>
      <c r="AT75" s="804"/>
      <c r="AU75" s="804"/>
      <c r="AV75" s="609"/>
      <c r="AW75" s="609"/>
      <c r="AX75" s="609"/>
      <c r="AY75" s="787"/>
      <c r="AZ75" s="787"/>
      <c r="BA75" s="820"/>
      <c r="BB75" s="820"/>
      <c r="BC75" s="821"/>
      <c r="BD75" s="820"/>
      <c r="BE75" s="820"/>
      <c r="BF75" s="800"/>
      <c r="BG75" s="800"/>
    </row>
    <row r="76" spans="1:59" x14ac:dyDescent="0.25">
      <c r="A76" s="35" t="s">
        <v>39</v>
      </c>
      <c r="B76" s="339"/>
      <c r="C76" s="340"/>
      <c r="D76" s="340"/>
      <c r="E76" s="340"/>
      <c r="F76" s="340"/>
      <c r="G76" s="340"/>
      <c r="H76" s="340"/>
      <c r="I76" s="340"/>
      <c r="J76" s="340"/>
      <c r="K76" s="342"/>
      <c r="L76" s="340"/>
      <c r="M76" s="340"/>
      <c r="N76" s="340"/>
      <c r="O76" s="340"/>
      <c r="P76" s="340"/>
      <c r="Q76" s="340"/>
      <c r="R76" s="340"/>
      <c r="S76" s="340"/>
      <c r="T76" s="486"/>
      <c r="U76" s="344"/>
      <c r="V76" s="344"/>
      <c r="W76" s="344"/>
      <c r="X76" s="533"/>
      <c r="Y76" s="533"/>
      <c r="Z76" s="500"/>
      <c r="AC76" s="2"/>
      <c r="AE76" s="571"/>
      <c r="AF76" s="571"/>
      <c r="AG76" s="772"/>
      <c r="AH76" s="535"/>
      <c r="AI76" s="533"/>
      <c r="AJ76" s="340"/>
      <c r="AK76" s="340"/>
      <c r="AL76" s="340"/>
      <c r="AM76" s="340"/>
      <c r="AN76" s="340"/>
      <c r="AO76" s="340"/>
      <c r="AP76" s="347"/>
      <c r="AQ76" s="347"/>
      <c r="AR76" s="347"/>
      <c r="AS76" s="335"/>
      <c r="AT76" s="804"/>
      <c r="AU76" s="804"/>
      <c r="AV76" s="796"/>
      <c r="AW76" s="800"/>
      <c r="AX76" s="800"/>
      <c r="AY76" s="801"/>
      <c r="AZ76" s="800"/>
      <c r="BA76" s="796"/>
      <c r="BB76" s="796"/>
      <c r="BC76" s="782"/>
      <c r="BD76" s="807"/>
      <c r="BE76" s="804"/>
      <c r="BF76" s="800"/>
      <c r="BG76" s="800"/>
    </row>
    <row r="77" spans="1:59"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486">
        <v>1938.1</v>
      </c>
      <c r="U77" s="344">
        <v>10253.629999999999</v>
      </c>
      <c r="V77" s="344">
        <v>33068.550000000003</v>
      </c>
      <c r="W77" s="344">
        <v>54115.040000000001</v>
      </c>
      <c r="X77" s="533">
        <v>41575.24</v>
      </c>
      <c r="Y77" s="533">
        <v>31966.91</v>
      </c>
      <c r="Z77" s="533">
        <v>30607.439999999999</v>
      </c>
      <c r="AA77" s="545">
        <v>11936.19</v>
      </c>
      <c r="AB77" s="545">
        <v>14237.28</v>
      </c>
      <c r="AC77" s="609">
        <v>3238.48</v>
      </c>
      <c r="AD77" s="545">
        <v>297.26</v>
      </c>
      <c r="AE77" s="571">
        <v>361.45</v>
      </c>
      <c r="AF77" s="571">
        <v>1281.24</v>
      </c>
      <c r="AG77" s="772">
        <v>0</v>
      </c>
      <c r="AH77" s="535"/>
      <c r="AI77" s="533"/>
      <c r="AJ77" s="340"/>
      <c r="AK77" s="340"/>
      <c r="AL77" s="340"/>
      <c r="AM77" s="340"/>
      <c r="AN77" s="340"/>
      <c r="AO77" s="340"/>
      <c r="AP77" s="347"/>
      <c r="AQ77" s="347"/>
      <c r="AR77" s="347"/>
      <c r="AS77" s="335"/>
      <c r="AT77" s="804"/>
      <c r="AU77" s="804"/>
      <c r="AV77" s="804"/>
      <c r="AW77" s="609"/>
      <c r="AX77" s="609"/>
      <c r="AY77" s="609"/>
      <c r="AZ77" s="609"/>
      <c r="BA77" s="796"/>
      <c r="BB77" s="796"/>
      <c r="BC77" s="782"/>
      <c r="BD77" s="807"/>
      <c r="BE77" s="804"/>
      <c r="BF77" s="800"/>
      <c r="BG77" s="800"/>
    </row>
    <row r="78" spans="1:59" x14ac:dyDescent="0.25">
      <c r="A78" s="35" t="s">
        <v>41</v>
      </c>
      <c r="B78" s="339">
        <f>SUM(B73:B77)</f>
        <v>445058.64999999997</v>
      </c>
      <c r="C78" s="339">
        <f t="shared" ref="C78:AS78" si="18">SUM(C73:C77)</f>
        <v>266478.07</v>
      </c>
      <c r="D78" s="339">
        <f t="shared" si="18"/>
        <v>136516.58000000002</v>
      </c>
      <c r="E78" s="339">
        <f t="shared" si="18"/>
        <v>80741.77</v>
      </c>
      <c r="F78" s="339">
        <f t="shared" si="18"/>
        <v>73816.51999999999</v>
      </c>
      <c r="G78" s="339">
        <f t="shared" si="18"/>
        <v>76470.400000000009</v>
      </c>
      <c r="H78" s="339">
        <f t="shared" si="18"/>
        <v>77954.47</v>
      </c>
      <c r="I78" s="339">
        <f t="shared" si="18"/>
        <v>145580.51999999999</v>
      </c>
      <c r="J78" s="339">
        <f t="shared" si="18"/>
        <v>279192.12</v>
      </c>
      <c r="K78" s="339">
        <f t="shared" si="18"/>
        <v>419189.99999999994</v>
      </c>
      <c r="L78" s="339">
        <f t="shared" si="18"/>
        <v>495445.48999999993</v>
      </c>
      <c r="M78" s="339">
        <f t="shared" si="18"/>
        <v>414566.84999999992</v>
      </c>
      <c r="N78" s="339">
        <f t="shared" si="18"/>
        <v>333624.81</v>
      </c>
      <c r="O78" s="339">
        <f t="shared" si="18"/>
        <v>262890.55000000005</v>
      </c>
      <c r="P78" s="339">
        <f t="shared" si="18"/>
        <v>122366.45</v>
      </c>
      <c r="Q78" s="339">
        <f t="shared" si="18"/>
        <v>82287.63</v>
      </c>
      <c r="R78" s="339">
        <f t="shared" si="18"/>
        <v>67909.789999999994</v>
      </c>
      <c r="S78" s="339">
        <f t="shared" si="18"/>
        <v>68007.239999999991</v>
      </c>
      <c r="T78" s="339">
        <f t="shared" si="18"/>
        <v>93532.849999999991</v>
      </c>
      <c r="U78" s="339">
        <f t="shared" si="18"/>
        <v>117326.11</v>
      </c>
      <c r="V78" s="339">
        <f t="shared" si="18"/>
        <v>257697.32999999996</v>
      </c>
      <c r="W78" s="339">
        <f t="shared" si="18"/>
        <v>448107.75999999995</v>
      </c>
      <c r="X78" s="339">
        <f t="shared" ref="X78:AE78" si="19">SUM(X73:X77)</f>
        <v>376063.08999999997</v>
      </c>
      <c r="Y78" s="339">
        <f t="shared" si="19"/>
        <v>408095.07999999996</v>
      </c>
      <c r="Z78" s="339">
        <f t="shared" si="19"/>
        <v>347466.6</v>
      </c>
      <c r="AA78" s="339">
        <f t="shared" si="19"/>
        <v>208269.08000000002</v>
      </c>
      <c r="AB78" s="339">
        <f t="shared" si="19"/>
        <v>108019.70999999999</v>
      </c>
      <c r="AC78" s="339">
        <f t="shared" si="19"/>
        <v>79219.409999999989</v>
      </c>
      <c r="AD78" s="339">
        <f t="shared" si="19"/>
        <v>76517.499999999985</v>
      </c>
      <c r="AE78" s="339">
        <f t="shared" si="19"/>
        <v>64331.929999999993</v>
      </c>
      <c r="AF78" s="339">
        <f t="shared" ref="AF78:AH78" si="20">SUM(AF73:AF77)</f>
        <v>69808.86</v>
      </c>
      <c r="AG78" s="339">
        <f t="shared" si="20"/>
        <v>97576.53</v>
      </c>
      <c r="AH78" s="339">
        <f t="shared" si="20"/>
        <v>344268.35</v>
      </c>
      <c r="AI78" s="791">
        <f t="shared" ref="AI78" si="21">SUM(AI73:AI77)</f>
        <v>474240.43999999994</v>
      </c>
      <c r="AJ78" s="339">
        <f t="shared" si="18"/>
        <v>0</v>
      </c>
      <c r="AK78" s="339">
        <f t="shared" si="18"/>
        <v>0</v>
      </c>
      <c r="AL78" s="339">
        <f t="shared" si="18"/>
        <v>0</v>
      </c>
      <c r="AM78" s="339">
        <f t="shared" si="18"/>
        <v>0</v>
      </c>
      <c r="AN78" s="339">
        <f t="shared" si="18"/>
        <v>0</v>
      </c>
      <c r="AO78" s="339">
        <f t="shared" si="18"/>
        <v>0</v>
      </c>
      <c r="AP78" s="339">
        <f t="shared" si="18"/>
        <v>0</v>
      </c>
      <c r="AQ78" s="339">
        <f t="shared" si="18"/>
        <v>0</v>
      </c>
      <c r="AR78" s="339">
        <f t="shared" si="18"/>
        <v>0</v>
      </c>
      <c r="AS78" s="339">
        <f t="shared" si="18"/>
        <v>0</v>
      </c>
      <c r="AT78" s="609"/>
      <c r="AU78" s="609"/>
      <c r="AV78" s="609"/>
      <c r="AW78" s="609"/>
      <c r="AX78" s="609"/>
      <c r="AY78" s="609"/>
      <c r="AZ78" s="609"/>
      <c r="BA78" s="609"/>
      <c r="BB78" s="609"/>
      <c r="BC78" s="609"/>
      <c r="BD78" s="609"/>
      <c r="BE78" s="787"/>
      <c r="BF78" s="800"/>
      <c r="BG78" s="800"/>
    </row>
    <row r="79" spans="1:59" x14ac:dyDescent="0.25">
      <c r="A79" s="42" t="s">
        <v>34</v>
      </c>
      <c r="B79" s="339"/>
      <c r="C79" s="340"/>
      <c r="D79" s="340"/>
      <c r="E79" s="340"/>
      <c r="F79" s="340"/>
      <c r="G79" s="340"/>
      <c r="H79" s="340"/>
      <c r="I79" s="340"/>
      <c r="J79" s="340"/>
      <c r="K79" s="342"/>
      <c r="L79" s="340"/>
      <c r="M79" s="340"/>
      <c r="N79" s="340"/>
      <c r="O79" s="340"/>
      <c r="P79" s="340"/>
      <c r="Q79" s="340"/>
      <c r="R79" s="340"/>
      <c r="S79" s="340"/>
      <c r="T79" s="486"/>
      <c r="U79" s="344"/>
      <c r="V79" s="344"/>
      <c r="W79" s="344"/>
      <c r="X79" s="533"/>
      <c r="Y79" s="533"/>
      <c r="Z79" s="500"/>
      <c r="AC79" s="2"/>
      <c r="AG79" s="772"/>
      <c r="AH79" s="535"/>
      <c r="AI79" s="533"/>
      <c r="AJ79" s="340"/>
      <c r="AK79" s="340"/>
      <c r="AL79" s="340"/>
      <c r="AM79" s="340"/>
      <c r="AN79" s="340"/>
      <c r="AO79" s="340"/>
      <c r="AP79" s="347"/>
      <c r="AQ79" s="545"/>
      <c r="AR79" s="545"/>
      <c r="AS79" s="545"/>
      <c r="AT79" s="804"/>
      <c r="AU79" s="804"/>
      <c r="AV79" s="796"/>
      <c r="AW79" s="800"/>
      <c r="AX79" s="800"/>
      <c r="AY79" s="801"/>
      <c r="AZ79" s="800"/>
      <c r="BA79" s="800"/>
      <c r="BB79" s="800"/>
      <c r="BC79" s="782"/>
      <c r="BD79" s="807"/>
      <c r="BE79" s="804"/>
      <c r="BF79" s="800"/>
      <c r="BG79" s="800"/>
    </row>
    <row r="80" spans="1:59"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486">
        <v>66041.929999999993</v>
      </c>
      <c r="U80" s="344">
        <v>79599.649999999994</v>
      </c>
      <c r="V80" s="344">
        <v>167766.9</v>
      </c>
      <c r="W80" s="344">
        <v>291304.71999999997</v>
      </c>
      <c r="X80" s="533">
        <v>253256.29</v>
      </c>
      <c r="Y80" s="533">
        <v>277329.28999999998</v>
      </c>
      <c r="Z80" s="533">
        <v>237118.31</v>
      </c>
      <c r="AA80" s="533">
        <v>146383.71</v>
      </c>
      <c r="AB80" s="533">
        <v>71337.87</v>
      </c>
      <c r="AC80" s="609">
        <v>58077.84</v>
      </c>
      <c r="AD80" s="533">
        <v>55990.71</v>
      </c>
      <c r="AE80" s="571">
        <v>47334.15</v>
      </c>
      <c r="AF80" s="768">
        <v>50591.7</v>
      </c>
      <c r="AG80" s="772">
        <v>67404.27</v>
      </c>
      <c r="AH80" s="533">
        <v>236095.46</v>
      </c>
      <c r="AI80" s="533">
        <v>320297.28999999998</v>
      </c>
      <c r="AJ80" s="340"/>
      <c r="AK80" s="340"/>
      <c r="AL80" s="340"/>
      <c r="AM80" s="340"/>
      <c r="AN80" s="340"/>
      <c r="AO80" s="340"/>
      <c r="AP80" s="340"/>
      <c r="AQ80" s="340"/>
      <c r="AR80" s="340"/>
      <c r="AS80" s="344"/>
      <c r="AT80" s="804"/>
      <c r="AU80" s="804"/>
      <c r="AV80" s="804"/>
      <c r="AW80" s="804"/>
      <c r="AX80" s="804"/>
      <c r="AY80" s="609"/>
      <c r="AZ80" s="804"/>
      <c r="BA80" s="796"/>
      <c r="BB80" s="820"/>
      <c r="BC80" s="782"/>
      <c r="BD80" s="804"/>
      <c r="BE80" s="804"/>
      <c r="BF80" s="800"/>
      <c r="BG80" s="800"/>
    </row>
    <row r="81" spans="1:59"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486">
        <v>3612.95</v>
      </c>
      <c r="U81" s="344">
        <v>4452.34</v>
      </c>
      <c r="V81" s="344">
        <v>9473.7999999999993</v>
      </c>
      <c r="W81" s="344">
        <v>17007.11</v>
      </c>
      <c r="X81" s="533">
        <v>13016.44</v>
      </c>
      <c r="Y81" s="533">
        <v>15108.74</v>
      </c>
      <c r="Z81" s="533">
        <v>16438.900000000001</v>
      </c>
      <c r="AA81" s="533">
        <v>9157.2000000000007</v>
      </c>
      <c r="AB81" s="533">
        <v>3524.43</v>
      </c>
      <c r="AC81" s="609">
        <v>2682.02</v>
      </c>
      <c r="AD81" s="533">
        <v>2658.89</v>
      </c>
      <c r="AE81" s="571">
        <v>2369.4499999999998</v>
      </c>
      <c r="AF81" s="571">
        <v>2411.52</v>
      </c>
      <c r="AG81" s="772">
        <v>3410.11</v>
      </c>
      <c r="AH81" s="533">
        <v>11665.52</v>
      </c>
      <c r="AI81" s="533">
        <v>16182.17</v>
      </c>
      <c r="AJ81" s="340"/>
      <c r="AK81" s="340"/>
      <c r="AL81" s="340"/>
      <c r="AM81" s="340"/>
      <c r="AN81" s="340"/>
      <c r="AO81" s="340"/>
      <c r="AP81" s="340"/>
      <c r="AQ81" s="340"/>
      <c r="AR81" s="340"/>
      <c r="AS81" s="344"/>
      <c r="AT81" s="804"/>
      <c r="AU81" s="804"/>
      <c r="AV81" s="804"/>
      <c r="AW81" s="804"/>
      <c r="AX81" s="804"/>
      <c r="AY81" s="609"/>
      <c r="AZ81" s="804"/>
      <c r="BA81" s="796"/>
      <c r="BB81" s="796"/>
      <c r="BC81" s="782"/>
      <c r="BD81" s="804"/>
      <c r="BE81" s="804"/>
      <c r="BF81" s="800"/>
      <c r="BG81" s="800"/>
    </row>
    <row r="82" spans="1:59"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486">
        <v>21939.87</v>
      </c>
      <c r="U82" s="344">
        <v>23020.49</v>
      </c>
      <c r="V82" s="344">
        <v>47388.08</v>
      </c>
      <c r="W82" s="344">
        <v>85680.89</v>
      </c>
      <c r="X82" s="533">
        <v>68215.12</v>
      </c>
      <c r="Y82" s="533">
        <v>83690.14</v>
      </c>
      <c r="Z82" s="533">
        <v>63301.95</v>
      </c>
      <c r="AA82" s="533">
        <v>40791.980000000003</v>
      </c>
      <c r="AB82" s="533">
        <v>18920.13</v>
      </c>
      <c r="AC82" s="609">
        <v>15221.07</v>
      </c>
      <c r="AD82" s="533">
        <v>17570.64</v>
      </c>
      <c r="AE82" s="571">
        <v>14266.88</v>
      </c>
      <c r="AF82" s="769">
        <v>15524.4</v>
      </c>
      <c r="AG82" s="772">
        <v>26762.15</v>
      </c>
      <c r="AH82" s="533">
        <v>96507.37</v>
      </c>
      <c r="AI82" s="533">
        <v>137760.98000000001</v>
      </c>
      <c r="AJ82" s="340"/>
      <c r="AK82" s="340"/>
      <c r="AL82" s="340"/>
      <c r="AM82" s="340"/>
      <c r="AN82" s="340"/>
      <c r="AO82" s="340"/>
      <c r="AP82" s="340"/>
      <c r="AQ82" s="340"/>
      <c r="AR82" s="340"/>
      <c r="AS82" s="344"/>
      <c r="AT82" s="804"/>
      <c r="AU82" s="804"/>
      <c r="AV82" s="804"/>
      <c r="AW82" s="804"/>
      <c r="AX82" s="804"/>
      <c r="AY82" s="609"/>
      <c r="AZ82" s="804"/>
      <c r="BA82" s="796"/>
      <c r="BB82" s="820"/>
      <c r="BC82" s="782"/>
      <c r="BD82" s="804"/>
      <c r="BE82" s="804"/>
      <c r="BF82" s="800"/>
      <c r="BG82" s="800"/>
    </row>
    <row r="83" spans="1:59" x14ac:dyDescent="0.25">
      <c r="A83" s="35" t="s">
        <v>39</v>
      </c>
      <c r="B83" s="339"/>
      <c r="C83" s="340"/>
      <c r="D83" s="340"/>
      <c r="E83" s="340"/>
      <c r="F83" s="340"/>
      <c r="G83" s="340"/>
      <c r="H83" s="340"/>
      <c r="I83" s="340"/>
      <c r="J83" s="340"/>
      <c r="K83" s="342"/>
      <c r="L83" s="340"/>
      <c r="M83" s="340"/>
      <c r="N83" s="340"/>
      <c r="O83" s="340"/>
      <c r="P83" s="340"/>
      <c r="Q83" s="340"/>
      <c r="R83" s="340"/>
      <c r="S83" s="340"/>
      <c r="T83" s="486"/>
      <c r="U83" s="344"/>
      <c r="V83" s="344"/>
      <c r="W83" s="344"/>
      <c r="X83" s="533"/>
      <c r="Y83" s="533"/>
      <c r="Z83" s="533"/>
      <c r="AC83" s="2"/>
      <c r="AE83" s="571"/>
      <c r="AF83" s="571"/>
      <c r="AG83" s="772"/>
      <c r="AH83" s="533"/>
      <c r="AJ83" s="340"/>
      <c r="AK83" s="340"/>
      <c r="AL83" s="340"/>
      <c r="AM83" s="340"/>
      <c r="AN83" s="340"/>
      <c r="AO83" s="340"/>
      <c r="AP83" s="340"/>
      <c r="AQ83" s="340"/>
      <c r="AR83" s="340"/>
      <c r="AS83" s="344"/>
      <c r="AT83" s="804"/>
      <c r="AU83" s="804"/>
      <c r="AV83" s="804"/>
      <c r="AW83" s="800"/>
      <c r="AX83" s="800"/>
      <c r="AY83" s="801"/>
      <c r="AZ83" s="800"/>
      <c r="BA83" s="796"/>
      <c r="BB83" s="796"/>
      <c r="BC83" s="782"/>
      <c r="BD83" s="804"/>
      <c r="BE83" s="800"/>
      <c r="BF83" s="800"/>
      <c r="BG83" s="800"/>
    </row>
    <row r="84" spans="1:59"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486">
        <v>1938.1</v>
      </c>
      <c r="U84" s="344">
        <v>10253.629999999999</v>
      </c>
      <c r="V84" s="344">
        <v>33068.550000000003</v>
      </c>
      <c r="W84" s="344">
        <v>54115.040000000001</v>
      </c>
      <c r="X84" s="533">
        <v>41575.24</v>
      </c>
      <c r="Y84" s="533">
        <v>31966.91</v>
      </c>
      <c r="Z84" s="533">
        <v>30607.439999999999</v>
      </c>
      <c r="AA84" s="533">
        <v>11936.19</v>
      </c>
      <c r="AB84" s="533">
        <v>14237.28</v>
      </c>
      <c r="AC84" s="609">
        <v>3238.48</v>
      </c>
      <c r="AD84" s="533">
        <v>297.26</v>
      </c>
      <c r="AE84" s="571">
        <v>361.45</v>
      </c>
      <c r="AF84" s="571">
        <v>1281.24</v>
      </c>
      <c r="AG84" s="772">
        <v>0</v>
      </c>
      <c r="AH84" s="535"/>
      <c r="AJ84" s="340"/>
      <c r="AK84" s="340"/>
      <c r="AL84" s="340"/>
      <c r="AM84" s="340"/>
      <c r="AN84" s="340"/>
      <c r="AO84" s="340"/>
      <c r="AP84" s="340"/>
      <c r="AQ84" s="340"/>
      <c r="AR84" s="340"/>
      <c r="AS84" s="344"/>
      <c r="AT84" s="804"/>
      <c r="AU84" s="804"/>
      <c r="AV84" s="804"/>
      <c r="AW84" s="804"/>
      <c r="AX84" s="804"/>
      <c r="AY84" s="609"/>
      <c r="AZ84" s="804"/>
      <c r="BA84" s="796"/>
      <c r="BB84" s="796"/>
      <c r="BC84" s="782"/>
      <c r="BD84" s="807"/>
      <c r="BE84" s="800"/>
      <c r="BF84" s="800"/>
      <c r="BG84" s="800"/>
    </row>
    <row r="85" spans="1:59"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55">
        <v>93532.85</v>
      </c>
      <c r="U85" s="355">
        <v>117326.11</v>
      </c>
      <c r="V85" s="355">
        <v>257697.33</v>
      </c>
      <c r="W85" s="355">
        <v>448107.76</v>
      </c>
      <c r="X85" s="355">
        <v>376063.09</v>
      </c>
      <c r="Y85" s="355">
        <f t="shared" ref="Y85:AH85" si="22">SUM(Y80:Y84)</f>
        <v>408095.07999999996</v>
      </c>
      <c r="Z85" s="355">
        <f t="shared" si="22"/>
        <v>347466.6</v>
      </c>
      <c r="AA85" s="355">
        <f t="shared" si="22"/>
        <v>208269.08000000002</v>
      </c>
      <c r="AB85" s="355">
        <f t="shared" si="22"/>
        <v>108019.70999999999</v>
      </c>
      <c r="AC85" s="339">
        <f t="shared" si="22"/>
        <v>79219.409999999989</v>
      </c>
      <c r="AD85" s="339">
        <f t="shared" si="22"/>
        <v>76517.499999999985</v>
      </c>
      <c r="AE85" s="339">
        <f t="shared" si="22"/>
        <v>64331.929999999993</v>
      </c>
      <c r="AF85" s="339">
        <f t="shared" si="22"/>
        <v>69808.86</v>
      </c>
      <c r="AG85" s="339">
        <f t="shared" si="22"/>
        <v>97576.53</v>
      </c>
      <c r="AH85" s="339">
        <f t="shared" si="22"/>
        <v>344268.35</v>
      </c>
      <c r="AI85" s="339">
        <f t="shared" ref="AI85" si="23">SUM(AI80:AI84)</f>
        <v>474240.43999999994</v>
      </c>
      <c r="AJ85" s="355"/>
      <c r="AK85" s="355"/>
      <c r="AL85" s="355"/>
      <c r="AM85" s="355"/>
      <c r="AN85" s="355"/>
      <c r="AO85" s="355"/>
      <c r="AP85" s="355"/>
      <c r="AQ85" s="355"/>
      <c r="AR85" s="355"/>
      <c r="AS85" s="360"/>
      <c r="AT85" s="609"/>
      <c r="AU85" s="609"/>
      <c r="AV85" s="609"/>
      <c r="AW85" s="609"/>
      <c r="AX85" s="609"/>
      <c r="AY85" s="609"/>
      <c r="AZ85" s="609"/>
      <c r="BA85" s="609"/>
      <c r="BB85" s="609"/>
      <c r="BC85" s="609"/>
      <c r="BD85" s="609"/>
      <c r="BE85" s="609"/>
      <c r="BF85" s="800"/>
      <c r="BG85" s="800"/>
    </row>
    <row r="86" spans="1:59" x14ac:dyDescent="0.25">
      <c r="A86" s="42" t="s">
        <v>45</v>
      </c>
      <c r="B86" s="158"/>
      <c r="C86" s="93"/>
      <c r="D86" s="93"/>
      <c r="E86" s="93"/>
      <c r="F86" s="93"/>
      <c r="G86" s="93"/>
      <c r="H86" s="93"/>
      <c r="I86" s="93"/>
      <c r="J86" s="93"/>
      <c r="K86" s="168"/>
      <c r="L86" s="93"/>
      <c r="M86" s="93"/>
      <c r="N86" s="93"/>
      <c r="O86" s="93"/>
      <c r="P86" s="93"/>
      <c r="Q86" s="93"/>
      <c r="R86" s="93"/>
      <c r="S86" s="93"/>
      <c r="T86" s="181"/>
      <c r="U86" s="323"/>
      <c r="V86" s="323"/>
      <c r="W86" s="323"/>
      <c r="AJ86" s="93"/>
      <c r="AK86" s="93"/>
      <c r="AL86" s="93"/>
      <c r="AM86" s="93"/>
      <c r="AN86" s="93"/>
      <c r="AO86" s="93"/>
      <c r="AP86" s="92"/>
      <c r="AQ86" s="544"/>
      <c r="AR86" s="544"/>
      <c r="AS86" s="544"/>
      <c r="AT86" s="804"/>
      <c r="AU86" s="804"/>
      <c r="AV86" s="796"/>
      <c r="AW86" s="800"/>
      <c r="AX86" s="800"/>
      <c r="AY86" s="801"/>
      <c r="AZ86" s="800"/>
      <c r="BA86" s="800"/>
      <c r="BB86" s="800"/>
      <c r="BC86" s="782"/>
      <c r="BD86" s="800"/>
      <c r="BE86" s="800"/>
      <c r="BF86" s="800"/>
      <c r="BG86" s="800"/>
    </row>
    <row r="87" spans="1:59" x14ac:dyDescent="0.25">
      <c r="A87" s="35" t="s">
        <v>36</v>
      </c>
      <c r="B87" s="190"/>
      <c r="C87" s="191"/>
      <c r="D87" s="191"/>
      <c r="E87" s="191"/>
      <c r="F87" s="191"/>
      <c r="G87" s="191"/>
      <c r="H87" s="191"/>
      <c r="I87" s="191"/>
      <c r="J87" s="191"/>
      <c r="K87" s="192"/>
      <c r="L87" s="191"/>
      <c r="M87" s="191"/>
      <c r="N87" s="191"/>
      <c r="O87" s="191"/>
      <c r="P87" s="191"/>
      <c r="Q87" s="191"/>
      <c r="R87" s="191"/>
      <c r="S87" s="191"/>
      <c r="T87" s="193"/>
      <c r="U87" s="324"/>
      <c r="V87" s="324"/>
      <c r="W87" s="324"/>
      <c r="X87" s="533"/>
      <c r="Y87" s="533"/>
      <c r="Z87" s="500"/>
      <c r="AC87" s="2"/>
      <c r="AG87" s="772"/>
      <c r="AJ87" s="83"/>
      <c r="AK87" s="83"/>
      <c r="AL87" s="83"/>
      <c r="AM87" s="83"/>
      <c r="AN87" s="83"/>
      <c r="AO87" s="83"/>
      <c r="AP87" s="82"/>
      <c r="AQ87" s="82"/>
      <c r="AR87" s="82"/>
      <c r="AS87" s="256"/>
      <c r="AT87" s="804"/>
      <c r="AU87" s="804"/>
      <c r="AV87" s="796"/>
      <c r="AW87" s="800"/>
      <c r="AX87" s="800"/>
      <c r="AY87" s="801"/>
      <c r="AZ87" s="800"/>
      <c r="BA87" s="800"/>
      <c r="BB87" s="800"/>
      <c r="BC87" s="782"/>
      <c r="BD87" s="800"/>
      <c r="BE87" s="800"/>
      <c r="BF87" s="800"/>
      <c r="BG87" s="800"/>
    </row>
    <row r="88" spans="1:59" x14ac:dyDescent="0.25">
      <c r="A88" s="35" t="s">
        <v>37</v>
      </c>
      <c r="B88" s="190"/>
      <c r="C88" s="191"/>
      <c r="D88" s="191"/>
      <c r="E88" s="191"/>
      <c r="F88" s="191"/>
      <c r="G88" s="191"/>
      <c r="H88" s="191"/>
      <c r="I88" s="191"/>
      <c r="J88" s="191"/>
      <c r="K88" s="192"/>
      <c r="L88" s="191"/>
      <c r="M88" s="191"/>
      <c r="N88" s="191"/>
      <c r="O88" s="191"/>
      <c r="P88" s="191"/>
      <c r="Q88" s="191"/>
      <c r="R88" s="191"/>
      <c r="S88" s="191"/>
      <c r="T88" s="193"/>
      <c r="U88" s="324"/>
      <c r="V88" s="324"/>
      <c r="W88" s="324"/>
      <c r="X88" s="533"/>
      <c r="Y88" s="533"/>
      <c r="Z88" s="500"/>
      <c r="AC88" s="2"/>
      <c r="AG88" s="772"/>
      <c r="AJ88" s="83"/>
      <c r="AK88" s="83"/>
      <c r="AL88" s="83"/>
      <c r="AM88" s="83"/>
      <c r="AN88" s="83"/>
      <c r="AO88" s="83"/>
      <c r="AP88" s="82"/>
      <c r="AQ88" s="82"/>
      <c r="AR88" s="82"/>
      <c r="AS88" s="256"/>
      <c r="AT88" s="804"/>
      <c r="AU88" s="804"/>
      <c r="AV88" s="796"/>
      <c r="AW88" s="800"/>
      <c r="AX88" s="800"/>
      <c r="AY88" s="801"/>
      <c r="AZ88" s="800"/>
      <c r="BA88" s="800"/>
      <c r="BB88" s="800"/>
      <c r="BC88" s="782"/>
      <c r="BD88" s="800"/>
      <c r="BE88" s="800"/>
      <c r="BF88" s="800"/>
      <c r="BG88" s="800"/>
    </row>
    <row r="89" spans="1:59" x14ac:dyDescent="0.25">
      <c r="A89" s="35" t="s">
        <v>38</v>
      </c>
      <c r="B89" s="190"/>
      <c r="C89" s="191"/>
      <c r="D89" s="191"/>
      <c r="E89" s="191"/>
      <c r="F89" s="191"/>
      <c r="G89" s="191"/>
      <c r="H89" s="191"/>
      <c r="I89" s="191"/>
      <c r="J89" s="191"/>
      <c r="K89" s="192"/>
      <c r="L89" s="191"/>
      <c r="M89" s="191"/>
      <c r="N89" s="191"/>
      <c r="O89" s="191"/>
      <c r="P89" s="191"/>
      <c r="Q89" s="191"/>
      <c r="R89" s="191"/>
      <c r="S89" s="191"/>
      <c r="T89" s="193"/>
      <c r="U89" s="324"/>
      <c r="V89" s="324"/>
      <c r="W89" s="324"/>
      <c r="X89" s="533"/>
      <c r="Y89" s="533"/>
      <c r="Z89" s="500"/>
      <c r="AC89" s="2"/>
      <c r="AG89" s="772"/>
      <c r="AJ89" s="83"/>
      <c r="AK89" s="83"/>
      <c r="AL89" s="83"/>
      <c r="AM89" s="83"/>
      <c r="AN89" s="83"/>
      <c r="AO89" s="83"/>
      <c r="AP89" s="82"/>
      <c r="AQ89" s="82"/>
      <c r="AR89" s="82"/>
      <c r="AS89" s="256"/>
      <c r="AT89" s="804"/>
      <c r="AU89" s="804"/>
      <c r="AV89" s="796"/>
      <c r="AW89" s="800"/>
      <c r="AX89" s="800"/>
      <c r="AY89" s="801"/>
      <c r="AZ89" s="800"/>
      <c r="BA89" s="800"/>
      <c r="BB89" s="800"/>
      <c r="BC89" s="782"/>
      <c r="BD89" s="800"/>
      <c r="BE89" s="800"/>
      <c r="BF89" s="800"/>
      <c r="BG89" s="800"/>
    </row>
    <row r="90" spans="1:59" x14ac:dyDescent="0.25">
      <c r="A90" s="35" t="s">
        <v>39</v>
      </c>
      <c r="B90" s="190"/>
      <c r="C90" s="191"/>
      <c r="D90" s="191"/>
      <c r="E90" s="191"/>
      <c r="F90" s="191"/>
      <c r="G90" s="191"/>
      <c r="H90" s="191"/>
      <c r="I90" s="191"/>
      <c r="J90" s="191"/>
      <c r="K90" s="192"/>
      <c r="L90" s="191"/>
      <c r="M90" s="191"/>
      <c r="N90" s="191"/>
      <c r="O90" s="191"/>
      <c r="P90" s="191"/>
      <c r="Q90" s="191"/>
      <c r="R90" s="191"/>
      <c r="S90" s="191"/>
      <c r="T90" s="193"/>
      <c r="U90" s="324"/>
      <c r="V90" s="324"/>
      <c r="W90" s="324"/>
      <c r="X90" s="533"/>
      <c r="Y90" s="533"/>
      <c r="Z90" s="500"/>
      <c r="AC90" s="2"/>
      <c r="AG90" s="772"/>
      <c r="AJ90" s="83"/>
      <c r="AK90" s="83"/>
      <c r="AL90" s="83"/>
      <c r="AM90" s="83"/>
      <c r="AN90" s="83"/>
      <c r="AO90" s="83"/>
      <c r="AP90" s="82"/>
      <c r="AQ90" s="82"/>
      <c r="AR90" s="82"/>
      <c r="AS90" s="256"/>
      <c r="AT90" s="804"/>
      <c r="AU90" s="804"/>
      <c r="AV90" s="796"/>
      <c r="AW90" s="800"/>
      <c r="AX90" s="800"/>
      <c r="AY90" s="801"/>
      <c r="AZ90" s="800"/>
      <c r="BA90" s="800"/>
      <c r="BB90" s="800"/>
      <c r="BC90" s="782"/>
      <c r="BD90" s="800"/>
      <c r="BE90" s="800"/>
      <c r="BF90" s="800"/>
      <c r="BG90" s="800"/>
    </row>
    <row r="91" spans="1:59" x14ac:dyDescent="0.25">
      <c r="A91" s="35" t="s">
        <v>40</v>
      </c>
      <c r="B91" s="190"/>
      <c r="C91" s="191"/>
      <c r="D91" s="191"/>
      <c r="E91" s="191"/>
      <c r="F91" s="191"/>
      <c r="G91" s="191"/>
      <c r="H91" s="191"/>
      <c r="I91" s="191"/>
      <c r="J91" s="191"/>
      <c r="K91" s="192"/>
      <c r="L91" s="191"/>
      <c r="M91" s="191"/>
      <c r="N91" s="191"/>
      <c r="O91" s="191"/>
      <c r="P91" s="191"/>
      <c r="Q91" s="191"/>
      <c r="R91" s="191"/>
      <c r="S91" s="191"/>
      <c r="T91" s="193"/>
      <c r="U91" s="324"/>
      <c r="V91" s="324"/>
      <c r="W91" s="324"/>
      <c r="X91" s="533"/>
      <c r="Y91" s="533"/>
      <c r="Z91" s="500"/>
      <c r="AC91" s="2"/>
      <c r="AG91" s="772"/>
      <c r="AJ91" s="83"/>
      <c r="AK91" s="83"/>
      <c r="AL91" s="83"/>
      <c r="AM91" s="83"/>
      <c r="AN91" s="83"/>
      <c r="AO91" s="83"/>
      <c r="AP91" s="82"/>
      <c r="AQ91" s="82"/>
      <c r="AR91" s="82"/>
      <c r="AS91" s="256"/>
      <c r="AT91" s="804"/>
      <c r="AU91" s="804"/>
      <c r="AV91" s="796"/>
      <c r="AW91" s="800"/>
      <c r="AX91" s="800"/>
      <c r="AY91" s="801"/>
      <c r="AZ91" s="800"/>
      <c r="BA91" s="800"/>
      <c r="BB91" s="800"/>
      <c r="BC91" s="782"/>
      <c r="BD91" s="800"/>
      <c r="BE91" s="800"/>
      <c r="BF91" s="800"/>
      <c r="BG91" s="800"/>
    </row>
    <row r="92" spans="1:59" x14ac:dyDescent="0.25">
      <c r="A92" s="35" t="s">
        <v>41</v>
      </c>
      <c r="B92" s="156"/>
      <c r="C92" s="191"/>
      <c r="D92" s="191"/>
      <c r="E92" s="191"/>
      <c r="F92" s="191"/>
      <c r="G92" s="191"/>
      <c r="H92" s="191"/>
      <c r="I92" s="191"/>
      <c r="J92" s="191"/>
      <c r="K92" s="192"/>
      <c r="L92" s="191"/>
      <c r="M92" s="191"/>
      <c r="N92" s="191"/>
      <c r="O92" s="191"/>
      <c r="P92" s="191"/>
      <c r="Q92" s="191"/>
      <c r="R92" s="191"/>
      <c r="S92" s="191"/>
      <c r="T92" s="193"/>
      <c r="U92" s="324"/>
      <c r="V92" s="324"/>
      <c r="W92" s="324"/>
      <c r="X92" s="533"/>
      <c r="Y92" s="533"/>
      <c r="Z92" s="500"/>
      <c r="AC92" s="2"/>
      <c r="AG92" s="772"/>
      <c r="AJ92" s="191"/>
      <c r="AK92" s="191"/>
      <c r="AL92" s="191"/>
      <c r="AM92" s="191"/>
      <c r="AN92" s="191"/>
      <c r="AO92" s="191"/>
      <c r="AP92" s="194"/>
      <c r="AQ92" s="82"/>
      <c r="AR92" s="82"/>
      <c r="AS92" s="256"/>
      <c r="AT92" s="804"/>
      <c r="AU92" s="804"/>
      <c r="AV92" s="796"/>
      <c r="AW92" s="800"/>
      <c r="AX92" s="800"/>
      <c r="AY92" s="801"/>
      <c r="AZ92" s="800"/>
      <c r="BA92" s="800"/>
      <c r="BB92" s="800"/>
      <c r="BC92" s="782"/>
      <c r="BD92" s="800"/>
      <c r="BE92" s="800"/>
      <c r="BF92" s="800"/>
      <c r="BG92" s="800"/>
    </row>
    <row r="93" spans="1:59" x14ac:dyDescent="0.25">
      <c r="A93" s="43" t="s">
        <v>43</v>
      </c>
      <c r="B93" s="90"/>
      <c r="C93" s="91"/>
      <c r="D93" s="91"/>
      <c r="E93" s="91"/>
      <c r="F93" s="91"/>
      <c r="G93" s="91"/>
      <c r="H93" s="91"/>
      <c r="I93" s="91"/>
      <c r="J93" s="91"/>
      <c r="K93" s="92"/>
      <c r="L93" s="93"/>
      <c r="M93" s="91"/>
      <c r="N93" s="93"/>
      <c r="O93" s="91"/>
      <c r="P93" s="91"/>
      <c r="Q93" s="91"/>
      <c r="R93" s="91"/>
      <c r="S93" s="91"/>
      <c r="T93" s="182"/>
      <c r="U93" s="323"/>
      <c r="V93" s="323"/>
      <c r="W93" s="323"/>
      <c r="X93" s="533"/>
      <c r="Y93" s="533"/>
      <c r="Z93" s="500"/>
      <c r="AC93" s="2"/>
      <c r="AG93" s="772"/>
      <c r="AJ93" s="85"/>
      <c r="AK93" s="94"/>
      <c r="AL93" s="546"/>
      <c r="AM93" s="546"/>
      <c r="AN93" s="546"/>
      <c r="AO93" s="546"/>
      <c r="AP93" s="547"/>
      <c r="AQ93" s="500"/>
      <c r="AR93" s="500"/>
      <c r="AS93" s="500"/>
      <c r="AT93" s="804"/>
      <c r="AU93" s="804"/>
      <c r="AV93" s="796"/>
      <c r="AW93" s="800"/>
      <c r="AX93" s="800"/>
      <c r="AY93" s="801"/>
      <c r="AZ93" s="800"/>
      <c r="BA93" s="800"/>
      <c r="BB93" s="800"/>
      <c r="BC93" s="782"/>
      <c r="BD93" s="800"/>
      <c r="BE93" s="800"/>
      <c r="BF93" s="800"/>
      <c r="BG93" s="800"/>
    </row>
    <row r="94" spans="1:59"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486">
        <v>66041.929999999993</v>
      </c>
      <c r="U94" s="344">
        <v>79599.649999999994</v>
      </c>
      <c r="V94" s="344">
        <v>167766.9</v>
      </c>
      <c r="W94" s="344">
        <v>291304.71999999997</v>
      </c>
      <c r="X94" s="533">
        <v>253256.29</v>
      </c>
      <c r="Y94" s="533">
        <v>277329.28999999998</v>
      </c>
      <c r="Z94" s="533">
        <v>237118.31</v>
      </c>
      <c r="AA94" s="533">
        <v>146383.71</v>
      </c>
      <c r="AB94" s="533">
        <v>71337.87</v>
      </c>
      <c r="AC94" s="609">
        <v>58077.84</v>
      </c>
      <c r="AD94" s="533">
        <v>55990.71</v>
      </c>
      <c r="AE94" s="571">
        <v>47334.15</v>
      </c>
      <c r="AF94" s="768">
        <v>50591.7</v>
      </c>
      <c r="AG94" s="772">
        <v>67404.27</v>
      </c>
      <c r="AH94" s="533">
        <v>236095.46</v>
      </c>
      <c r="AI94" s="533">
        <v>320297.28999999998</v>
      </c>
      <c r="AJ94" s="89"/>
      <c r="AK94" s="89"/>
      <c r="AL94" s="89"/>
      <c r="AM94" s="89"/>
      <c r="AN94" s="89"/>
      <c r="AO94" s="89"/>
      <c r="AP94" s="88"/>
      <c r="AQ94" s="88"/>
      <c r="AR94" s="88"/>
      <c r="AS94" s="259"/>
      <c r="AT94" s="804"/>
      <c r="AU94" s="804"/>
      <c r="AV94" s="804"/>
      <c r="AW94" s="804"/>
      <c r="AX94" s="804"/>
      <c r="AY94" s="609"/>
      <c r="AZ94" s="804"/>
      <c r="BA94" s="796"/>
      <c r="BB94" s="820"/>
      <c r="BC94" s="782"/>
      <c r="BD94" s="804"/>
      <c r="BE94" s="804"/>
      <c r="BF94" s="800"/>
      <c r="BG94" s="800"/>
    </row>
    <row r="95" spans="1:59"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486">
        <v>3612.95</v>
      </c>
      <c r="U95" s="344">
        <v>4452.34</v>
      </c>
      <c r="V95" s="344">
        <v>9473.7999999999993</v>
      </c>
      <c r="W95" s="344">
        <v>17007.11</v>
      </c>
      <c r="X95" s="533">
        <v>13016.44</v>
      </c>
      <c r="Y95" s="533">
        <v>15108.74</v>
      </c>
      <c r="Z95" s="533">
        <v>16438.900000000001</v>
      </c>
      <c r="AA95" s="533">
        <v>9157.2000000000007</v>
      </c>
      <c r="AB95" s="533">
        <v>3524.43</v>
      </c>
      <c r="AC95" s="609">
        <v>2682.02</v>
      </c>
      <c r="AD95" s="533">
        <v>2658.89</v>
      </c>
      <c r="AE95" s="571">
        <v>2369.4499999999998</v>
      </c>
      <c r="AF95" s="571">
        <v>2411.52</v>
      </c>
      <c r="AG95" s="772">
        <v>3410.11</v>
      </c>
      <c r="AH95" s="533">
        <v>11665.52</v>
      </c>
      <c r="AI95" s="533">
        <v>16182.17</v>
      </c>
      <c r="AJ95" s="89"/>
      <c r="AK95" s="89"/>
      <c r="AL95" s="89"/>
      <c r="AM95" s="89"/>
      <c r="AN95" s="89"/>
      <c r="AO95" s="89"/>
      <c r="AP95" s="88"/>
      <c r="AQ95" s="88"/>
      <c r="AR95" s="88"/>
      <c r="AS95" s="259"/>
      <c r="AT95" s="804"/>
      <c r="AU95" s="804"/>
      <c r="AV95" s="804"/>
      <c r="AW95" s="804"/>
      <c r="AX95" s="804"/>
      <c r="AY95" s="609"/>
      <c r="AZ95" s="804"/>
      <c r="BA95" s="796"/>
      <c r="BB95" s="796"/>
      <c r="BC95" s="782"/>
      <c r="BD95" s="804"/>
      <c r="BE95" s="804"/>
      <c r="BF95" s="800"/>
      <c r="BG95" s="800"/>
    </row>
    <row r="96" spans="1:59"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486">
        <v>21939.87</v>
      </c>
      <c r="U96" s="344">
        <v>23020.49</v>
      </c>
      <c r="V96" s="344">
        <v>47388.08</v>
      </c>
      <c r="W96" s="344">
        <v>85680.89</v>
      </c>
      <c r="X96" s="533">
        <v>68215.12</v>
      </c>
      <c r="Y96" s="533">
        <v>83690.14</v>
      </c>
      <c r="Z96" s="533">
        <v>63301.95</v>
      </c>
      <c r="AA96" s="533">
        <v>40791.980000000003</v>
      </c>
      <c r="AB96" s="533">
        <v>18920.13</v>
      </c>
      <c r="AC96" s="609">
        <v>15221.07</v>
      </c>
      <c r="AD96" s="533">
        <v>17570.64</v>
      </c>
      <c r="AE96" s="571">
        <v>14266.88</v>
      </c>
      <c r="AF96" s="769">
        <v>15524.4</v>
      </c>
      <c r="AG96" s="772">
        <v>26762.15</v>
      </c>
      <c r="AH96" s="533">
        <v>96507.37</v>
      </c>
      <c r="AI96" s="533">
        <v>137760.98000000001</v>
      </c>
      <c r="AJ96" s="89"/>
      <c r="AK96" s="89"/>
      <c r="AL96" s="89"/>
      <c r="AM96" s="89"/>
      <c r="AN96" s="89"/>
      <c r="AO96" s="89"/>
      <c r="AP96" s="88"/>
      <c r="AQ96" s="88"/>
      <c r="AR96" s="88"/>
      <c r="AS96" s="259"/>
      <c r="AT96" s="804"/>
      <c r="AU96" s="804"/>
      <c r="AV96" s="804"/>
      <c r="AW96" s="804"/>
      <c r="AX96" s="804"/>
      <c r="AY96" s="609"/>
      <c r="AZ96" s="804"/>
      <c r="BA96" s="796"/>
      <c r="BB96" s="820"/>
      <c r="BC96" s="782"/>
      <c r="BD96" s="804"/>
      <c r="BE96" s="804"/>
      <c r="BF96" s="800"/>
      <c r="BG96" s="800"/>
    </row>
    <row r="97" spans="1:59" x14ac:dyDescent="0.25">
      <c r="A97" s="35" t="s">
        <v>39</v>
      </c>
      <c r="B97" s="339"/>
      <c r="C97" s="340"/>
      <c r="D97" s="340"/>
      <c r="E97" s="340"/>
      <c r="F97" s="340"/>
      <c r="G97" s="340"/>
      <c r="H97" s="340"/>
      <c r="I97" s="340"/>
      <c r="J97" s="340"/>
      <c r="K97" s="342"/>
      <c r="L97" s="340"/>
      <c r="M97" s="340"/>
      <c r="N97" s="340"/>
      <c r="O97" s="340"/>
      <c r="P97" s="340"/>
      <c r="Q97" s="340"/>
      <c r="R97" s="340"/>
      <c r="S97" s="340"/>
      <c r="T97" s="486"/>
      <c r="U97" s="344"/>
      <c r="V97" s="344"/>
      <c r="W97" s="344"/>
      <c r="X97" s="533"/>
      <c r="Y97" s="533"/>
      <c r="Z97" s="500"/>
      <c r="AC97" s="2"/>
      <c r="AE97" s="571"/>
      <c r="AF97" s="571"/>
      <c r="AG97" s="772"/>
      <c r="AH97" s="535"/>
      <c r="AJ97" s="89"/>
      <c r="AK97" s="89"/>
      <c r="AL97" s="89"/>
      <c r="AM97" s="89"/>
      <c r="AN97" s="89"/>
      <c r="AO97" s="89"/>
      <c r="AP97" s="88"/>
      <c r="AQ97" s="88"/>
      <c r="AR97" s="88"/>
      <c r="AS97" s="259"/>
      <c r="AT97" s="804"/>
      <c r="AU97" s="804"/>
      <c r="AV97" s="796"/>
      <c r="AW97" s="800"/>
      <c r="AX97" s="800"/>
      <c r="AY97" s="801"/>
      <c r="AZ97" s="800"/>
      <c r="BA97" s="796"/>
      <c r="BB97" s="796"/>
      <c r="BC97" s="782"/>
      <c r="BD97" s="807"/>
      <c r="BE97" s="800"/>
      <c r="BF97" s="800"/>
      <c r="BG97" s="800"/>
    </row>
    <row r="98" spans="1:59"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486">
        <v>1938.1</v>
      </c>
      <c r="U98" s="344">
        <v>10253.629999999999</v>
      </c>
      <c r="V98" s="344">
        <v>33068.550000000003</v>
      </c>
      <c r="W98" s="344">
        <v>54115.040000000001</v>
      </c>
      <c r="X98" s="533">
        <v>41575.24</v>
      </c>
      <c r="Y98" s="533">
        <v>31966.91</v>
      </c>
      <c r="Z98" s="533">
        <v>30607.439999999999</v>
      </c>
      <c r="AA98" s="533">
        <v>11936.19</v>
      </c>
      <c r="AB98" s="533">
        <v>14237.28</v>
      </c>
      <c r="AC98" s="609">
        <v>3238.48</v>
      </c>
      <c r="AD98" s="533">
        <v>297.26</v>
      </c>
      <c r="AE98" s="571">
        <v>361.45</v>
      </c>
      <c r="AF98" s="571">
        <v>1281.24</v>
      </c>
      <c r="AG98" s="772">
        <v>0</v>
      </c>
      <c r="AH98" s="535"/>
      <c r="AJ98" s="89"/>
      <c r="AK98" s="89"/>
      <c r="AL98" s="89"/>
      <c r="AM98" s="89"/>
      <c r="AN98" s="89"/>
      <c r="AO98" s="89"/>
      <c r="AP98" s="88"/>
      <c r="AQ98" s="88"/>
      <c r="AR98" s="88"/>
      <c r="AS98" s="259"/>
      <c r="AT98" s="804"/>
      <c r="AU98" s="804"/>
      <c r="AV98" s="804"/>
      <c r="AW98" s="804"/>
      <c r="AX98" s="804"/>
      <c r="AY98" s="609"/>
      <c r="AZ98" s="804"/>
      <c r="BA98" s="796"/>
      <c r="BB98" s="796"/>
      <c r="BC98" s="782"/>
      <c r="BD98" s="807"/>
      <c r="BE98" s="800"/>
      <c r="BF98" s="800"/>
      <c r="BG98" s="800"/>
    </row>
    <row r="99" spans="1:59"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55">
        <v>93532.85</v>
      </c>
      <c r="U99" s="355">
        <v>117326.11</v>
      </c>
      <c r="V99" s="355">
        <v>257697.33</v>
      </c>
      <c r="W99" s="355">
        <v>448107.76</v>
      </c>
      <c r="X99" s="533">
        <v>376063.09</v>
      </c>
      <c r="Y99" s="533">
        <f t="shared" ref="Y99:AH99" si="24">SUM(Y94:Y98)</f>
        <v>408095.07999999996</v>
      </c>
      <c r="Z99" s="533">
        <f t="shared" si="24"/>
        <v>347466.6</v>
      </c>
      <c r="AA99" s="533">
        <f t="shared" si="24"/>
        <v>208269.08000000002</v>
      </c>
      <c r="AB99" s="533">
        <f t="shared" si="24"/>
        <v>108019.70999999999</v>
      </c>
      <c r="AC99" s="339">
        <f t="shared" si="24"/>
        <v>79219.409999999989</v>
      </c>
      <c r="AD99" s="339">
        <f t="shared" si="24"/>
        <v>76517.499999999985</v>
      </c>
      <c r="AE99" s="339">
        <f t="shared" si="24"/>
        <v>64331.929999999993</v>
      </c>
      <c r="AF99" s="339">
        <f t="shared" si="24"/>
        <v>69808.86</v>
      </c>
      <c r="AG99" s="339">
        <f t="shared" si="24"/>
        <v>97576.53</v>
      </c>
      <c r="AH99" s="339">
        <f t="shared" si="24"/>
        <v>344268.35</v>
      </c>
      <c r="AI99" s="535">
        <f>SUM(AI94:AI97)</f>
        <v>474240.43999999994</v>
      </c>
      <c r="AJ99" s="81"/>
      <c r="AK99" s="81"/>
      <c r="AL99" s="81"/>
      <c r="AM99" s="81"/>
      <c r="AN99" s="81"/>
      <c r="AO99" s="81"/>
      <c r="AP99" s="80"/>
      <c r="AQ99" s="80"/>
      <c r="AR99" s="80"/>
      <c r="AS99" s="263"/>
      <c r="AT99" s="804"/>
      <c r="AU99" s="804"/>
      <c r="AV99" s="804"/>
      <c r="AW99" s="804"/>
      <c r="AX99" s="804"/>
      <c r="AY99" s="609"/>
      <c r="AZ99" s="609"/>
      <c r="BA99" s="609"/>
      <c r="BB99" s="609"/>
      <c r="BC99" s="609"/>
      <c r="BD99" s="609"/>
      <c r="BE99" s="807"/>
      <c r="BF99" s="800"/>
      <c r="BG99" s="800"/>
    </row>
    <row r="100" spans="1:59"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183"/>
      <c r="U100" s="532"/>
      <c r="V100" s="532"/>
      <c r="W100" s="532"/>
      <c r="X100" s="533"/>
      <c r="Y100" s="533"/>
      <c r="Z100" s="500"/>
      <c r="AC100" s="2"/>
      <c r="AG100" s="772"/>
      <c r="AH100" s="535"/>
      <c r="AJ100" s="169"/>
      <c r="AK100" s="105"/>
      <c r="AL100" s="548"/>
      <c r="AM100" s="548"/>
      <c r="AN100" s="548"/>
      <c r="AO100" s="548"/>
      <c r="AP100" s="549"/>
      <c r="AQ100" s="539"/>
      <c r="AR100" s="539"/>
      <c r="AS100" s="539"/>
      <c r="AT100" s="804"/>
      <c r="AU100" s="804"/>
      <c r="AV100" s="796"/>
      <c r="AW100" s="800"/>
      <c r="AX100" s="800"/>
      <c r="AY100" s="801"/>
      <c r="AZ100" s="800"/>
      <c r="BA100" s="800"/>
      <c r="BB100" s="800"/>
      <c r="BC100" s="782"/>
      <c r="BD100" s="807"/>
      <c r="BE100" s="800"/>
      <c r="BF100" s="800"/>
      <c r="BG100" s="800"/>
    </row>
    <row r="101" spans="1:59" s="53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550">
        <v>72072.56</v>
      </c>
      <c r="U101" s="360">
        <v>78692.86</v>
      </c>
      <c r="V101" s="360">
        <v>86940.39</v>
      </c>
      <c r="W101" s="360">
        <v>155853.99</v>
      </c>
      <c r="X101" s="533">
        <v>241753.86</v>
      </c>
      <c r="Y101" s="533">
        <v>178475.53</v>
      </c>
      <c r="Z101" s="533">
        <v>257187.79</v>
      </c>
      <c r="AA101" s="535">
        <v>224881.08</v>
      </c>
      <c r="AB101" s="535">
        <v>164221.64000000001</v>
      </c>
      <c r="AC101" s="610">
        <v>117637.54</v>
      </c>
      <c r="AD101" s="761">
        <v>86382.5</v>
      </c>
      <c r="AE101" s="535">
        <v>74683.850000000006</v>
      </c>
      <c r="AF101" s="535">
        <v>75638.100000000006</v>
      </c>
      <c r="AG101" s="777">
        <v>63240.51</v>
      </c>
      <c r="AH101" s="533">
        <v>72445.06</v>
      </c>
      <c r="AI101" s="533">
        <v>204085.95</v>
      </c>
      <c r="AJ101" s="353"/>
      <c r="AK101" s="353"/>
      <c r="AL101" s="353"/>
      <c r="AM101" s="353"/>
      <c r="AN101" s="353"/>
      <c r="AO101" s="353"/>
      <c r="AP101" s="359"/>
      <c r="AQ101" s="359"/>
      <c r="AR101" s="359"/>
      <c r="AS101" s="795"/>
      <c r="AT101" s="804"/>
      <c r="AU101" s="804"/>
      <c r="AV101" s="804"/>
      <c r="AW101" s="807"/>
      <c r="AX101" s="807"/>
      <c r="AY101" s="822"/>
      <c r="AZ101" s="823"/>
      <c r="BA101" s="807"/>
      <c r="BB101" s="807"/>
      <c r="BC101" s="824"/>
      <c r="BD101" s="804"/>
      <c r="BE101" s="804"/>
      <c r="BF101" s="807"/>
      <c r="BG101" s="807"/>
    </row>
    <row r="102" spans="1:59" s="53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550">
        <v>3407.25</v>
      </c>
      <c r="U102" s="360">
        <v>2896.3</v>
      </c>
      <c r="V102" s="360">
        <v>3271.6</v>
      </c>
      <c r="W102" s="360">
        <v>5690.18</v>
      </c>
      <c r="X102" s="533">
        <v>9135.36</v>
      </c>
      <c r="Y102" s="551">
        <v>4767.24</v>
      </c>
      <c r="Z102" s="533">
        <v>25217.99</v>
      </c>
      <c r="AA102" s="535">
        <v>19011.3</v>
      </c>
      <c r="AB102" s="535">
        <v>13622.72</v>
      </c>
      <c r="AC102" s="610">
        <v>4388.7299999999996</v>
      </c>
      <c r="AD102" s="761">
        <v>3604.13</v>
      </c>
      <c r="AE102" s="535">
        <v>10211.73</v>
      </c>
      <c r="AF102" s="535">
        <v>3976.04</v>
      </c>
      <c r="AG102" s="777">
        <v>2025.42</v>
      </c>
      <c r="AH102" s="533">
        <v>1793.6</v>
      </c>
      <c r="AI102" s="533">
        <v>33656.58</v>
      </c>
      <c r="AJ102" s="353"/>
      <c r="AK102" s="353"/>
      <c r="AL102" s="353"/>
      <c r="AM102" s="353"/>
      <c r="AN102" s="353"/>
      <c r="AO102" s="353"/>
      <c r="AP102" s="359"/>
      <c r="AQ102" s="359"/>
      <c r="AR102" s="359"/>
      <c r="AS102" s="795"/>
      <c r="AT102" s="804"/>
      <c r="AU102" s="804"/>
      <c r="AV102" s="804"/>
      <c r="AW102" s="807"/>
      <c r="AX102" s="807"/>
      <c r="AY102" s="822"/>
      <c r="AZ102" s="823"/>
      <c r="BA102" s="807"/>
      <c r="BB102" s="807"/>
      <c r="BC102" s="824"/>
      <c r="BD102" s="804"/>
      <c r="BE102" s="804"/>
      <c r="BF102" s="807"/>
      <c r="BG102" s="807"/>
    </row>
    <row r="103" spans="1:59" s="53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550">
        <v>19538.150000000001</v>
      </c>
      <c r="U103" s="360">
        <v>23887.13</v>
      </c>
      <c r="V103" s="360">
        <v>23691.200000000001</v>
      </c>
      <c r="W103" s="360">
        <v>44419.1</v>
      </c>
      <c r="X103" s="533">
        <v>77002.679999999993</v>
      </c>
      <c r="Y103" s="551">
        <v>41062.68</v>
      </c>
      <c r="Z103" s="533">
        <v>109215.52</v>
      </c>
      <c r="AA103" s="535">
        <v>75600.83</v>
      </c>
      <c r="AB103" s="535">
        <v>39234.14</v>
      </c>
      <c r="AC103" s="610">
        <v>30916.01</v>
      </c>
      <c r="AD103" s="761">
        <v>12458.29</v>
      </c>
      <c r="AE103" s="535">
        <v>18647.169999999998</v>
      </c>
      <c r="AF103" s="535">
        <v>14878.47</v>
      </c>
      <c r="AG103" s="777">
        <v>16796.07</v>
      </c>
      <c r="AH103" s="533">
        <v>26082.82</v>
      </c>
      <c r="AI103" s="533">
        <v>77490.929999999993</v>
      </c>
      <c r="AJ103" s="353"/>
      <c r="AK103" s="353"/>
      <c r="AL103" s="353"/>
      <c r="AM103" s="353"/>
      <c r="AN103" s="353"/>
      <c r="AO103" s="353"/>
      <c r="AP103" s="347"/>
      <c r="AQ103" s="359"/>
      <c r="AR103" s="359"/>
      <c r="AS103" s="795"/>
      <c r="AT103" s="804"/>
      <c r="AU103" s="804"/>
      <c r="AV103" s="804"/>
      <c r="AW103" s="807"/>
      <c r="AX103" s="807"/>
      <c r="AY103" s="822"/>
      <c r="AZ103" s="823"/>
      <c r="BA103" s="807"/>
      <c r="BB103" s="807"/>
      <c r="BC103" s="824"/>
      <c r="BD103" s="804"/>
      <c r="BE103" s="804"/>
      <c r="BF103" s="807"/>
      <c r="BG103" s="807"/>
    </row>
    <row r="104" spans="1:59" s="53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550"/>
      <c r="U104" s="360"/>
      <c r="V104" s="360"/>
      <c r="W104" s="360"/>
      <c r="X104" s="533"/>
      <c r="Y104" s="551"/>
      <c r="Z104" s="533"/>
      <c r="AC104" s="610"/>
      <c r="AD104" s="761"/>
      <c r="AG104" s="777"/>
      <c r="AH104" s="533"/>
      <c r="AJ104" s="353"/>
      <c r="AK104" s="353"/>
      <c r="AL104" s="353"/>
      <c r="AM104" s="353"/>
      <c r="AN104" s="353"/>
      <c r="AO104" s="353"/>
      <c r="AP104" s="354"/>
      <c r="AQ104" s="359"/>
      <c r="AR104" s="359"/>
      <c r="AS104" s="795"/>
      <c r="AT104" s="804"/>
      <c r="AU104" s="804"/>
      <c r="AV104" s="804"/>
      <c r="AW104" s="807"/>
      <c r="AX104" s="807"/>
      <c r="AY104" s="822"/>
      <c r="AZ104" s="823"/>
      <c r="BA104" s="807"/>
      <c r="BB104" s="807"/>
      <c r="BC104" s="824"/>
      <c r="BD104" s="804"/>
      <c r="BE104" s="807"/>
      <c r="BF104" s="807"/>
      <c r="BG104" s="807"/>
    </row>
    <row r="105" spans="1:59" s="53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550">
        <v>320.79000000000002</v>
      </c>
      <c r="U105" s="360">
        <v>1242.21</v>
      </c>
      <c r="V105" s="360">
        <v>10922.31</v>
      </c>
      <c r="W105" s="360">
        <v>33068.550000000003</v>
      </c>
      <c r="X105" s="533">
        <v>54115.040000000001</v>
      </c>
      <c r="Y105" s="551">
        <v>31966.91</v>
      </c>
      <c r="Z105" s="533">
        <v>65234.75</v>
      </c>
      <c r="AA105" s="535">
        <v>1500</v>
      </c>
      <c r="AB105" s="535">
        <v>38914.839999999997</v>
      </c>
      <c r="AC105" s="610">
        <v>26173.47</v>
      </c>
      <c r="AD105" s="761">
        <v>3238.48</v>
      </c>
      <c r="AE105" s="535">
        <v>297.26</v>
      </c>
      <c r="AF105" s="535">
        <v>361.45</v>
      </c>
      <c r="AG105" s="777">
        <v>0</v>
      </c>
      <c r="AH105" s="533"/>
      <c r="AJ105" s="353"/>
      <c r="AK105" s="353"/>
      <c r="AL105" s="353"/>
      <c r="AM105" s="353"/>
      <c r="AN105" s="353"/>
      <c r="AO105" s="353"/>
      <c r="AP105" s="354"/>
      <c r="AQ105" s="359"/>
      <c r="AR105" s="359"/>
      <c r="AS105" s="795"/>
      <c r="AT105" s="804"/>
      <c r="AU105" s="804"/>
      <c r="AV105" s="804"/>
      <c r="AW105" s="807"/>
      <c r="AX105" s="807"/>
      <c r="AY105" s="822"/>
      <c r="AZ105" s="823"/>
      <c r="BA105" s="807"/>
      <c r="BB105" s="807"/>
      <c r="BC105" s="824"/>
      <c r="BD105" s="804"/>
      <c r="BE105" s="807"/>
      <c r="BF105" s="807"/>
      <c r="BG105" s="807"/>
    </row>
    <row r="106" spans="1:59" s="535" customFormat="1" x14ac:dyDescent="0.25">
      <c r="A106" s="356" t="s">
        <v>41</v>
      </c>
      <c r="B106" s="339">
        <f>SUM(B101:B105)</f>
        <v>524968.94999999995</v>
      </c>
      <c r="C106" s="339">
        <f t="shared" ref="C106:AS106" si="25">SUM(C101:C105)</f>
        <v>483394.28999999992</v>
      </c>
      <c r="D106" s="339">
        <f t="shared" si="25"/>
        <v>301590.98</v>
      </c>
      <c r="E106" s="339">
        <f t="shared" si="25"/>
        <v>190612.71000000002</v>
      </c>
      <c r="F106" s="339">
        <f t="shared" si="25"/>
        <v>124018</v>
      </c>
      <c r="G106" s="339">
        <f t="shared" si="25"/>
        <v>102050.4</v>
      </c>
      <c r="H106" s="339">
        <f t="shared" si="25"/>
        <v>90721.48</v>
      </c>
      <c r="I106" s="339">
        <f t="shared" si="25"/>
        <v>94910.109999999986</v>
      </c>
      <c r="J106" s="339">
        <f t="shared" si="25"/>
        <v>139998.6</v>
      </c>
      <c r="K106" s="339">
        <f t="shared" si="25"/>
        <v>263127.8</v>
      </c>
      <c r="L106" s="339">
        <f t="shared" si="25"/>
        <v>405519.17999999993</v>
      </c>
      <c r="M106" s="339">
        <f t="shared" si="25"/>
        <v>457801.20999999996</v>
      </c>
      <c r="N106" s="339">
        <f t="shared" si="25"/>
        <v>405970.64999999997</v>
      </c>
      <c r="O106" s="339">
        <f t="shared" si="25"/>
        <v>326476.76</v>
      </c>
      <c r="P106" s="339">
        <f t="shared" si="25"/>
        <v>256487.62</v>
      </c>
      <c r="Q106" s="339">
        <f t="shared" si="25"/>
        <v>141252.69</v>
      </c>
      <c r="R106" s="339">
        <f t="shared" si="25"/>
        <v>106413.32</v>
      </c>
      <c r="S106" s="339">
        <f t="shared" si="25"/>
        <v>90039.72</v>
      </c>
      <c r="T106" s="339">
        <f t="shared" si="25"/>
        <v>95338.749999999985</v>
      </c>
      <c r="U106" s="339">
        <f t="shared" si="25"/>
        <v>106718.50000000001</v>
      </c>
      <c r="V106" s="339">
        <f t="shared" si="25"/>
        <v>124825.5</v>
      </c>
      <c r="W106" s="339">
        <f t="shared" si="25"/>
        <v>239031.82</v>
      </c>
      <c r="X106" s="339">
        <f>SUM(X101:X105)</f>
        <v>382006.93999999994</v>
      </c>
      <c r="Y106" s="535">
        <f t="shared" ref="Y106:AE106" si="26">SUM(Y101:Y105)</f>
        <v>256272.36</v>
      </c>
      <c r="Z106" s="535">
        <f t="shared" si="26"/>
        <v>456856.05000000005</v>
      </c>
      <c r="AA106" s="535">
        <f t="shared" si="26"/>
        <v>320993.20999999996</v>
      </c>
      <c r="AB106" s="535">
        <f t="shared" si="26"/>
        <v>255993.34</v>
      </c>
      <c r="AC106" s="610">
        <f t="shared" si="26"/>
        <v>179115.75</v>
      </c>
      <c r="AD106" s="761">
        <f t="shared" si="26"/>
        <v>105683.40000000001</v>
      </c>
      <c r="AE106" s="761">
        <f t="shared" si="26"/>
        <v>103840.01</v>
      </c>
      <c r="AF106" s="761">
        <f>SUM(AF101:AF105)</f>
        <v>94854.06</v>
      </c>
      <c r="AG106" s="761">
        <f t="shared" ref="AG106:AH106" si="27">SUM(AG101:AG105)</f>
        <v>82062</v>
      </c>
      <c r="AH106" s="533">
        <f t="shared" si="27"/>
        <v>100321.48000000001</v>
      </c>
      <c r="AI106" s="533">
        <f t="shared" ref="AI106" si="28">SUM(AI101:AI105)</f>
        <v>315233.46000000002</v>
      </c>
      <c r="AJ106" s="339">
        <f t="shared" si="25"/>
        <v>0</v>
      </c>
      <c r="AK106" s="339">
        <f t="shared" si="25"/>
        <v>0</v>
      </c>
      <c r="AL106" s="339">
        <f t="shared" si="25"/>
        <v>0</v>
      </c>
      <c r="AM106" s="339">
        <f t="shared" si="25"/>
        <v>0</v>
      </c>
      <c r="AN106" s="339">
        <f t="shared" si="25"/>
        <v>0</v>
      </c>
      <c r="AO106" s="339">
        <f t="shared" si="25"/>
        <v>0</v>
      </c>
      <c r="AP106" s="339">
        <f t="shared" si="25"/>
        <v>0</v>
      </c>
      <c r="AQ106" s="339">
        <f t="shared" si="25"/>
        <v>0</v>
      </c>
      <c r="AR106" s="339">
        <f t="shared" si="25"/>
        <v>0</v>
      </c>
      <c r="AS106" s="339">
        <f t="shared" si="25"/>
        <v>0</v>
      </c>
      <c r="AT106" s="609"/>
      <c r="AU106" s="807"/>
      <c r="AV106" s="807"/>
      <c r="AW106" s="807"/>
      <c r="AX106" s="807"/>
      <c r="AY106" s="822"/>
      <c r="AZ106" s="823"/>
      <c r="BA106" s="823"/>
      <c r="BB106" s="823"/>
      <c r="BC106" s="823"/>
      <c r="BD106" s="804"/>
      <c r="BE106" s="804"/>
      <c r="BF106" s="807"/>
      <c r="BG106" s="807"/>
    </row>
    <row r="107" spans="1:59"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185"/>
      <c r="U107" s="325"/>
      <c r="V107" s="325"/>
      <c r="W107" s="325"/>
      <c r="AJ107" s="113"/>
      <c r="AK107" s="115"/>
      <c r="AL107" s="552"/>
      <c r="AM107" s="552"/>
      <c r="AN107" s="552"/>
      <c r="AO107" s="552"/>
      <c r="AP107" s="553"/>
      <c r="AQ107" s="554"/>
      <c r="AR107" s="554"/>
      <c r="AS107" s="554"/>
      <c r="AT107" s="804"/>
      <c r="AU107" s="796"/>
      <c r="AV107" s="796"/>
      <c r="AW107" s="800"/>
      <c r="AX107" s="800"/>
      <c r="AY107" s="801"/>
      <c r="AZ107" s="800"/>
      <c r="BA107" s="800"/>
      <c r="BB107" s="800"/>
      <c r="BC107" s="782"/>
      <c r="BD107" s="800"/>
      <c r="BE107" s="800"/>
      <c r="BF107" s="800"/>
      <c r="BG107" s="800"/>
    </row>
    <row r="108" spans="1:59"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186"/>
      <c r="U108" s="326"/>
      <c r="V108" s="326"/>
      <c r="W108" s="326"/>
      <c r="X108" s="326"/>
      <c r="Y108" s="326"/>
      <c r="Z108" s="326"/>
      <c r="AA108" s="326"/>
      <c r="AB108" s="326"/>
      <c r="AC108" s="326"/>
      <c r="AD108" s="326"/>
      <c r="AE108" s="326"/>
      <c r="AF108" s="326"/>
      <c r="AG108" s="326"/>
      <c r="AH108" s="326"/>
      <c r="AI108" s="326"/>
      <c r="AJ108" s="120"/>
      <c r="AK108" s="120"/>
      <c r="AL108" s="120"/>
      <c r="AM108" s="120"/>
      <c r="AN108" s="120"/>
      <c r="AO108" s="120"/>
      <c r="AP108" s="121"/>
      <c r="AQ108" s="121"/>
      <c r="AR108" s="121"/>
      <c r="AS108" s="261"/>
      <c r="AT108" s="796"/>
      <c r="AU108" s="796"/>
      <c r="AV108" s="796"/>
      <c r="AW108" s="800"/>
      <c r="AX108" s="800"/>
      <c r="AY108" s="801"/>
      <c r="AZ108" s="800"/>
      <c r="BA108" s="800"/>
      <c r="BB108" s="800"/>
      <c r="BC108" s="782"/>
      <c r="BD108" s="800"/>
      <c r="BE108" s="800"/>
      <c r="BF108" s="800"/>
      <c r="BG108" s="800"/>
    </row>
    <row r="109" spans="1:59"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186"/>
      <c r="U109" s="326"/>
      <c r="V109" s="326"/>
      <c r="W109" s="326"/>
      <c r="X109" s="326"/>
      <c r="Y109" s="326"/>
      <c r="Z109" s="326"/>
      <c r="AA109" s="326"/>
      <c r="AB109" s="326"/>
      <c r="AC109" s="326"/>
      <c r="AD109" s="326"/>
      <c r="AE109" s="326"/>
      <c r="AF109" s="326"/>
      <c r="AG109" s="326"/>
      <c r="AH109" s="326"/>
      <c r="AI109" s="326"/>
      <c r="AJ109" s="120"/>
      <c r="AK109" s="120"/>
      <c r="AL109" s="120"/>
      <c r="AM109" s="120"/>
      <c r="AN109" s="120"/>
      <c r="AO109" s="120"/>
      <c r="AP109" s="121"/>
      <c r="AQ109" s="121"/>
      <c r="AR109" s="121"/>
      <c r="AS109" s="261"/>
      <c r="AT109" s="796"/>
      <c r="AU109" s="796"/>
      <c r="AV109" s="796"/>
      <c r="AW109" s="800"/>
      <c r="AX109" s="800"/>
      <c r="AY109" s="801"/>
      <c r="AZ109" s="800"/>
      <c r="BA109" s="800"/>
      <c r="BB109" s="800"/>
      <c r="BC109" s="782"/>
      <c r="BD109" s="800"/>
      <c r="BE109" s="800"/>
      <c r="BF109" s="800"/>
      <c r="BG109" s="800"/>
    </row>
    <row r="110" spans="1:59"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186"/>
      <c r="U110" s="326"/>
      <c r="V110" s="326"/>
      <c r="W110" s="326"/>
      <c r="X110" s="326"/>
      <c r="Y110" s="326"/>
      <c r="Z110" s="326"/>
      <c r="AA110" s="326"/>
      <c r="AB110" s="326"/>
      <c r="AC110" s="326"/>
      <c r="AD110" s="326"/>
      <c r="AE110" s="326"/>
      <c r="AF110" s="326"/>
      <c r="AG110" s="326"/>
      <c r="AH110" s="326"/>
      <c r="AI110" s="326"/>
      <c r="AJ110" s="120"/>
      <c r="AK110" s="120"/>
      <c r="AL110" s="120"/>
      <c r="AM110" s="120"/>
      <c r="AN110" s="120"/>
      <c r="AO110" s="120"/>
      <c r="AP110" s="121"/>
      <c r="AQ110" s="121"/>
      <c r="AR110" s="121"/>
      <c r="AS110" s="261"/>
      <c r="AT110" s="796"/>
      <c r="AU110" s="796"/>
      <c r="AV110" s="796"/>
      <c r="AW110" s="800"/>
      <c r="AX110" s="800"/>
      <c r="AY110" s="801"/>
      <c r="AZ110" s="800"/>
      <c r="BA110" s="800"/>
      <c r="BB110" s="800"/>
      <c r="BC110" s="782"/>
      <c r="BD110" s="800"/>
      <c r="BE110" s="800"/>
      <c r="BF110" s="800"/>
      <c r="BG110" s="800"/>
    </row>
    <row r="111" spans="1:59"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186"/>
      <c r="U111" s="326"/>
      <c r="V111" s="326"/>
      <c r="W111" s="326"/>
      <c r="X111" s="326"/>
      <c r="Y111" s="326"/>
      <c r="Z111" s="326"/>
      <c r="AA111" s="326"/>
      <c r="AB111" s="326"/>
      <c r="AC111" s="326"/>
      <c r="AD111" s="326"/>
      <c r="AE111" s="326"/>
      <c r="AF111" s="326"/>
      <c r="AG111" s="326"/>
      <c r="AH111" s="326"/>
      <c r="AI111" s="326"/>
      <c r="AJ111" s="120"/>
      <c r="AK111" s="120"/>
      <c r="AL111" s="120"/>
      <c r="AM111" s="120"/>
      <c r="AN111" s="120"/>
      <c r="AO111" s="120"/>
      <c r="AP111" s="121"/>
      <c r="AQ111" s="121"/>
      <c r="AR111" s="121"/>
      <c r="AS111" s="261"/>
      <c r="AT111" s="796"/>
      <c r="AU111" s="796"/>
      <c r="AV111" s="796"/>
      <c r="AW111" s="800"/>
      <c r="AX111" s="800"/>
      <c r="AY111" s="801"/>
      <c r="AZ111" s="800"/>
      <c r="BA111" s="800"/>
      <c r="BB111" s="800"/>
      <c r="BC111" s="782"/>
      <c r="BD111" s="800"/>
      <c r="BE111" s="800"/>
      <c r="BF111" s="800"/>
      <c r="BG111" s="800"/>
    </row>
    <row r="112" spans="1:59"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186"/>
      <c r="U112" s="326"/>
      <c r="V112" s="326"/>
      <c r="W112" s="326"/>
      <c r="X112" s="326"/>
      <c r="Y112" s="326"/>
      <c r="Z112" s="326"/>
      <c r="AA112" s="326"/>
      <c r="AB112" s="326"/>
      <c r="AC112" s="326"/>
      <c r="AD112" s="326"/>
      <c r="AE112" s="326"/>
      <c r="AF112" s="326"/>
      <c r="AG112" s="326"/>
      <c r="AH112" s="326"/>
      <c r="AI112" s="326"/>
      <c r="AJ112" s="120"/>
      <c r="AK112" s="120"/>
      <c r="AL112" s="120"/>
      <c r="AM112" s="120"/>
      <c r="AN112" s="120"/>
      <c r="AO112" s="120"/>
      <c r="AP112" s="121"/>
      <c r="AQ112" s="121"/>
      <c r="AR112" s="121"/>
      <c r="AS112" s="261"/>
      <c r="AT112" s="796"/>
      <c r="AU112" s="796"/>
      <c r="AV112" s="796"/>
      <c r="AW112" s="800"/>
      <c r="AX112" s="800"/>
      <c r="AY112" s="801"/>
      <c r="AZ112" s="800"/>
      <c r="BA112" s="800"/>
      <c r="BB112" s="800"/>
      <c r="BC112" s="782"/>
      <c r="BD112" s="800"/>
      <c r="BE112" s="800"/>
      <c r="BF112" s="800"/>
      <c r="BG112" s="800"/>
    </row>
    <row r="113" spans="1:59"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55"/>
      <c r="U113" s="355"/>
      <c r="V113" s="355"/>
      <c r="W113" s="355"/>
      <c r="X113" s="360"/>
      <c r="Y113" s="360"/>
      <c r="Z113" s="360"/>
      <c r="AA113" s="360"/>
      <c r="AB113" s="360"/>
      <c r="AC113" s="360"/>
      <c r="AD113" s="360"/>
      <c r="AE113" s="360"/>
      <c r="AF113" s="360"/>
      <c r="AG113" s="360"/>
      <c r="AH113" s="360"/>
      <c r="AI113" s="360"/>
      <c r="AJ113" s="60"/>
      <c r="AK113" s="60"/>
      <c r="AL113" s="60"/>
      <c r="AM113" s="60"/>
      <c r="AN113" s="60"/>
      <c r="AO113" s="60"/>
      <c r="AP113" s="59"/>
      <c r="AQ113" s="59"/>
      <c r="AR113" s="59"/>
      <c r="AS113" s="262"/>
      <c r="AT113" s="796"/>
      <c r="AU113" s="796"/>
      <c r="AV113" s="796"/>
      <c r="AW113" s="800"/>
      <c r="AX113" s="800"/>
      <c r="AY113" s="801"/>
      <c r="AZ113" s="800"/>
      <c r="BA113" s="800"/>
      <c r="BB113" s="800"/>
      <c r="BC113" s="782"/>
      <c r="BD113" s="800"/>
      <c r="BE113" s="800"/>
      <c r="BF113" s="800"/>
      <c r="BG113" s="800"/>
    </row>
    <row r="114" spans="1:59"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188"/>
      <c r="U114" s="544"/>
      <c r="V114" s="544"/>
      <c r="W114" s="544"/>
      <c r="X114" s="544"/>
      <c r="Y114" s="544"/>
      <c r="Z114" s="544"/>
      <c r="AA114" s="544"/>
      <c r="AB114" s="544"/>
      <c r="AC114" s="544"/>
      <c r="AD114" s="544"/>
      <c r="AE114" s="544"/>
      <c r="AF114" s="544"/>
      <c r="AG114" s="544"/>
      <c r="AH114" s="544"/>
      <c r="AI114" s="544"/>
      <c r="AJ114" s="125"/>
      <c r="AK114" s="127"/>
      <c r="AL114" s="555"/>
      <c r="AM114" s="555"/>
      <c r="AN114" s="555"/>
      <c r="AO114" s="555"/>
      <c r="AP114" s="556"/>
      <c r="AQ114" s="500"/>
      <c r="AR114" s="500"/>
      <c r="AS114" s="500"/>
      <c r="AT114" s="796"/>
      <c r="AU114" s="796"/>
      <c r="AV114" s="796"/>
      <c r="AW114" s="800"/>
      <c r="AX114" s="800"/>
      <c r="AY114" s="801"/>
      <c r="AZ114" s="800"/>
      <c r="BA114" s="800"/>
      <c r="BB114" s="800"/>
      <c r="BC114" s="782"/>
      <c r="BD114" s="800"/>
      <c r="BE114" s="800"/>
      <c r="BF114" s="800"/>
      <c r="BG114" s="800"/>
    </row>
    <row r="115" spans="1:59" x14ac:dyDescent="0.25">
      <c r="A115" s="35" t="s">
        <v>36</v>
      </c>
      <c r="B115" s="97"/>
      <c r="C115" s="89"/>
      <c r="D115" s="89"/>
      <c r="E115" s="89"/>
      <c r="F115" s="89"/>
      <c r="G115" s="89"/>
      <c r="H115" s="89"/>
      <c r="I115" s="89"/>
      <c r="J115" s="89"/>
      <c r="K115" s="99"/>
      <c r="L115" s="89"/>
      <c r="M115" s="87"/>
      <c r="N115" s="89"/>
      <c r="O115" s="89"/>
      <c r="P115" s="89"/>
      <c r="Q115" s="89"/>
      <c r="R115" s="89"/>
      <c r="S115" s="89"/>
      <c r="T115" s="189"/>
      <c r="U115" s="189"/>
      <c r="V115" s="189"/>
      <c r="W115" s="189"/>
      <c r="X115" s="98"/>
      <c r="Y115" s="98"/>
      <c r="Z115" s="98"/>
      <c r="AA115" s="98"/>
      <c r="AB115" s="98"/>
      <c r="AC115" s="98"/>
      <c r="AD115" s="98"/>
      <c r="AE115" s="98"/>
      <c r="AF115" s="98"/>
      <c r="AG115" s="98"/>
      <c r="AH115" s="98"/>
      <c r="AI115" s="98"/>
      <c r="AJ115" s="89"/>
      <c r="AK115" s="89"/>
      <c r="AL115" s="89"/>
      <c r="AM115" s="89"/>
      <c r="AN115" s="89"/>
      <c r="AO115" s="89"/>
      <c r="AP115" s="88"/>
      <c r="AQ115" s="88"/>
      <c r="AR115" s="88"/>
      <c r="AS115" s="259"/>
      <c r="AT115" s="796"/>
      <c r="AU115" s="796"/>
      <c r="AV115" s="796"/>
      <c r="AW115" s="800"/>
      <c r="AX115" s="800"/>
      <c r="AY115" s="801"/>
      <c r="AZ115" s="800"/>
      <c r="BA115" s="800"/>
      <c r="BB115" s="800"/>
      <c r="BC115" s="782"/>
      <c r="BD115" s="800"/>
      <c r="BE115" s="800"/>
      <c r="BF115" s="800"/>
      <c r="BG115" s="800"/>
    </row>
    <row r="116" spans="1:59" x14ac:dyDescent="0.25">
      <c r="A116" s="35" t="s">
        <v>37</v>
      </c>
      <c r="B116" s="97"/>
      <c r="C116" s="89"/>
      <c r="D116" s="89"/>
      <c r="E116" s="89"/>
      <c r="F116" s="89"/>
      <c r="G116" s="89"/>
      <c r="H116" s="89"/>
      <c r="I116" s="89"/>
      <c r="J116" s="89"/>
      <c r="K116" s="99"/>
      <c r="L116" s="89"/>
      <c r="M116" s="87"/>
      <c r="N116" s="89"/>
      <c r="O116" s="89"/>
      <c r="P116" s="89"/>
      <c r="Q116" s="89"/>
      <c r="R116" s="89"/>
      <c r="S116" s="89"/>
      <c r="T116" s="88"/>
      <c r="U116" s="189"/>
      <c r="V116" s="189"/>
      <c r="W116" s="189"/>
      <c r="X116" s="98"/>
      <c r="Y116" s="98"/>
      <c r="Z116" s="98"/>
      <c r="AA116" s="98"/>
      <c r="AB116" s="98"/>
      <c r="AC116" s="98"/>
      <c r="AD116" s="98"/>
      <c r="AE116" s="98"/>
      <c r="AF116" s="98"/>
      <c r="AG116" s="98"/>
      <c r="AH116" s="98"/>
      <c r="AI116" s="98"/>
      <c r="AJ116" s="89"/>
      <c r="AK116" s="89"/>
      <c r="AL116" s="89"/>
      <c r="AM116" s="89"/>
      <c r="AN116" s="89"/>
      <c r="AO116" s="89"/>
      <c r="AP116" s="88"/>
      <c r="AQ116" s="88"/>
      <c r="AR116" s="88"/>
      <c r="AS116" s="259"/>
      <c r="AT116" s="796"/>
      <c r="AU116" s="796"/>
      <c r="AV116" s="796"/>
      <c r="AW116" s="800"/>
      <c r="AX116" s="800"/>
      <c r="AY116" s="801"/>
      <c r="AZ116" s="800"/>
      <c r="BA116" s="800"/>
      <c r="BB116" s="800"/>
      <c r="BC116" s="782"/>
      <c r="BD116" s="800"/>
      <c r="BE116" s="800"/>
      <c r="BF116" s="800"/>
      <c r="BG116" s="800"/>
    </row>
    <row r="117" spans="1:59" x14ac:dyDescent="0.25">
      <c r="A117" s="35" t="s">
        <v>38</v>
      </c>
      <c r="B117" s="97"/>
      <c r="C117" s="89"/>
      <c r="D117" s="89"/>
      <c r="E117" s="89"/>
      <c r="F117" s="89"/>
      <c r="G117" s="89"/>
      <c r="H117" s="89"/>
      <c r="I117" s="89"/>
      <c r="J117" s="89"/>
      <c r="K117" s="99"/>
      <c r="L117" s="89"/>
      <c r="M117" s="87"/>
      <c r="N117" s="89"/>
      <c r="O117" s="89"/>
      <c r="P117" s="89"/>
      <c r="Q117" s="89"/>
      <c r="R117" s="89"/>
      <c r="S117" s="89"/>
      <c r="T117" s="88"/>
      <c r="U117" s="189"/>
      <c r="V117" s="189"/>
      <c r="W117" s="189"/>
      <c r="X117" s="98"/>
      <c r="Y117" s="98"/>
      <c r="Z117" s="98"/>
      <c r="AA117" s="98"/>
      <c r="AB117" s="98"/>
      <c r="AC117" s="98"/>
      <c r="AD117" s="98"/>
      <c r="AE117" s="98"/>
      <c r="AF117" s="98"/>
      <c r="AG117" s="98"/>
      <c r="AH117" s="98"/>
      <c r="AI117" s="98"/>
      <c r="AJ117" s="89"/>
      <c r="AK117" s="89"/>
      <c r="AL117" s="89"/>
      <c r="AM117" s="89"/>
      <c r="AN117" s="89"/>
      <c r="AO117" s="89"/>
      <c r="AP117" s="88"/>
      <c r="AQ117" s="88"/>
      <c r="AR117" s="88"/>
      <c r="AS117" s="259"/>
      <c r="AT117" s="796"/>
      <c r="AU117" s="796"/>
      <c r="AV117" s="796"/>
      <c r="AW117" s="800"/>
      <c r="AX117" s="800"/>
      <c r="AY117" s="801"/>
      <c r="AZ117" s="800"/>
      <c r="BA117" s="800"/>
      <c r="BB117" s="800"/>
      <c r="BC117" s="782"/>
      <c r="BD117" s="800"/>
      <c r="BE117" s="800"/>
      <c r="BF117" s="800"/>
      <c r="BG117" s="800"/>
    </row>
    <row r="118" spans="1:59" x14ac:dyDescent="0.25">
      <c r="A118" s="35" t="s">
        <v>39</v>
      </c>
      <c r="B118" s="97"/>
      <c r="C118" s="89"/>
      <c r="D118" s="89"/>
      <c r="E118" s="89"/>
      <c r="F118" s="89"/>
      <c r="G118" s="89"/>
      <c r="H118" s="89"/>
      <c r="I118" s="89"/>
      <c r="J118" s="89"/>
      <c r="K118" s="99"/>
      <c r="L118" s="89"/>
      <c r="M118" s="87"/>
      <c r="N118" s="89"/>
      <c r="O118" s="89"/>
      <c r="P118" s="89"/>
      <c r="Q118" s="89"/>
      <c r="R118" s="89"/>
      <c r="S118" s="89"/>
      <c r="T118" s="88"/>
      <c r="U118" s="189"/>
      <c r="V118" s="189"/>
      <c r="W118" s="189"/>
      <c r="X118" s="98"/>
      <c r="Y118" s="98"/>
      <c r="Z118" s="98"/>
      <c r="AA118" s="98"/>
      <c r="AB118" s="98"/>
      <c r="AC118" s="98"/>
      <c r="AD118" s="98"/>
      <c r="AE118" s="98"/>
      <c r="AF118" s="98"/>
      <c r="AG118" s="98"/>
      <c r="AH118" s="98"/>
      <c r="AI118" s="98"/>
      <c r="AJ118" s="89"/>
      <c r="AK118" s="89"/>
      <c r="AL118" s="89"/>
      <c r="AM118" s="89"/>
      <c r="AN118" s="89"/>
      <c r="AO118" s="89"/>
      <c r="AP118" s="88"/>
      <c r="AQ118" s="88"/>
      <c r="AR118" s="88"/>
      <c r="AS118" s="259"/>
      <c r="AT118" s="796"/>
      <c r="AU118" s="796"/>
      <c r="AV118" s="796"/>
      <c r="AW118" s="800"/>
      <c r="AX118" s="800"/>
      <c r="AY118" s="801"/>
      <c r="AZ118" s="800"/>
      <c r="BA118" s="800"/>
      <c r="BB118" s="800"/>
      <c r="BC118" s="782"/>
      <c r="BD118" s="800"/>
      <c r="BE118" s="800"/>
      <c r="BF118" s="800"/>
      <c r="BG118" s="800"/>
    </row>
    <row r="119" spans="1:59" x14ac:dyDescent="0.25">
      <c r="A119" s="35" t="s">
        <v>40</v>
      </c>
      <c r="B119" s="97"/>
      <c r="C119" s="89"/>
      <c r="D119" s="89"/>
      <c r="E119" s="89"/>
      <c r="F119" s="89"/>
      <c r="G119" s="89"/>
      <c r="H119" s="89"/>
      <c r="I119" s="89"/>
      <c r="J119" s="89"/>
      <c r="K119" s="99"/>
      <c r="L119" s="89"/>
      <c r="M119" s="87"/>
      <c r="N119" s="89"/>
      <c r="O119" s="89"/>
      <c r="P119" s="89"/>
      <c r="Q119" s="89"/>
      <c r="R119" s="89"/>
      <c r="S119" s="89"/>
      <c r="T119" s="88"/>
      <c r="U119" s="189"/>
      <c r="V119" s="189"/>
      <c r="W119" s="189"/>
      <c r="X119" s="98"/>
      <c r="Y119" s="98"/>
      <c r="Z119" s="98"/>
      <c r="AA119" s="98"/>
      <c r="AB119" s="98"/>
      <c r="AC119" s="98"/>
      <c r="AD119" s="98"/>
      <c r="AE119" s="98"/>
      <c r="AF119" s="98"/>
      <c r="AG119" s="98"/>
      <c r="AH119" s="98"/>
      <c r="AI119" s="98"/>
      <c r="AJ119" s="89"/>
      <c r="AK119" s="89"/>
      <c r="AL119" s="89"/>
      <c r="AM119" s="89"/>
      <c r="AN119" s="89"/>
      <c r="AO119" s="89"/>
      <c r="AP119" s="88"/>
      <c r="AQ119" s="88"/>
      <c r="AR119" s="88"/>
      <c r="AS119" s="259"/>
      <c r="AT119" s="796"/>
      <c r="AU119" s="796"/>
      <c r="AV119" s="796"/>
      <c r="AW119" s="800"/>
      <c r="AX119" s="800"/>
      <c r="AY119" s="801"/>
      <c r="AZ119" s="800"/>
      <c r="BA119" s="800"/>
      <c r="BB119" s="800"/>
      <c r="BC119" s="782"/>
      <c r="BD119" s="800"/>
      <c r="BE119" s="800"/>
      <c r="BF119" s="800"/>
      <c r="BG119" s="800"/>
    </row>
    <row r="120" spans="1:59"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80"/>
      <c r="U120" s="80"/>
      <c r="V120" s="80"/>
      <c r="W120" s="80"/>
      <c r="X120" s="159"/>
      <c r="Y120" s="159"/>
      <c r="Z120" s="159"/>
      <c r="AA120" s="159"/>
      <c r="AB120" s="159"/>
      <c r="AC120" s="159"/>
      <c r="AD120" s="159"/>
      <c r="AE120" s="159"/>
      <c r="AF120" s="159"/>
      <c r="AG120" s="159"/>
      <c r="AH120" s="159"/>
      <c r="AI120" s="159"/>
      <c r="AJ120" s="81"/>
      <c r="AK120" s="81"/>
      <c r="AL120" s="81"/>
      <c r="AM120" s="81"/>
      <c r="AN120" s="81"/>
      <c r="AO120" s="81"/>
      <c r="AP120" s="80"/>
      <c r="AQ120" s="80"/>
      <c r="AR120" s="80"/>
      <c r="AS120" s="263"/>
      <c r="AT120" s="796"/>
      <c r="AU120" s="796"/>
      <c r="AV120" s="796"/>
      <c r="AW120" s="800"/>
      <c r="AX120" s="800"/>
      <c r="AY120" s="801"/>
      <c r="AZ120" s="800"/>
      <c r="BA120" s="800"/>
      <c r="BB120" s="800"/>
      <c r="BC120" s="782"/>
      <c r="BD120" s="800"/>
      <c r="BE120" s="800"/>
      <c r="BF120" s="800"/>
      <c r="BG120" s="800"/>
    </row>
    <row r="121" spans="1:59" x14ac:dyDescent="0.25">
      <c r="A121" s="45" t="s">
        <v>20</v>
      </c>
      <c r="B121" s="61"/>
      <c r="C121" s="62"/>
      <c r="D121" s="62"/>
      <c r="E121" s="64"/>
      <c r="F121" s="62"/>
      <c r="G121" s="62"/>
      <c r="H121" s="62"/>
      <c r="I121" s="62"/>
      <c r="J121" s="62"/>
      <c r="K121" s="63"/>
      <c r="L121" s="64"/>
      <c r="M121" s="62"/>
      <c r="N121" s="64"/>
      <c r="O121" s="62"/>
      <c r="P121" s="62"/>
      <c r="Q121" s="62"/>
      <c r="R121" s="62"/>
      <c r="S121" s="62"/>
      <c r="T121" s="63"/>
      <c r="U121" s="320"/>
      <c r="V121" s="320"/>
      <c r="W121" s="320"/>
      <c r="X121" s="320"/>
      <c r="Y121" s="320"/>
      <c r="Z121" s="320"/>
      <c r="AA121" s="320"/>
      <c r="AB121" s="320"/>
      <c r="AC121" s="320"/>
      <c r="AD121" s="320"/>
      <c r="AE121" s="320"/>
      <c r="AF121" s="320"/>
      <c r="AG121" s="320"/>
      <c r="AH121" s="320"/>
      <c r="AI121" s="320"/>
      <c r="AJ121" s="64"/>
      <c r="AK121" s="65"/>
      <c r="AL121" s="523"/>
      <c r="AM121" s="523"/>
      <c r="AN121" s="523"/>
      <c r="AO121" s="523"/>
      <c r="AP121" s="524"/>
      <c r="AQ121" s="500"/>
      <c r="AR121" s="500"/>
      <c r="AS121" s="500"/>
      <c r="AT121" s="796"/>
      <c r="AU121" s="796"/>
      <c r="AV121" s="796"/>
      <c r="AW121" s="800"/>
      <c r="AX121" s="800"/>
      <c r="AY121" s="801"/>
      <c r="AZ121" s="800"/>
      <c r="BA121" s="800"/>
      <c r="BB121" s="800"/>
      <c r="BC121" s="782"/>
      <c r="BD121" s="800"/>
      <c r="BE121" s="800"/>
      <c r="BF121" s="800"/>
      <c r="BG121" s="800"/>
    </row>
    <row r="122" spans="1:59" x14ac:dyDescent="0.25">
      <c r="A122" s="35" t="s">
        <v>36</v>
      </c>
      <c r="B122" s="55"/>
      <c r="C122" s="56"/>
      <c r="D122" s="56"/>
      <c r="E122" s="58"/>
      <c r="F122" s="56"/>
      <c r="G122" s="58"/>
      <c r="H122" s="56"/>
      <c r="I122" s="58"/>
      <c r="J122" s="56"/>
      <c r="K122" s="130"/>
      <c r="L122" s="58"/>
      <c r="M122" s="58"/>
      <c r="N122" s="58"/>
      <c r="O122" s="58"/>
      <c r="P122" s="56"/>
      <c r="Q122" s="58"/>
      <c r="R122" s="56"/>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70"/>
      <c r="AQ122" s="70"/>
      <c r="AR122" s="70"/>
      <c r="AS122" s="242"/>
      <c r="AT122" s="796"/>
      <c r="AU122" s="796"/>
      <c r="AV122" s="796"/>
      <c r="AW122" s="800"/>
      <c r="AX122" s="800"/>
      <c r="AY122" s="801"/>
      <c r="AZ122" s="800"/>
      <c r="BA122" s="800"/>
      <c r="BB122" s="800"/>
      <c r="BC122" s="782"/>
      <c r="BD122" s="800"/>
      <c r="BE122" s="800"/>
      <c r="BF122" s="800"/>
      <c r="BG122" s="800"/>
    </row>
    <row r="123" spans="1:59" x14ac:dyDescent="0.25">
      <c r="A123" s="35" t="s">
        <v>37</v>
      </c>
      <c r="B123" s="55"/>
      <c r="C123" s="56"/>
      <c r="D123" s="56"/>
      <c r="E123" s="58"/>
      <c r="F123" s="56"/>
      <c r="G123" s="58"/>
      <c r="H123" s="56"/>
      <c r="I123" s="58"/>
      <c r="J123" s="56"/>
      <c r="K123" s="130"/>
      <c r="L123" s="58"/>
      <c r="M123" s="58"/>
      <c r="N123" s="58"/>
      <c r="O123" s="58"/>
      <c r="P123" s="56"/>
      <c r="Q123" s="58"/>
      <c r="R123" s="56"/>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70"/>
      <c r="AQ123" s="70"/>
      <c r="AR123" s="70"/>
      <c r="AS123" s="242"/>
      <c r="AT123" s="796"/>
      <c r="AU123" s="796"/>
      <c r="AV123" s="796"/>
      <c r="AW123" s="800"/>
      <c r="AX123" s="800"/>
      <c r="AY123" s="801"/>
      <c r="AZ123" s="800"/>
      <c r="BA123" s="800"/>
      <c r="BB123" s="800"/>
      <c r="BC123" s="782"/>
      <c r="BD123" s="800"/>
      <c r="BE123" s="800"/>
      <c r="BF123" s="800"/>
      <c r="BG123" s="800"/>
    </row>
    <row r="124" spans="1:59" x14ac:dyDescent="0.25">
      <c r="A124" s="35" t="s">
        <v>38</v>
      </c>
      <c r="B124" s="55"/>
      <c r="C124" s="56"/>
      <c r="D124" s="56"/>
      <c r="E124" s="56"/>
      <c r="F124" s="56"/>
      <c r="G124" s="56"/>
      <c r="H124" s="56"/>
      <c r="I124" s="56"/>
      <c r="J124" s="56"/>
      <c r="K124" s="56"/>
      <c r="L124" s="58"/>
      <c r="M124" s="58"/>
      <c r="N124" s="58"/>
      <c r="O124" s="58"/>
      <c r="P124" s="56"/>
      <c r="Q124" s="58"/>
      <c r="R124" s="56"/>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7"/>
      <c r="AQ124" s="70"/>
      <c r="AR124" s="70"/>
      <c r="AS124" s="242"/>
      <c r="AT124" s="796"/>
      <c r="AU124" s="796"/>
      <c r="AV124" s="796"/>
      <c r="AW124" s="800"/>
      <c r="AX124" s="800"/>
      <c r="AY124" s="801"/>
      <c r="AZ124" s="800"/>
      <c r="BA124" s="800"/>
      <c r="BB124" s="800"/>
      <c r="BC124" s="782"/>
      <c r="BD124" s="800"/>
      <c r="BE124" s="800"/>
      <c r="BF124" s="800"/>
      <c r="BG124" s="800"/>
    </row>
    <row r="125" spans="1:59" x14ac:dyDescent="0.25">
      <c r="A125" s="35" t="s">
        <v>39</v>
      </c>
      <c r="B125" s="55"/>
      <c r="C125" s="56"/>
      <c r="D125" s="56"/>
      <c r="E125" s="56"/>
      <c r="F125" s="56"/>
      <c r="G125" s="56"/>
      <c r="H125" s="56"/>
      <c r="I125" s="56"/>
      <c r="J125" s="56"/>
      <c r="K125" s="56"/>
      <c r="L125" s="58"/>
      <c r="M125" s="58"/>
      <c r="N125" s="58"/>
      <c r="O125" s="58"/>
      <c r="P125" s="56"/>
      <c r="Q125" s="58"/>
      <c r="R125" s="56"/>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7"/>
      <c r="AQ125" s="70"/>
      <c r="AR125" s="70"/>
      <c r="AS125" s="242"/>
      <c r="AT125" s="796"/>
      <c r="AU125" s="796"/>
      <c r="AV125" s="796"/>
      <c r="AW125" s="800"/>
      <c r="AX125" s="800"/>
      <c r="AY125" s="801"/>
      <c r="AZ125" s="800"/>
      <c r="BA125" s="800"/>
      <c r="BB125" s="800"/>
      <c r="BC125" s="782"/>
      <c r="BD125" s="800"/>
      <c r="BE125" s="800"/>
      <c r="BF125" s="800"/>
      <c r="BG125" s="800"/>
    </row>
    <row r="126" spans="1:59" x14ac:dyDescent="0.25">
      <c r="A126" s="35" t="s">
        <v>40</v>
      </c>
      <c r="B126" s="55"/>
      <c r="C126" s="56"/>
      <c r="D126" s="56"/>
      <c r="E126" s="56"/>
      <c r="F126" s="56"/>
      <c r="G126" s="56"/>
      <c r="H126" s="56"/>
      <c r="I126" s="56"/>
      <c r="J126" s="56"/>
      <c r="K126" s="56"/>
      <c r="L126" s="58"/>
      <c r="M126" s="58"/>
      <c r="N126" s="58"/>
      <c r="O126" s="58"/>
      <c r="P126" s="56"/>
      <c r="Q126" s="58"/>
      <c r="R126" s="56"/>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7"/>
      <c r="AQ126" s="70"/>
      <c r="AR126" s="70"/>
      <c r="AS126" s="242"/>
      <c r="AT126" s="796"/>
      <c r="AU126" s="796"/>
      <c r="AV126" s="796"/>
      <c r="AW126" s="800"/>
      <c r="AX126" s="800"/>
      <c r="AY126" s="801"/>
      <c r="AZ126" s="800"/>
      <c r="BA126" s="800"/>
      <c r="BB126" s="800"/>
      <c r="BC126" s="782"/>
      <c r="BD126" s="800"/>
      <c r="BE126" s="800"/>
      <c r="BF126" s="800"/>
      <c r="BG126" s="800"/>
    </row>
    <row r="127" spans="1:59" x14ac:dyDescent="0.25">
      <c r="A127" s="35" t="s">
        <v>41</v>
      </c>
      <c r="B127" s="131"/>
      <c r="C127" s="58"/>
      <c r="D127" s="58"/>
      <c r="E127" s="58"/>
      <c r="F127" s="58"/>
      <c r="G127" s="58"/>
      <c r="H127" s="58"/>
      <c r="I127" s="58"/>
      <c r="J127" s="58"/>
      <c r="K127" s="130"/>
      <c r="L127" s="58"/>
      <c r="M127" s="58"/>
      <c r="N127" s="58"/>
      <c r="O127" s="58"/>
      <c r="P127" s="58"/>
      <c r="Q127" s="58"/>
      <c r="R127" s="58"/>
      <c r="S127" s="58"/>
      <c r="T127" s="70"/>
      <c r="U127" s="70"/>
      <c r="V127" s="70"/>
      <c r="W127" s="70"/>
      <c r="X127" s="338"/>
      <c r="Y127" s="338"/>
      <c r="Z127" s="338"/>
      <c r="AA127" s="338"/>
      <c r="AB127" s="338"/>
      <c r="AC127" s="338"/>
      <c r="AD127" s="338"/>
      <c r="AE127" s="338"/>
      <c r="AF127" s="338"/>
      <c r="AG127" s="338"/>
      <c r="AH127" s="338"/>
      <c r="AI127" s="338"/>
      <c r="AJ127" s="58"/>
      <c r="AK127" s="58"/>
      <c r="AL127" s="58"/>
      <c r="AM127" s="58"/>
      <c r="AN127" s="58"/>
      <c r="AO127" s="58"/>
      <c r="AP127" s="57"/>
      <c r="AQ127" s="57"/>
      <c r="AR127" s="57"/>
      <c r="AS127" s="264"/>
      <c r="AT127" s="796"/>
      <c r="AU127" s="796"/>
      <c r="AV127" s="796"/>
      <c r="AW127" s="800"/>
      <c r="AX127" s="800"/>
      <c r="AY127" s="801"/>
      <c r="AZ127" s="800"/>
      <c r="BA127" s="800"/>
      <c r="BB127" s="800"/>
      <c r="BC127" s="782"/>
      <c r="BD127" s="800"/>
      <c r="BE127" s="800"/>
      <c r="BF127" s="800"/>
      <c r="BG127" s="800"/>
    </row>
    <row r="128" spans="1:59" x14ac:dyDescent="0.25">
      <c r="A128" s="45" t="s">
        <v>25</v>
      </c>
      <c r="B128" s="557"/>
      <c r="C128" s="523"/>
      <c r="D128" s="523"/>
      <c r="E128" s="523"/>
      <c r="F128" s="523"/>
      <c r="G128" s="558"/>
      <c r="H128" s="523"/>
      <c r="I128" s="558"/>
      <c r="J128" s="523"/>
      <c r="K128" s="559"/>
      <c r="L128" s="558"/>
      <c r="M128" s="558"/>
      <c r="N128" s="558"/>
      <c r="O128" s="558"/>
      <c r="P128" s="523"/>
      <c r="Q128" s="558"/>
      <c r="R128" s="523"/>
      <c r="S128" s="558"/>
      <c r="T128" s="559"/>
      <c r="U128" s="560"/>
      <c r="V128" s="560"/>
      <c r="W128" s="560"/>
      <c r="X128" s="560"/>
      <c r="Y128" s="560"/>
      <c r="Z128" s="560"/>
      <c r="AA128" s="560"/>
      <c r="AB128" s="560"/>
      <c r="AC128" s="560"/>
      <c r="AD128" s="560"/>
      <c r="AE128" s="560"/>
      <c r="AF128" s="560"/>
      <c r="AG128" s="560"/>
      <c r="AH128" s="560"/>
      <c r="AI128" s="560"/>
      <c r="AJ128" s="557"/>
      <c r="AK128" s="558"/>
      <c r="AL128" s="523"/>
      <c r="AM128" s="558"/>
      <c r="AN128" s="523"/>
      <c r="AO128" s="558"/>
      <c r="AP128" s="559"/>
      <c r="AQ128" s="500"/>
      <c r="AR128" s="500"/>
      <c r="AS128" s="500"/>
      <c r="AT128" s="796"/>
      <c r="AU128" s="796"/>
      <c r="AV128" s="796"/>
      <c r="AW128" s="800"/>
      <c r="AX128" s="800"/>
      <c r="AY128" s="801"/>
      <c r="AZ128" s="800"/>
      <c r="BA128" s="800"/>
      <c r="BB128" s="800"/>
      <c r="BC128" s="782"/>
      <c r="BD128" s="800"/>
      <c r="BE128" s="800"/>
      <c r="BF128" s="800"/>
      <c r="BG128" s="800"/>
    </row>
    <row r="129" spans="1:71" x14ac:dyDescent="0.25">
      <c r="A129" s="35" t="s">
        <v>36</v>
      </c>
      <c r="B129" s="561"/>
      <c r="C129" s="562"/>
      <c r="D129" s="562"/>
      <c r="E129" s="562"/>
      <c r="F129" s="562"/>
      <c r="G129" s="563"/>
      <c r="H129" s="562"/>
      <c r="I129" s="563"/>
      <c r="J129" s="562"/>
      <c r="K129" s="564"/>
      <c r="L129" s="563"/>
      <c r="M129" s="563"/>
      <c r="N129" s="563"/>
      <c r="O129" s="563"/>
      <c r="P129" s="562"/>
      <c r="Q129" s="563"/>
      <c r="R129" s="562"/>
      <c r="S129" s="563"/>
      <c r="T129" s="564"/>
      <c r="U129" s="522"/>
      <c r="V129" s="522"/>
      <c r="W129" s="522"/>
      <c r="X129" s="522"/>
      <c r="Y129" s="522"/>
      <c r="Z129" s="522"/>
      <c r="AA129" s="522"/>
      <c r="AB129" s="522"/>
      <c r="AC129" s="522"/>
      <c r="AD129" s="522"/>
      <c r="AE129" s="522"/>
      <c r="AF129" s="522"/>
      <c r="AG129" s="522"/>
      <c r="AH129" s="522"/>
      <c r="AI129" s="522"/>
      <c r="AJ129" s="565"/>
      <c r="AK129" s="563"/>
      <c r="AL129" s="563"/>
      <c r="AM129" s="563"/>
      <c r="AN129" s="563"/>
      <c r="AO129" s="563"/>
      <c r="AP129" s="563"/>
      <c r="AQ129" s="563"/>
      <c r="AR129" s="563"/>
      <c r="AS129" s="792"/>
      <c r="AT129" s="796"/>
      <c r="AU129" s="796"/>
      <c r="AV129" s="796"/>
      <c r="AW129" s="800"/>
      <c r="AX129" s="800"/>
      <c r="AY129" s="801"/>
      <c r="AZ129" s="800"/>
      <c r="BA129" s="800"/>
      <c r="BB129" s="800"/>
      <c r="BC129" s="782"/>
      <c r="BD129" s="800"/>
      <c r="BE129" s="800"/>
      <c r="BF129" s="800"/>
      <c r="BG129" s="800"/>
    </row>
    <row r="130" spans="1:71" x14ac:dyDescent="0.25">
      <c r="A130" s="35" t="s">
        <v>37</v>
      </c>
      <c r="B130" s="561"/>
      <c r="C130" s="562"/>
      <c r="D130" s="562"/>
      <c r="E130" s="562"/>
      <c r="F130" s="562"/>
      <c r="G130" s="563"/>
      <c r="H130" s="562"/>
      <c r="I130" s="563"/>
      <c r="J130" s="562"/>
      <c r="K130" s="522"/>
      <c r="L130" s="563"/>
      <c r="M130" s="563"/>
      <c r="N130" s="563"/>
      <c r="O130" s="563"/>
      <c r="P130" s="562"/>
      <c r="Q130" s="563"/>
      <c r="R130" s="562"/>
      <c r="S130" s="563"/>
      <c r="T130" s="564"/>
      <c r="U130" s="522"/>
      <c r="V130" s="522"/>
      <c r="W130" s="522"/>
      <c r="X130" s="522"/>
      <c r="Y130" s="522"/>
      <c r="Z130" s="522"/>
      <c r="AA130" s="522"/>
      <c r="AB130" s="522"/>
      <c r="AC130" s="522"/>
      <c r="AD130" s="522"/>
      <c r="AE130" s="522"/>
      <c r="AF130" s="522"/>
      <c r="AG130" s="522"/>
      <c r="AH130" s="522"/>
      <c r="AI130" s="522"/>
      <c r="AJ130" s="565"/>
      <c r="AK130" s="563"/>
      <c r="AL130" s="563"/>
      <c r="AM130" s="563"/>
      <c r="AN130" s="563"/>
      <c r="AO130" s="563"/>
      <c r="AP130" s="563"/>
      <c r="AQ130" s="563"/>
      <c r="AR130" s="563"/>
      <c r="AS130" s="792"/>
      <c r="AT130" s="796"/>
      <c r="AU130" s="796"/>
      <c r="AV130" s="796"/>
      <c r="AW130" s="800"/>
      <c r="AX130" s="800"/>
      <c r="AY130" s="801"/>
      <c r="AZ130" s="800"/>
      <c r="BA130" s="800"/>
      <c r="BB130" s="800"/>
      <c r="BC130" s="782"/>
      <c r="BD130" s="800"/>
      <c r="BE130" s="800"/>
      <c r="BF130" s="800"/>
      <c r="BG130" s="800"/>
    </row>
    <row r="131" spans="1:71" x14ac:dyDescent="0.25">
      <c r="A131" s="35" t="s">
        <v>38</v>
      </c>
      <c r="B131" s="561"/>
      <c r="C131" s="562"/>
      <c r="D131" s="562"/>
      <c r="E131" s="562"/>
      <c r="F131" s="562"/>
      <c r="G131" s="563"/>
      <c r="H131" s="562"/>
      <c r="I131" s="563"/>
      <c r="J131" s="562"/>
      <c r="K131" s="522"/>
      <c r="L131" s="527"/>
      <c r="M131" s="527"/>
      <c r="N131" s="527"/>
      <c r="O131" s="527"/>
      <c r="P131" s="527"/>
      <c r="Q131" s="527"/>
      <c r="R131" s="527"/>
      <c r="S131" s="527"/>
      <c r="T131" s="528"/>
      <c r="U131" s="522"/>
      <c r="V131" s="522"/>
      <c r="W131" s="522"/>
      <c r="X131" s="522"/>
      <c r="Y131" s="522"/>
      <c r="Z131" s="522"/>
      <c r="AA131" s="522"/>
      <c r="AB131" s="522"/>
      <c r="AC131" s="522"/>
      <c r="AD131" s="522"/>
      <c r="AE131" s="522"/>
      <c r="AF131" s="522"/>
      <c r="AG131" s="522"/>
      <c r="AH131" s="522"/>
      <c r="AI131" s="522"/>
      <c r="AJ131" s="566"/>
      <c r="AK131" s="563"/>
      <c r="AL131" s="563"/>
      <c r="AM131" s="563"/>
      <c r="AN131" s="563"/>
      <c r="AO131" s="563"/>
      <c r="AP131" s="567"/>
      <c r="AQ131" s="563"/>
      <c r="AR131" s="563"/>
      <c r="AS131" s="792"/>
      <c r="AT131" s="796"/>
      <c r="AU131" s="796"/>
      <c r="AV131" s="796"/>
      <c r="AW131" s="800"/>
      <c r="AX131" s="800"/>
      <c r="AY131" s="801"/>
      <c r="AZ131" s="800"/>
      <c r="BA131" s="800"/>
      <c r="BB131" s="800"/>
      <c r="BC131" s="782"/>
      <c r="BD131" s="800"/>
      <c r="BE131" s="800"/>
      <c r="BF131" s="800"/>
      <c r="BG131" s="800"/>
    </row>
    <row r="132" spans="1:71" x14ac:dyDescent="0.25">
      <c r="A132" s="35" t="s">
        <v>39</v>
      </c>
      <c r="B132" s="561"/>
      <c r="C132" s="562"/>
      <c r="D132" s="562"/>
      <c r="E132" s="562"/>
      <c r="F132" s="562"/>
      <c r="G132" s="563"/>
      <c r="H132" s="562"/>
      <c r="I132" s="563"/>
      <c r="J132" s="562"/>
      <c r="K132" s="522"/>
      <c r="L132" s="527"/>
      <c r="M132" s="527"/>
      <c r="N132" s="527"/>
      <c r="O132" s="527"/>
      <c r="P132" s="527"/>
      <c r="Q132" s="527"/>
      <c r="R132" s="527"/>
      <c r="S132" s="527"/>
      <c r="T132" s="528"/>
      <c r="U132" s="522"/>
      <c r="V132" s="522"/>
      <c r="W132" s="522"/>
      <c r="X132" s="522"/>
      <c r="Y132" s="522"/>
      <c r="Z132" s="522"/>
      <c r="AA132" s="522"/>
      <c r="AB132" s="522"/>
      <c r="AC132" s="522"/>
      <c r="AD132" s="522"/>
      <c r="AE132" s="522"/>
      <c r="AF132" s="522"/>
      <c r="AG132" s="522"/>
      <c r="AH132" s="522"/>
      <c r="AI132" s="522"/>
      <c r="AJ132" s="566"/>
      <c r="AK132" s="563"/>
      <c r="AL132" s="563"/>
      <c r="AM132" s="563"/>
      <c r="AN132" s="563"/>
      <c r="AO132" s="563"/>
      <c r="AP132" s="567"/>
      <c r="AQ132" s="563"/>
      <c r="AR132" s="563"/>
      <c r="AS132" s="792"/>
      <c r="AT132" s="796"/>
      <c r="AU132" s="796"/>
      <c r="AV132" s="796"/>
      <c r="AW132" s="800"/>
      <c r="AX132" s="800"/>
      <c r="AY132" s="801"/>
      <c r="AZ132" s="800"/>
      <c r="BA132" s="800"/>
      <c r="BB132" s="800"/>
      <c r="BC132" s="782"/>
      <c r="BD132" s="800"/>
      <c r="BE132" s="800"/>
      <c r="BF132" s="800"/>
      <c r="BG132" s="800"/>
    </row>
    <row r="133" spans="1:71" x14ac:dyDescent="0.25">
      <c r="A133" s="35" t="s">
        <v>40</v>
      </c>
      <c r="B133" s="561"/>
      <c r="C133" s="562"/>
      <c r="D133" s="562"/>
      <c r="E133" s="562"/>
      <c r="F133" s="562"/>
      <c r="G133" s="563"/>
      <c r="H133" s="562"/>
      <c r="I133" s="563"/>
      <c r="J133" s="562"/>
      <c r="K133" s="522"/>
      <c r="L133" s="527"/>
      <c r="M133" s="527"/>
      <c r="N133" s="527"/>
      <c r="O133" s="527"/>
      <c r="P133" s="527"/>
      <c r="Q133" s="527"/>
      <c r="R133" s="527"/>
      <c r="S133" s="527"/>
      <c r="T133" s="528"/>
      <c r="U133" s="522"/>
      <c r="V133" s="522"/>
      <c r="W133" s="522"/>
      <c r="X133" s="522"/>
      <c r="Y133" s="522"/>
      <c r="Z133" s="522"/>
      <c r="AA133" s="522"/>
      <c r="AB133" s="522"/>
      <c r="AC133" s="522"/>
      <c r="AD133" s="522"/>
      <c r="AE133" s="522"/>
      <c r="AF133" s="522"/>
      <c r="AG133" s="522"/>
      <c r="AH133" s="522"/>
      <c r="AI133" s="522"/>
      <c r="AJ133" s="566"/>
      <c r="AK133" s="563"/>
      <c r="AL133" s="563"/>
      <c r="AM133" s="563"/>
      <c r="AN133" s="563"/>
      <c r="AO133" s="563"/>
      <c r="AP133" s="567"/>
      <c r="AQ133" s="563"/>
      <c r="AR133" s="563"/>
      <c r="AS133" s="563"/>
      <c r="AY133" s="2"/>
    </row>
    <row r="134" spans="1:71" x14ac:dyDescent="0.25">
      <c r="A134" s="35" t="s">
        <v>41</v>
      </c>
      <c r="B134" s="566"/>
      <c r="C134" s="563"/>
      <c r="D134" s="563"/>
      <c r="E134" s="563"/>
      <c r="F134" s="563"/>
      <c r="G134" s="563"/>
      <c r="H134" s="563"/>
      <c r="I134" s="563"/>
      <c r="J134" s="563"/>
      <c r="K134" s="522"/>
      <c r="L134" s="527"/>
      <c r="M134" s="527"/>
      <c r="N134" s="527"/>
      <c r="O134" s="527"/>
      <c r="P134" s="527"/>
      <c r="Q134" s="527"/>
      <c r="R134" s="527"/>
      <c r="S134" s="527"/>
      <c r="T134" s="528"/>
      <c r="U134" s="528"/>
      <c r="V134" s="528"/>
      <c r="W134" s="528"/>
      <c r="X134" s="792"/>
      <c r="Y134" s="792"/>
      <c r="Z134" s="792"/>
      <c r="AA134" s="792"/>
      <c r="AB134" s="792"/>
      <c r="AC134" s="792"/>
      <c r="AD134" s="792"/>
      <c r="AE134" s="792"/>
      <c r="AF134" s="792"/>
      <c r="AG134" s="792"/>
      <c r="AH134" s="792"/>
      <c r="AI134" s="792"/>
      <c r="AJ134" s="566"/>
      <c r="AK134" s="563"/>
      <c r="AL134" s="563"/>
      <c r="AM134" s="563"/>
      <c r="AN134" s="563"/>
      <c r="AO134" s="563"/>
      <c r="AP134" s="567"/>
      <c r="AQ134" s="567"/>
      <c r="AR134" s="567"/>
      <c r="AS134" s="567"/>
      <c r="AY134" s="2"/>
    </row>
    <row r="135" spans="1:71" x14ac:dyDescent="0.25">
      <c r="A135" s="568" t="s">
        <v>24</v>
      </c>
      <c r="B135" s="569"/>
      <c r="C135" s="555"/>
      <c r="D135" s="555"/>
      <c r="E135" s="555"/>
      <c r="F135" s="555"/>
      <c r="G135" s="569"/>
      <c r="H135" s="555"/>
      <c r="I135" s="569"/>
      <c r="J135" s="555"/>
      <c r="K135" s="500"/>
      <c r="L135" s="570"/>
      <c r="M135" s="570"/>
      <c r="N135" s="570"/>
      <c r="O135" s="570"/>
      <c r="P135" s="570"/>
      <c r="Q135" s="570"/>
      <c r="R135" s="570"/>
      <c r="S135" s="570"/>
      <c r="T135" s="571"/>
      <c r="U135" s="500"/>
      <c r="V135" s="500"/>
      <c r="W135" s="500"/>
      <c r="X135" s="500"/>
      <c r="Y135" s="500"/>
      <c r="Z135" s="500"/>
      <c r="AA135" s="500"/>
      <c r="AB135" s="500"/>
      <c r="AC135" s="500"/>
      <c r="AD135" s="500"/>
      <c r="AE135" s="500"/>
      <c r="AF135" s="500"/>
      <c r="AG135" s="500"/>
      <c r="AH135" s="500"/>
      <c r="AI135" s="500"/>
      <c r="AJ135" s="572"/>
      <c r="AK135" s="569"/>
      <c r="AL135" s="555"/>
      <c r="AM135" s="569"/>
      <c r="AN135" s="555"/>
      <c r="AO135" s="569"/>
      <c r="AP135" s="573"/>
      <c r="AQ135" s="500"/>
      <c r="AR135" s="500"/>
      <c r="AS135" s="500"/>
      <c r="AY135" s="2"/>
    </row>
    <row r="136" spans="1:71" x14ac:dyDescent="0.25">
      <c r="A136" s="35" t="s">
        <v>36</v>
      </c>
      <c r="B136" s="574"/>
      <c r="C136" s="575"/>
      <c r="D136" s="575"/>
      <c r="E136" s="575"/>
      <c r="F136" s="575"/>
      <c r="G136" s="576"/>
      <c r="H136" s="575"/>
      <c r="I136" s="576"/>
      <c r="J136" s="575"/>
      <c r="K136" s="577"/>
      <c r="L136" s="578"/>
      <c r="M136" s="578"/>
      <c r="N136" s="578"/>
      <c r="O136" s="578"/>
      <c r="P136" s="578"/>
      <c r="Q136" s="578"/>
      <c r="R136" s="578"/>
      <c r="S136" s="578"/>
      <c r="T136" s="576"/>
      <c r="U136" s="577"/>
      <c r="V136" s="571"/>
      <c r="W136" s="571"/>
      <c r="X136" s="793"/>
      <c r="Y136" s="793"/>
      <c r="Z136" s="793"/>
      <c r="AA136" s="793"/>
      <c r="AB136" s="793"/>
      <c r="AC136" s="793"/>
      <c r="AD136" s="793"/>
      <c r="AE136" s="793"/>
      <c r="AF136" s="793"/>
      <c r="AG136" s="793"/>
      <c r="AH136" s="793"/>
      <c r="AI136" s="793"/>
      <c r="AJ136" s="579"/>
      <c r="AK136" s="576"/>
      <c r="AL136" s="576"/>
      <c r="AM136" s="576"/>
      <c r="AN136" s="576"/>
      <c r="AO136" s="576"/>
      <c r="AP136" s="580"/>
      <c r="AQ136" s="580"/>
      <c r="AR136" s="580"/>
      <c r="AS136" s="580"/>
      <c r="AY136" s="2"/>
    </row>
    <row r="137" spans="1:71" x14ac:dyDescent="0.25">
      <c r="A137" s="35" t="s">
        <v>37</v>
      </c>
      <c r="B137" s="574"/>
      <c r="C137" s="575"/>
      <c r="D137" s="575"/>
      <c r="E137" s="575"/>
      <c r="F137" s="575"/>
      <c r="G137" s="576"/>
      <c r="H137" s="575"/>
      <c r="I137" s="576"/>
      <c r="J137" s="575"/>
      <c r="K137" s="577"/>
      <c r="L137" s="578"/>
      <c r="M137" s="578"/>
      <c r="N137" s="578"/>
      <c r="O137" s="578"/>
      <c r="P137" s="578"/>
      <c r="Q137" s="578"/>
      <c r="R137" s="578"/>
      <c r="S137" s="578"/>
      <c r="T137" s="576"/>
      <c r="U137" s="577"/>
      <c r="V137" s="571"/>
      <c r="W137" s="571"/>
      <c r="X137" s="793"/>
      <c r="Y137" s="793"/>
      <c r="Z137" s="793"/>
      <c r="AA137" s="793"/>
      <c r="AB137" s="793"/>
      <c r="AC137" s="793"/>
      <c r="AD137" s="793"/>
      <c r="AE137" s="793"/>
      <c r="AF137" s="793"/>
      <c r="AG137" s="793"/>
      <c r="AH137" s="793"/>
      <c r="AI137" s="793"/>
      <c r="AJ137" s="579"/>
      <c r="AK137" s="576"/>
      <c r="AL137" s="576"/>
      <c r="AM137" s="576"/>
      <c r="AN137" s="576"/>
      <c r="AO137" s="576"/>
      <c r="AP137" s="580"/>
      <c r="AQ137" s="580"/>
      <c r="AR137" s="580"/>
      <c r="AS137" s="580"/>
    </row>
    <row r="138" spans="1:71" x14ac:dyDescent="0.25">
      <c r="A138" s="35" t="s">
        <v>38</v>
      </c>
      <c r="B138" s="574"/>
      <c r="C138" s="575"/>
      <c r="D138" s="575"/>
      <c r="E138" s="575"/>
      <c r="F138" s="575"/>
      <c r="G138" s="576"/>
      <c r="H138" s="575"/>
      <c r="I138" s="576"/>
      <c r="J138" s="575"/>
      <c r="K138" s="577"/>
      <c r="L138" s="578"/>
      <c r="M138" s="578"/>
      <c r="N138" s="578"/>
      <c r="O138" s="578"/>
      <c r="P138" s="578"/>
      <c r="Q138" s="578"/>
      <c r="R138" s="578"/>
      <c r="S138" s="578"/>
      <c r="T138" s="576"/>
      <c r="U138" s="577"/>
      <c r="V138" s="571"/>
      <c r="W138" s="571"/>
      <c r="X138" s="793"/>
      <c r="Y138" s="793"/>
      <c r="Z138" s="793"/>
      <c r="AA138" s="793"/>
      <c r="AB138" s="793"/>
      <c r="AC138" s="793"/>
      <c r="AD138" s="793"/>
      <c r="AE138" s="793"/>
      <c r="AF138" s="793"/>
      <c r="AG138" s="793"/>
      <c r="AH138" s="793"/>
      <c r="AI138" s="793"/>
      <c r="AJ138" s="579"/>
      <c r="AK138" s="576"/>
      <c r="AL138" s="576"/>
      <c r="AM138" s="576"/>
      <c r="AN138" s="576"/>
      <c r="AO138" s="576"/>
      <c r="AP138" s="580"/>
      <c r="AQ138" s="580"/>
      <c r="AR138" s="580"/>
      <c r="AS138" s="580"/>
    </row>
    <row r="139" spans="1:71" x14ac:dyDescent="0.25">
      <c r="A139" s="35" t="s">
        <v>39</v>
      </c>
      <c r="B139" s="574"/>
      <c r="C139" s="575"/>
      <c r="D139" s="575"/>
      <c r="E139" s="575"/>
      <c r="F139" s="575"/>
      <c r="G139" s="576"/>
      <c r="H139" s="575"/>
      <c r="I139" s="576"/>
      <c r="J139" s="575"/>
      <c r="K139" s="577"/>
      <c r="L139" s="581"/>
      <c r="M139" s="581"/>
      <c r="N139" s="581"/>
      <c r="O139" s="581"/>
      <c r="P139" s="578"/>
      <c r="Q139" s="578"/>
      <c r="R139" s="578"/>
      <c r="S139" s="578"/>
      <c r="T139" s="576"/>
      <c r="U139" s="577"/>
      <c r="V139" s="571"/>
      <c r="W139" s="571"/>
      <c r="X139" s="793"/>
      <c r="Y139" s="793"/>
      <c r="Z139" s="793"/>
      <c r="AA139" s="793"/>
      <c r="AB139" s="793"/>
      <c r="AC139" s="793"/>
      <c r="AD139" s="793"/>
      <c r="AE139" s="793"/>
      <c r="AF139" s="793"/>
      <c r="AG139" s="793"/>
      <c r="AH139" s="793"/>
      <c r="AI139" s="793"/>
      <c r="AJ139" s="579"/>
      <c r="AK139" s="576"/>
      <c r="AL139" s="576"/>
      <c r="AM139" s="576"/>
      <c r="AN139" s="576"/>
      <c r="AO139" s="576"/>
      <c r="AP139" s="580"/>
      <c r="AQ139" s="580"/>
      <c r="AR139" s="580"/>
      <c r="AS139" s="580"/>
    </row>
    <row r="140" spans="1:71" x14ac:dyDescent="0.25">
      <c r="A140" s="35" t="s">
        <v>40</v>
      </c>
      <c r="B140" s="574"/>
      <c r="C140" s="575"/>
      <c r="D140" s="575"/>
      <c r="E140" s="575"/>
      <c r="F140" s="575"/>
      <c r="G140" s="576"/>
      <c r="H140" s="575"/>
      <c r="I140" s="576"/>
      <c r="J140" s="575"/>
      <c r="K140" s="577"/>
      <c r="L140" s="582"/>
      <c r="M140" s="583"/>
      <c r="N140" s="583"/>
      <c r="O140" s="583"/>
      <c r="P140" s="581"/>
      <c r="Q140" s="581"/>
      <c r="R140" s="581"/>
      <c r="S140" s="581"/>
      <c r="T140" s="576"/>
      <c r="U140" s="577"/>
      <c r="V140" s="577"/>
      <c r="W140" s="577"/>
      <c r="X140" s="577"/>
      <c r="Y140" s="577"/>
      <c r="Z140" s="577"/>
      <c r="AA140" s="577"/>
      <c r="AB140" s="577"/>
      <c r="AC140" s="577"/>
      <c r="AD140" s="577"/>
      <c r="AE140" s="577"/>
      <c r="AF140" s="577"/>
      <c r="AG140" s="577"/>
      <c r="AH140" s="577"/>
      <c r="AI140" s="577"/>
      <c r="AJ140" s="579"/>
      <c r="AK140" s="576"/>
      <c r="AL140" s="576"/>
      <c r="AM140" s="576"/>
      <c r="AN140" s="576"/>
      <c r="AO140" s="576"/>
      <c r="AP140" s="580"/>
      <c r="AQ140" s="580"/>
      <c r="AR140" s="580"/>
      <c r="AS140" s="580"/>
    </row>
    <row r="141" spans="1:71" ht="15.75" thickBot="1" x14ac:dyDescent="0.3">
      <c r="A141" s="36" t="s">
        <v>41</v>
      </c>
      <c r="B141" s="584"/>
      <c r="C141" s="585"/>
      <c r="D141" s="585"/>
      <c r="E141" s="585"/>
      <c r="F141" s="585"/>
      <c r="G141" s="585"/>
      <c r="H141" s="585"/>
      <c r="I141" s="585"/>
      <c r="J141" s="585"/>
      <c r="K141" s="586"/>
      <c r="L141" s="585"/>
      <c r="M141" s="587"/>
      <c r="N141" s="585"/>
      <c r="O141" s="585"/>
      <c r="P141" s="585"/>
      <c r="Q141" s="585"/>
      <c r="R141" s="585"/>
      <c r="S141" s="585"/>
      <c r="T141" s="588"/>
      <c r="U141" s="588"/>
      <c r="V141" s="588"/>
      <c r="W141" s="588"/>
      <c r="X141" s="751"/>
      <c r="Y141" s="751"/>
      <c r="Z141" s="751"/>
      <c r="AA141" s="751"/>
      <c r="AB141" s="751"/>
      <c r="AC141" s="751"/>
      <c r="AD141" s="751"/>
      <c r="AE141" s="751"/>
      <c r="AF141" s="751"/>
      <c r="AG141" s="751"/>
      <c r="AH141" s="751"/>
      <c r="AI141" s="751"/>
      <c r="AJ141" s="585"/>
      <c r="AK141" s="585"/>
      <c r="AL141" s="585"/>
      <c r="AM141" s="585"/>
      <c r="AN141" s="585"/>
      <c r="AO141" s="585"/>
      <c r="AP141" s="588"/>
      <c r="AQ141" s="588"/>
      <c r="AR141" s="588"/>
      <c r="AS141" s="588"/>
    </row>
    <row r="142" spans="1:71" ht="15.75" thickTop="1" x14ac:dyDescent="0.25"/>
    <row r="143" spans="1:71" x14ac:dyDescent="0.25">
      <c r="A143" s="1" t="s">
        <v>27</v>
      </c>
    </row>
    <row r="144" spans="1:71" ht="191.25" customHeight="1" x14ac:dyDescent="0.25">
      <c r="A144" s="589" t="s">
        <v>51</v>
      </c>
      <c r="B144" s="493" t="s">
        <v>53</v>
      </c>
      <c r="C144" s="493"/>
      <c r="D144" s="493"/>
      <c r="E144" s="493"/>
      <c r="F144" s="493"/>
      <c r="G144" s="493"/>
      <c r="H144" s="493"/>
      <c r="I144" s="493"/>
      <c r="J144" s="493"/>
      <c r="K144" s="493"/>
      <c r="M144" s="590" t="s">
        <v>52</v>
      </c>
      <c r="N144" s="590"/>
      <c r="O144" s="590"/>
      <c r="P144" s="590"/>
      <c r="Q144" s="590"/>
      <c r="R144" s="591"/>
      <c r="S144" s="592" t="s">
        <v>54</v>
      </c>
      <c r="T144" s="592"/>
      <c r="U144" s="592"/>
      <c r="V144" s="592"/>
      <c r="W144" s="592"/>
      <c r="X144" s="781"/>
      <c r="Y144" s="781"/>
      <c r="Z144" s="781"/>
      <c r="AA144" s="781"/>
      <c r="AB144" s="781"/>
      <c r="AC144" s="781"/>
      <c r="AD144" s="781"/>
      <c r="AE144" s="781"/>
      <c r="AF144" s="781"/>
      <c r="AG144" s="781"/>
      <c r="AH144" s="781"/>
      <c r="AI144" s="781"/>
      <c r="AJ144" s="592"/>
      <c r="AK144" s="592"/>
      <c r="AL144" s="592"/>
      <c r="AM144" s="592"/>
      <c r="AO144" s="845" t="s">
        <v>55</v>
      </c>
      <c r="AP144" s="845"/>
      <c r="AQ144" s="845"/>
      <c r="AR144" s="845"/>
      <c r="AS144" s="845"/>
      <c r="AT144" s="845"/>
      <c r="AU144" s="845"/>
      <c r="AW144" s="845" t="s">
        <v>56</v>
      </c>
      <c r="AX144" s="845"/>
      <c r="AY144" s="845"/>
      <c r="AZ144" s="845"/>
      <c r="BA144" s="845"/>
      <c r="BB144" s="845"/>
      <c r="BD144" s="845" t="s">
        <v>58</v>
      </c>
      <c r="BE144" s="845"/>
      <c r="BF144" s="845"/>
      <c r="BG144" s="845"/>
      <c r="BH144" s="845"/>
      <c r="BJ144" s="846" t="s">
        <v>59</v>
      </c>
      <c r="BK144" s="846"/>
      <c r="BL144" s="846"/>
      <c r="BM144" s="846"/>
      <c r="BN144" s="846"/>
      <c r="BO144" s="847" t="s">
        <v>60</v>
      </c>
      <c r="BP144" s="847"/>
      <c r="BQ144" s="847"/>
      <c r="BR144" s="847"/>
      <c r="BS144" s="847"/>
    </row>
    <row r="147" spans="1:11" x14ac:dyDescent="0.25">
      <c r="A147" s="593" t="s">
        <v>26</v>
      </c>
    </row>
    <row r="148" spans="1:11" ht="97.5" customHeight="1" x14ac:dyDescent="0.25">
      <c r="A148" s="594"/>
      <c r="B148" s="594"/>
      <c r="C148" s="594"/>
      <c r="D148" s="594"/>
      <c r="E148" s="594"/>
      <c r="F148" s="594"/>
      <c r="G148" s="594"/>
      <c r="H148" s="594"/>
      <c r="I148" s="594"/>
      <c r="J148" s="594"/>
      <c r="K148" s="594"/>
    </row>
    <row r="149" spans="1:11" ht="52.5" customHeight="1" x14ac:dyDescent="0.25">
      <c r="A149" s="594"/>
      <c r="B149" s="594"/>
      <c r="C149" s="594"/>
      <c r="D149" s="594"/>
      <c r="E149" s="594"/>
      <c r="F149" s="594"/>
      <c r="G149" s="594"/>
      <c r="H149" s="594"/>
      <c r="I149" s="594"/>
      <c r="J149" s="594"/>
      <c r="K149" s="594"/>
    </row>
    <row r="150" spans="1:11" ht="37.5" customHeight="1" x14ac:dyDescent="0.25">
      <c r="A150" s="594"/>
      <c r="B150" s="594"/>
      <c r="C150" s="594"/>
      <c r="D150" s="594"/>
      <c r="E150" s="594"/>
      <c r="F150" s="594"/>
      <c r="G150" s="594"/>
      <c r="H150" s="594"/>
      <c r="I150" s="594"/>
      <c r="J150" s="594"/>
      <c r="K150" s="594"/>
    </row>
    <row r="151" spans="1:11" ht="63.75" customHeight="1" x14ac:dyDescent="0.25">
      <c r="A151" s="594"/>
      <c r="B151" s="594"/>
      <c r="C151" s="594"/>
      <c r="D151" s="594"/>
      <c r="E151" s="594"/>
      <c r="F151" s="594"/>
      <c r="G151" s="594"/>
      <c r="H151" s="594"/>
      <c r="I151" s="594"/>
      <c r="J151" s="594"/>
      <c r="K151" s="594"/>
    </row>
  </sheetData>
  <mergeCells count="5">
    <mergeCell ref="AO144:AU144"/>
    <mergeCell ref="AW144:BB144"/>
    <mergeCell ref="BD144:BH144"/>
    <mergeCell ref="BJ144:BN144"/>
    <mergeCell ref="BO144:BS144"/>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a2e695b4-9150-42fe-b9c3-37332672e6b0"/>
    <ds:schemaRef ds:uri="f0d9c22b-fcf1-4ac5-af28-836ba5e16df8"/>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2022-01-11T16:59:03Z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