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O:\Customer Service\Credit &amp; Collections\Arrearage Reporting\08-August 2022\"/>
    </mc:Choice>
  </mc:AlternateContent>
  <xr:revisionPtr revIDLastSave="0" documentId="8_{8CEA555D-1E64-45F3-B679-3187EEFFC8A4}" xr6:coauthVersionLast="47" xr6:coauthVersionMax="47" xr10:uidLastSave="{00000000-0000-0000-0000-000000000000}"/>
  <bookViews>
    <workbookView xWindow="15375" yWindow="960" windowWidth="20820" windowHeight="19065" tabRatio="599" xr2:uid="{00000000-000D-0000-FFFF-FFFF00000000}"/>
  </bookViews>
  <sheets>
    <sheet name="Monthly" sheetId="2" r:id="rId1"/>
    <sheet name="Weekly" sheetId="3" r:id="rId2"/>
    <sheet name="Blackstone-weekly" sheetId="7" r:id="rId3"/>
    <sheet name="Blackstone-monthly" sheetId="6" r:id="rId4"/>
  </sheets>
  <definedNames>
    <definedName name="_xlnm.Print_Area" localSheetId="2">'Blackstone-weekly'!$A$9:$A$64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34" i="2" l="1"/>
  <c r="AR127" i="2"/>
  <c r="AR123" i="2"/>
  <c r="AR120" i="2"/>
  <c r="AR119" i="2"/>
  <c r="AR118" i="2"/>
  <c r="AR117" i="2"/>
  <c r="AR116" i="2"/>
  <c r="AR115" i="2"/>
  <c r="AR98" i="2"/>
  <c r="AR97" i="2"/>
  <c r="AR96" i="2"/>
  <c r="AR95" i="2"/>
  <c r="AR94" i="2"/>
  <c r="AR99" i="2" s="1"/>
  <c r="AQ95" i="2"/>
  <c r="AQ96" i="2"/>
  <c r="AQ97" i="2"/>
  <c r="AQ98" i="2"/>
  <c r="AQ99" i="2"/>
  <c r="AR85" i="2"/>
  <c r="AR84" i="2"/>
  <c r="AR83" i="2"/>
  <c r="AR82" i="2"/>
  <c r="AR81" i="2"/>
  <c r="AR80" i="2"/>
  <c r="AR78" i="2"/>
  <c r="AR77" i="2"/>
  <c r="AR76" i="2"/>
  <c r="AR75" i="2"/>
  <c r="AR74" i="2"/>
  <c r="AR73" i="2"/>
  <c r="AR71" i="2"/>
  <c r="AR69" i="2"/>
  <c r="AR68" i="2"/>
  <c r="AR67" i="2"/>
  <c r="AR66" i="2"/>
  <c r="AR64" i="2"/>
  <c r="AR62" i="2"/>
  <c r="AR61" i="2"/>
  <c r="AR60" i="2"/>
  <c r="AR59" i="2"/>
  <c r="AR57" i="2"/>
  <c r="AR55" i="2"/>
  <c r="AR54" i="2"/>
  <c r="AR53" i="2"/>
  <c r="AR52" i="2"/>
  <c r="AR50" i="2"/>
  <c r="AR48" i="2"/>
  <c r="AR47" i="2"/>
  <c r="AR46" i="2"/>
  <c r="AR45" i="2"/>
  <c r="AR43" i="2"/>
  <c r="AR41" i="2"/>
  <c r="AR40" i="2"/>
  <c r="AR39" i="2"/>
  <c r="AR38" i="2"/>
  <c r="AR36" i="2"/>
  <c r="AR34" i="2"/>
  <c r="AR33" i="2"/>
  <c r="AR32" i="2"/>
  <c r="AR31" i="2"/>
  <c r="AR29" i="2"/>
  <c r="AR27" i="2"/>
  <c r="AR26" i="2"/>
  <c r="AR25" i="2"/>
  <c r="AR24" i="2"/>
  <c r="AR22" i="2"/>
  <c r="AR20" i="2"/>
  <c r="AR19" i="2"/>
  <c r="AR18" i="2"/>
  <c r="AR17" i="2"/>
  <c r="AR15" i="2" l="1"/>
  <c r="AR14" i="2"/>
  <c r="AR13" i="2"/>
  <c r="AR12" i="2"/>
  <c r="AR11" i="2"/>
  <c r="AR10" i="2"/>
  <c r="AP22" i="2"/>
  <c r="AP20" i="2"/>
  <c r="AP19" i="2"/>
  <c r="AP18" i="2"/>
  <c r="AP17" i="2"/>
  <c r="AQ141" i="2"/>
  <c r="AQ134" i="2"/>
  <c r="AQ127" i="2"/>
  <c r="AQ123" i="2"/>
  <c r="AQ22" i="2"/>
  <c r="AQ20" i="2"/>
  <c r="AQ19" i="2"/>
  <c r="AQ18" i="2"/>
  <c r="AQ17" i="2"/>
  <c r="AQ115" i="2" l="1"/>
  <c r="AQ116" i="2"/>
  <c r="AQ117" i="2"/>
  <c r="AQ118" i="2"/>
  <c r="AQ119" i="2"/>
  <c r="AQ120" i="2"/>
  <c r="AQ94" i="2"/>
  <c r="AQ85" i="2"/>
  <c r="AQ84" i="2"/>
  <c r="AQ83" i="2"/>
  <c r="AQ82" i="2"/>
  <c r="AQ81" i="2"/>
  <c r="AQ80" i="2"/>
  <c r="AQ78" i="2"/>
  <c r="AQ77" i="2"/>
  <c r="AQ76" i="2"/>
  <c r="AQ75" i="2"/>
  <c r="AQ74" i="2"/>
  <c r="AQ73" i="2"/>
  <c r="AQ71" i="2"/>
  <c r="AQ69" i="2"/>
  <c r="AQ47" i="2"/>
  <c r="AQ68" i="2" s="1"/>
  <c r="AQ67" i="2"/>
  <c r="AQ66" i="2"/>
  <c r="AQ64" i="2"/>
  <c r="AQ62" i="2"/>
  <c r="AQ61" i="2"/>
  <c r="AQ60" i="2"/>
  <c r="AQ59" i="2"/>
  <c r="AQ57" i="2"/>
  <c r="AQ55" i="2"/>
  <c r="AQ54" i="2"/>
  <c r="AQ53" i="2"/>
  <c r="AQ52" i="2"/>
  <c r="AQ48" i="2"/>
  <c r="AQ46" i="2"/>
  <c r="AQ45" i="2"/>
  <c r="AQ50" i="2" l="1"/>
  <c r="AQ43" i="2"/>
  <c r="AQ41" i="2"/>
  <c r="AQ40" i="2"/>
  <c r="AQ39" i="2"/>
  <c r="AQ38" i="2"/>
  <c r="AQ36" i="2"/>
  <c r="AQ34" i="2"/>
  <c r="AQ33" i="2"/>
  <c r="AQ32" i="2"/>
  <c r="AQ31" i="2"/>
  <c r="AQ29" i="2"/>
  <c r="AQ27" i="2"/>
  <c r="AQ26" i="2"/>
  <c r="AQ24" i="2"/>
  <c r="AQ25" i="2"/>
  <c r="AQ10" i="2"/>
  <c r="AQ11" i="2"/>
  <c r="AQ12" i="2"/>
  <c r="AQ13" i="2"/>
  <c r="AQ14" i="2"/>
  <c r="AQ15" i="2"/>
  <c r="AP71" i="2" l="1"/>
  <c r="AP69" i="2"/>
  <c r="AP68" i="2"/>
  <c r="AP67" i="2"/>
  <c r="AP66" i="2"/>
  <c r="AP64" i="2"/>
  <c r="AP62" i="2"/>
  <c r="AP61" i="2"/>
  <c r="AP60" i="2"/>
  <c r="AP59" i="2"/>
  <c r="AP57" i="2"/>
  <c r="AP55" i="2"/>
  <c r="AP54" i="2"/>
  <c r="AP53" i="2"/>
  <c r="AP52" i="2"/>
  <c r="AP50" i="2"/>
  <c r="AP48" i="2"/>
  <c r="AP47" i="2"/>
  <c r="AP46" i="2"/>
  <c r="AP45" i="2"/>
  <c r="AP41" i="2"/>
  <c r="AP40" i="2"/>
  <c r="AP39" i="2"/>
  <c r="AP38" i="2"/>
  <c r="AP36" i="2"/>
  <c r="AP34" i="2"/>
  <c r="AP33" i="2"/>
  <c r="AP32" i="2"/>
  <c r="AP31" i="2"/>
  <c r="AP29" i="2"/>
  <c r="AP27" i="2"/>
  <c r="AP26" i="2"/>
  <c r="AP25" i="2"/>
  <c r="AP24" i="2"/>
  <c r="AP43" i="2" l="1"/>
  <c r="AO64" i="6" l="1"/>
  <c r="AO57" i="6"/>
  <c r="AO50" i="6"/>
  <c r="AP10" i="2" l="1"/>
  <c r="AP15" i="2" s="1"/>
  <c r="AP11" i="2"/>
  <c r="AP12" i="2"/>
  <c r="AP13" i="2"/>
  <c r="AP14" i="2"/>
  <c r="AP141" i="2" l="1"/>
  <c r="AP134" i="2"/>
  <c r="AP127" i="2"/>
  <c r="AP123" i="2"/>
  <c r="AP119" i="2"/>
  <c r="AP120" i="2"/>
  <c r="AP118" i="2"/>
  <c r="AP116" i="2"/>
  <c r="AP117" i="2"/>
  <c r="AP115" i="2"/>
  <c r="AP98" i="2"/>
  <c r="AP97" i="2"/>
  <c r="AP96" i="2"/>
  <c r="AP95" i="2"/>
  <c r="AP94" i="2"/>
  <c r="AP99" i="2" s="1"/>
  <c r="AP85" i="2"/>
  <c r="AP84" i="2"/>
  <c r="AP83" i="2"/>
  <c r="AP82" i="2"/>
  <c r="AP81" i="2"/>
  <c r="AP80" i="2"/>
  <c r="AP78" i="2"/>
  <c r="AP77" i="2"/>
  <c r="AP76" i="2"/>
  <c r="AP75" i="2"/>
  <c r="AP74" i="2"/>
  <c r="AP73" i="2"/>
  <c r="AO141" i="2" l="1"/>
  <c r="AO134" i="2"/>
  <c r="AO127" i="2"/>
  <c r="AO123" i="2"/>
  <c r="AO116" i="2"/>
  <c r="AO117" i="2"/>
  <c r="AO118" i="2"/>
  <c r="AO119" i="2"/>
  <c r="AO115" i="2"/>
  <c r="AO106" i="2"/>
  <c r="AO120" i="2" s="1"/>
  <c r="AO99" i="2"/>
  <c r="AO98" i="2"/>
  <c r="AO97" i="2"/>
  <c r="AO96" i="2"/>
  <c r="AO95" i="2"/>
  <c r="AO94" i="2"/>
  <c r="AO85" i="2"/>
  <c r="AO84" i="2"/>
  <c r="AO83" i="2" l="1"/>
  <c r="AO82" i="2"/>
  <c r="AO81" i="2"/>
  <c r="AO80" i="2"/>
  <c r="AO78" i="2"/>
  <c r="AO77" i="2"/>
  <c r="AO76" i="2"/>
  <c r="AO75" i="2"/>
  <c r="AO74" i="2"/>
  <c r="AO73" i="2"/>
  <c r="AO71" i="2"/>
  <c r="AO70" i="2"/>
  <c r="AO69" i="2"/>
  <c r="AO68" i="2"/>
  <c r="AO67" i="2"/>
  <c r="AO66" i="2"/>
  <c r="AO64" i="2"/>
  <c r="AO61" i="2"/>
  <c r="AO62" i="2"/>
  <c r="AO60" i="2"/>
  <c r="AO59" i="2"/>
  <c r="AO57" i="2"/>
  <c r="AO55" i="2"/>
  <c r="AO53" i="2"/>
  <c r="AO54" i="2"/>
  <c r="AO52" i="2"/>
  <c r="AO50" i="2"/>
  <c r="AO48" i="2"/>
  <c r="AO47" i="2"/>
  <c r="AO46" i="2"/>
  <c r="AO45" i="2"/>
  <c r="AO43" i="2"/>
  <c r="AO42" i="2"/>
  <c r="AO41" i="2"/>
  <c r="AO40" i="2"/>
  <c r="AO39" i="2"/>
  <c r="AO38" i="2"/>
  <c r="AO36" i="2"/>
  <c r="AO34" i="2"/>
  <c r="AO33" i="2"/>
  <c r="AO32" i="2"/>
  <c r="AO31" i="2"/>
  <c r="AO29" i="2"/>
  <c r="AO27" i="2"/>
  <c r="AO26" i="2"/>
  <c r="AO25" i="2"/>
  <c r="AO24" i="2"/>
  <c r="AO15" i="2" l="1"/>
  <c r="AO14" i="2"/>
  <c r="AO13" i="2"/>
  <c r="AO12" i="2"/>
  <c r="AO11" i="2"/>
  <c r="AO10" i="2"/>
  <c r="AM106" i="6"/>
  <c r="AM99" i="6"/>
  <c r="AM85" i="6"/>
  <c r="AJ78" i="6"/>
  <c r="AM78" i="6"/>
  <c r="AL78" i="6"/>
  <c r="AK78" i="6"/>
  <c r="AM67" i="6"/>
  <c r="AM71" i="6" s="1"/>
  <c r="AM68" i="6"/>
  <c r="AM66" i="6"/>
  <c r="AM64" i="6"/>
  <c r="AM57" i="6"/>
  <c r="AM50" i="6"/>
  <c r="AM15" i="6"/>
  <c r="AN62" i="2" l="1"/>
  <c r="AN61" i="2"/>
  <c r="AN60" i="2"/>
  <c r="AN59" i="2"/>
  <c r="AN64" i="2" s="1"/>
  <c r="AN41" i="2"/>
  <c r="AN40" i="2"/>
  <c r="AN39" i="2"/>
  <c r="AN43" i="2" s="1"/>
  <c r="AN38" i="2"/>
  <c r="AN55" i="2"/>
  <c r="AN54" i="2"/>
  <c r="AN53" i="2"/>
  <c r="AN52" i="2"/>
  <c r="AN57" i="2" s="1"/>
  <c r="AN36" i="2"/>
  <c r="AN34" i="2"/>
  <c r="AN33" i="2"/>
  <c r="AN32" i="2"/>
  <c r="AN31" i="2"/>
  <c r="AN48" i="2"/>
  <c r="AN47" i="2"/>
  <c r="AN46" i="2"/>
  <c r="AN45" i="2"/>
  <c r="AN28" i="2"/>
  <c r="AN27" i="2"/>
  <c r="AN26" i="2"/>
  <c r="AN25" i="2"/>
  <c r="AN24" i="2"/>
  <c r="AN50" i="2" l="1"/>
  <c r="AN71" i="2" s="1"/>
  <c r="AN29" i="2"/>
  <c r="AN67" i="2"/>
  <c r="AN68" i="2"/>
  <c r="AN69" i="2"/>
  <c r="AN70" i="2"/>
  <c r="AN66" i="2"/>
  <c r="AN134" i="2" l="1"/>
  <c r="AN127" i="2"/>
  <c r="AN123" i="2"/>
  <c r="AN119" i="2"/>
  <c r="AN113" i="2"/>
  <c r="AN96" i="2"/>
  <c r="AN117" i="2" s="1"/>
  <c r="AN97" i="2"/>
  <c r="AN118" i="2" s="1"/>
  <c r="AN98" i="2"/>
  <c r="AN94" i="2"/>
  <c r="AN115" i="2" s="1"/>
  <c r="AN84" i="2"/>
  <c r="AN83" i="2"/>
  <c r="AN82" i="2"/>
  <c r="AN81" i="2"/>
  <c r="AN95" i="2" s="1"/>
  <c r="AN116" i="2" s="1"/>
  <c r="AN80" i="2"/>
  <c r="AN77" i="2"/>
  <c r="AN76" i="2"/>
  <c r="AN75" i="2"/>
  <c r="AN74" i="2"/>
  <c r="AN73" i="2"/>
  <c r="AN14" i="2"/>
  <c r="AN13" i="2"/>
  <c r="AN12" i="2"/>
  <c r="AN11" i="2"/>
  <c r="AN10" i="2"/>
  <c r="AN15" i="2" s="1"/>
  <c r="AN85" i="2" l="1"/>
  <c r="AN99" i="2" s="1"/>
  <c r="AN120" i="2" s="1"/>
  <c r="AN78" i="2"/>
  <c r="AL106" i="6" l="1"/>
  <c r="AL99" i="6"/>
  <c r="AL85" i="6"/>
  <c r="AL67" i="6"/>
  <c r="AL68" i="6"/>
  <c r="AL66" i="6"/>
  <c r="AL71" i="6" s="1"/>
  <c r="AL64" i="6"/>
  <c r="AL57" i="6"/>
  <c r="AL50" i="6"/>
  <c r="AL15" i="6"/>
  <c r="AM18" i="2" l="1"/>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7" i="2"/>
  <c r="AM76" i="2"/>
  <c r="AM75" i="2"/>
  <c r="AM73" i="2"/>
  <c r="AM74" i="2"/>
  <c r="AM14" i="2"/>
  <c r="AM15" i="2" s="1"/>
  <c r="AM13" i="2"/>
  <c r="AM12" i="2"/>
  <c r="AM10" i="2"/>
  <c r="AM11" i="2"/>
  <c r="AM78" i="2" l="1"/>
  <c r="AK106" i="6" l="1"/>
  <c r="AJ99" i="6"/>
  <c r="AK99" i="6"/>
  <c r="AK85" i="6"/>
  <c r="AK67" i="6"/>
  <c r="AK68" i="6"/>
  <c r="AK66" i="6"/>
  <c r="AK71" i="6" s="1"/>
  <c r="AK64" i="6"/>
  <c r="AK57" i="6"/>
  <c r="AK50" i="6"/>
  <c r="AK15" i="6"/>
  <c r="AL134" i="2" l="1"/>
  <c r="AL68" i="2" l="1"/>
  <c r="AL69" i="2"/>
  <c r="AL70" i="2"/>
  <c r="AL39" i="2"/>
  <c r="AL38" i="2"/>
  <c r="AL60" i="2"/>
  <c r="AL59" i="2"/>
  <c r="AL53" i="2"/>
  <c r="AL32" i="2"/>
  <c r="AL31" i="2"/>
  <c r="AL52" i="2"/>
  <c r="AL25" i="2"/>
  <c r="AL24" i="2"/>
  <c r="AL46" i="2"/>
  <c r="AL67" i="2" s="1"/>
  <c r="AL45" i="2"/>
  <c r="AL66" i="2" s="1"/>
  <c r="AL19" i="2"/>
  <c r="AL17" i="2"/>
  <c r="AL18" i="2"/>
  <c r="AL141" i="2" l="1"/>
  <c r="AL127" i="2"/>
  <c r="AL77" i="2"/>
  <c r="AL76" i="2"/>
  <c r="AL75" i="2"/>
  <c r="AL73" i="2"/>
  <c r="AL74" i="2"/>
  <c r="AL84" i="2"/>
  <c r="AL98" i="2" s="1"/>
  <c r="AL83" i="2"/>
  <c r="AL97" i="2" s="1"/>
  <c r="AL82" i="2"/>
  <c r="AL85" i="2" s="1"/>
  <c r="AL80" i="2"/>
  <c r="AL94" i="2" s="1"/>
  <c r="AL81" i="2"/>
  <c r="AL95" i="2" s="1"/>
  <c r="AL96" i="2" l="1"/>
  <c r="AL78" i="2"/>
  <c r="AL14" i="2"/>
  <c r="AL13" i="2"/>
  <c r="AL12" i="2"/>
  <c r="AL10" i="2"/>
  <c r="AL11" i="2"/>
  <c r="AL15" i="2" l="1"/>
  <c r="AL22" i="2"/>
  <c r="AL29" i="2"/>
  <c r="AL36" i="2"/>
  <c r="AL43" i="2"/>
  <c r="AL50" i="2"/>
  <c r="AL57" i="2"/>
  <c r="AL64" i="2"/>
  <c r="AL99" i="2"/>
  <c r="AL116" i="2"/>
  <c r="AL117" i="2"/>
  <c r="AL118" i="2"/>
  <c r="AL119" i="2"/>
  <c r="AL115" i="2"/>
  <c r="AL113" i="2"/>
  <c r="AL71" i="2" l="1"/>
  <c r="AL120" i="2"/>
  <c r="AJ85" i="6"/>
  <c r="AJ106" i="6" l="1"/>
  <c r="AJ67" i="6"/>
  <c r="AJ68" i="6"/>
  <c r="AJ66" i="6"/>
  <c r="AJ71" i="6" s="1"/>
  <c r="AJ64" i="6"/>
  <c r="AJ57" i="6"/>
  <c r="AJ15" i="6"/>
  <c r="AK18" i="2" l="1"/>
  <c r="AK17" i="2"/>
  <c r="AK39" i="2"/>
  <c r="AK38" i="2"/>
  <c r="AK60" i="2"/>
  <c r="AK59" i="2"/>
  <c r="AK53" i="2"/>
  <c r="AK52" i="2"/>
  <c r="AK32" i="2"/>
  <c r="AK31" i="2"/>
  <c r="AK46" i="2"/>
  <c r="AK45" i="2"/>
  <c r="AK25" i="2"/>
  <c r="AK24" i="2"/>
  <c r="AK113" i="2" l="1"/>
  <c r="AK106" i="2"/>
  <c r="AK94" i="2"/>
  <c r="AK84" i="2"/>
  <c r="AK98" i="2" s="1"/>
  <c r="AK83" i="2"/>
  <c r="AK97" i="2" s="1"/>
  <c r="AK82" i="2"/>
  <c r="AK96" i="2" s="1"/>
  <c r="AK80" i="2"/>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B22" i="6"/>
  <c r="C22" i="6"/>
  <c r="D22" i="6"/>
  <c r="E22" i="6"/>
  <c r="F22" i="6"/>
  <c r="G22" i="6"/>
  <c r="H22" i="6"/>
  <c r="I22" i="6"/>
  <c r="J22" i="6"/>
  <c r="K22" i="6"/>
  <c r="L22" i="6"/>
  <c r="M22" i="6"/>
  <c r="N22" i="6"/>
  <c r="O22" i="6"/>
  <c r="P22" i="6"/>
  <c r="Q22" i="6"/>
  <c r="R22" i="6"/>
  <c r="S22" i="6"/>
  <c r="T22" i="6"/>
  <c r="U22" i="6"/>
  <c r="V22" i="6"/>
  <c r="W22" i="6"/>
  <c r="AV22" i="6"/>
  <c r="AW22" i="6"/>
  <c r="AX22" i="6"/>
  <c r="AY22" i="6"/>
  <c r="AZ22" i="6"/>
  <c r="BA22" i="6"/>
  <c r="BB22" i="6"/>
  <c r="BC22" i="6"/>
  <c r="BD22" i="6"/>
  <c r="BE22" i="6"/>
  <c r="X22" i="6"/>
  <c r="Y22" i="6"/>
  <c r="Z22" i="6"/>
  <c r="AA22" i="6"/>
  <c r="AB22" i="6"/>
  <c r="AC22" i="6"/>
  <c r="B29" i="6"/>
  <c r="C29" i="6"/>
  <c r="D29" i="6"/>
  <c r="E29" i="6"/>
  <c r="F29" i="6"/>
  <c r="G29" i="6"/>
  <c r="H29" i="6"/>
  <c r="I29" i="6"/>
  <c r="J29" i="6"/>
  <c r="K29" i="6"/>
  <c r="L29" i="6"/>
  <c r="M29" i="6"/>
  <c r="N29" i="6"/>
  <c r="O29" i="6"/>
  <c r="P29" i="6"/>
  <c r="Q29" i="6"/>
  <c r="R29" i="6"/>
  <c r="S29" i="6"/>
  <c r="T29" i="6"/>
  <c r="U29" i="6"/>
  <c r="V29" i="6"/>
  <c r="W29" i="6"/>
  <c r="AV29" i="6"/>
  <c r="AW29" i="6"/>
  <c r="AX29" i="6"/>
  <c r="AY29" i="6"/>
  <c r="AZ29" i="6"/>
  <c r="BA29" i="6"/>
  <c r="BB29" i="6"/>
  <c r="BC29" i="6"/>
  <c r="BD29" i="6"/>
  <c r="BE29" i="6"/>
  <c r="X29" i="6"/>
  <c r="Y29" i="6"/>
  <c r="Z29" i="6"/>
  <c r="AA29" i="6"/>
  <c r="AB29" i="6"/>
  <c r="AC29" i="6"/>
  <c r="B36" i="6"/>
  <c r="C36" i="6"/>
  <c r="D36" i="6"/>
  <c r="E36" i="6"/>
  <c r="F36" i="6"/>
  <c r="G36" i="6"/>
  <c r="H36" i="6"/>
  <c r="I36" i="6"/>
  <c r="J36" i="6"/>
  <c r="K36" i="6"/>
  <c r="L36" i="6"/>
  <c r="M36" i="6"/>
  <c r="N36" i="6"/>
  <c r="O36" i="6"/>
  <c r="P36" i="6"/>
  <c r="Q36" i="6"/>
  <c r="R36" i="6"/>
  <c r="S36" i="6"/>
  <c r="T36" i="6"/>
  <c r="U36" i="6"/>
  <c r="V36" i="6"/>
  <c r="W36" i="6"/>
  <c r="AV36" i="6"/>
  <c r="AW36" i="6"/>
  <c r="AX36" i="6"/>
  <c r="AY36" i="6"/>
  <c r="AZ36" i="6"/>
  <c r="BA36" i="6"/>
  <c r="BB36" i="6"/>
  <c r="BC36" i="6"/>
  <c r="BD36" i="6"/>
  <c r="BE36" i="6"/>
  <c r="X36" i="6"/>
  <c r="Y36" i="6"/>
  <c r="Z36" i="6"/>
  <c r="AA36" i="6"/>
  <c r="AB36" i="6"/>
  <c r="AC36" i="6"/>
  <c r="B43" i="6"/>
  <c r="C43" i="6"/>
  <c r="D43" i="6"/>
  <c r="E43" i="6"/>
  <c r="F43" i="6"/>
  <c r="G43" i="6"/>
  <c r="H43" i="6"/>
  <c r="I43" i="6"/>
  <c r="J43" i="6"/>
  <c r="K43" i="6"/>
  <c r="L43" i="6"/>
  <c r="M43" i="6"/>
  <c r="N43" i="6"/>
  <c r="O43" i="6"/>
  <c r="P43" i="6"/>
  <c r="Q43" i="6"/>
  <c r="R43" i="6"/>
  <c r="S43" i="6"/>
  <c r="T43" i="6"/>
  <c r="U43" i="6"/>
  <c r="V43" i="6"/>
  <c r="W43" i="6"/>
  <c r="AV43" i="6"/>
  <c r="AW43" i="6"/>
  <c r="AX43" i="6"/>
  <c r="AY43" i="6"/>
  <c r="AZ43" i="6"/>
  <c r="BA43" i="6"/>
  <c r="BB43" i="6"/>
  <c r="BC43" i="6"/>
  <c r="BD43" i="6"/>
  <c r="BE43" i="6"/>
  <c r="X43" i="6"/>
  <c r="Y43" i="6"/>
  <c r="Z43" i="6"/>
  <c r="AA43" i="6"/>
  <c r="AB43" i="6"/>
  <c r="AC43" i="6"/>
  <c r="B50" i="6"/>
  <c r="C50" i="6"/>
  <c r="D50" i="6"/>
  <c r="E50" i="6"/>
  <c r="F50" i="6"/>
  <c r="G50" i="6"/>
  <c r="H50" i="6"/>
  <c r="I50" i="6"/>
  <c r="J50" i="6"/>
  <c r="K50" i="6"/>
  <c r="L50" i="6"/>
  <c r="M50" i="6"/>
  <c r="N50" i="6"/>
  <c r="O50" i="6"/>
  <c r="P50" i="6"/>
  <c r="Q50" i="6"/>
  <c r="R50" i="6"/>
  <c r="S50" i="6"/>
  <c r="T50" i="6"/>
  <c r="U50" i="6"/>
  <c r="V50" i="6"/>
  <c r="W50" i="6"/>
  <c r="AV50" i="6"/>
  <c r="AW50" i="6"/>
  <c r="AX50" i="6"/>
  <c r="AY50" i="6"/>
  <c r="AZ50" i="6"/>
  <c r="BA50" i="6"/>
  <c r="BB50" i="6"/>
  <c r="BC50" i="6"/>
  <c r="BD50" i="6"/>
  <c r="BE50" i="6"/>
  <c r="X50" i="6"/>
  <c r="Y50" i="6"/>
  <c r="Z50" i="6"/>
  <c r="AA50" i="6"/>
  <c r="AB50" i="6"/>
  <c r="AC50" i="6"/>
  <c r="AD50" i="6"/>
  <c r="AE50" i="6"/>
  <c r="AF50" i="6"/>
  <c r="AG50" i="6"/>
  <c r="AI50" i="6"/>
  <c r="B57" i="6"/>
  <c r="C57" i="6"/>
  <c r="D57" i="6"/>
  <c r="E57" i="6"/>
  <c r="F57" i="6"/>
  <c r="G57" i="6"/>
  <c r="H57" i="6"/>
  <c r="I57" i="6"/>
  <c r="J57" i="6"/>
  <c r="K57" i="6"/>
  <c r="L57" i="6"/>
  <c r="M57" i="6"/>
  <c r="N57" i="6"/>
  <c r="O57" i="6"/>
  <c r="P57" i="6"/>
  <c r="Q57" i="6"/>
  <c r="R57" i="6"/>
  <c r="S57" i="6"/>
  <c r="T57" i="6"/>
  <c r="U57" i="6"/>
  <c r="V57" i="6"/>
  <c r="W57" i="6"/>
  <c r="AV57" i="6"/>
  <c r="AW57" i="6"/>
  <c r="AX57" i="6"/>
  <c r="AY57" i="6"/>
  <c r="AZ57" i="6"/>
  <c r="BA57" i="6"/>
  <c r="BB57" i="6"/>
  <c r="BC57" i="6"/>
  <c r="BD57" i="6"/>
  <c r="BE57" i="6"/>
  <c r="X57" i="6"/>
  <c r="Y57" i="6"/>
  <c r="Z57" i="6"/>
  <c r="AA57" i="6"/>
  <c r="AB57" i="6"/>
  <c r="AC57" i="6"/>
  <c r="AD57" i="6"/>
  <c r="AE57" i="6"/>
  <c r="AF57" i="6"/>
  <c r="AG57" i="6"/>
  <c r="AI57" i="6"/>
  <c r="B64" i="6"/>
  <c r="C64" i="6"/>
  <c r="D64" i="6"/>
  <c r="E64" i="6"/>
  <c r="F64" i="6"/>
  <c r="G64" i="6"/>
  <c r="H64" i="6"/>
  <c r="I64" i="6"/>
  <c r="J64" i="6"/>
  <c r="K64" i="6"/>
  <c r="L64" i="6"/>
  <c r="M64" i="6"/>
  <c r="N64" i="6"/>
  <c r="O64" i="6"/>
  <c r="P64" i="6"/>
  <c r="Q64" i="6"/>
  <c r="R64" i="6"/>
  <c r="S64" i="6"/>
  <c r="T64" i="6"/>
  <c r="U64" i="6"/>
  <c r="V64" i="6"/>
  <c r="W64" i="6"/>
  <c r="AV64" i="6"/>
  <c r="AW64" i="6"/>
  <c r="AX64" i="6"/>
  <c r="AY64" i="6"/>
  <c r="AZ64" i="6"/>
  <c r="BA64" i="6"/>
  <c r="BB64" i="6"/>
  <c r="BC64" i="6"/>
  <c r="BD64" i="6"/>
  <c r="BE64" i="6"/>
  <c r="X64" i="6"/>
  <c r="Y64" i="6"/>
  <c r="Z64" i="6"/>
  <c r="AA64" i="6"/>
  <c r="AB64" i="6"/>
  <c r="AC64" i="6"/>
  <c r="AD64" i="6"/>
  <c r="AE64" i="6"/>
  <c r="AF64" i="6"/>
  <c r="AG64" i="6"/>
  <c r="AI64" i="6"/>
  <c r="AC66" i="6"/>
  <c r="AC67" i="6"/>
  <c r="AC68" i="6"/>
  <c r="B71" i="6"/>
  <c r="C71" i="6"/>
  <c r="D71" i="6"/>
  <c r="E71" i="6"/>
  <c r="F71" i="6"/>
  <c r="G71" i="6"/>
  <c r="H71" i="6"/>
  <c r="I71" i="6"/>
  <c r="J71" i="6"/>
  <c r="K71" i="6"/>
  <c r="L71" i="6"/>
  <c r="M71" i="6"/>
  <c r="N71" i="6"/>
  <c r="O71" i="6"/>
  <c r="P71" i="6"/>
  <c r="Q71" i="6"/>
  <c r="R71" i="6"/>
  <c r="S71" i="6"/>
  <c r="T71" i="6"/>
  <c r="U71" i="6"/>
  <c r="V71" i="6"/>
  <c r="W71" i="6"/>
  <c r="AV71" i="6"/>
  <c r="AW71" i="6"/>
  <c r="AX71" i="6"/>
  <c r="AY71" i="6"/>
  <c r="AZ71" i="6"/>
  <c r="BA71" i="6"/>
  <c r="BB71" i="6"/>
  <c r="BC71" i="6"/>
  <c r="BD71" i="6"/>
  <c r="BE71" i="6"/>
  <c r="X71" i="6"/>
  <c r="Y71" i="6"/>
  <c r="Z71" i="6"/>
  <c r="AA71" i="6"/>
  <c r="AB71" i="6"/>
  <c r="AD71" i="6"/>
  <c r="AE71" i="6"/>
  <c r="AF71" i="6"/>
  <c r="AG71" i="6"/>
  <c r="AI71" i="6"/>
  <c r="B78" i="6"/>
  <c r="C78" i="6"/>
  <c r="D78" i="6"/>
  <c r="E78" i="6"/>
  <c r="F78" i="6"/>
  <c r="G78" i="6"/>
  <c r="H78" i="6"/>
  <c r="I78" i="6"/>
  <c r="J78" i="6"/>
  <c r="K78" i="6"/>
  <c r="L78" i="6"/>
  <c r="M78" i="6"/>
  <c r="N78" i="6"/>
  <c r="O78" i="6"/>
  <c r="P78" i="6"/>
  <c r="Q78" i="6"/>
  <c r="R78" i="6"/>
  <c r="S78" i="6"/>
  <c r="T78" i="6"/>
  <c r="U78" i="6"/>
  <c r="V78" i="6"/>
  <c r="W78" i="6"/>
  <c r="AV78" i="6"/>
  <c r="AW78" i="6"/>
  <c r="AX78" i="6"/>
  <c r="AY78" i="6"/>
  <c r="AZ78" i="6"/>
  <c r="BA78" i="6"/>
  <c r="BB78" i="6"/>
  <c r="BC78" i="6"/>
  <c r="BD78" i="6"/>
  <c r="BE78" i="6"/>
  <c r="X78" i="6"/>
  <c r="Y78" i="6"/>
  <c r="Z78" i="6"/>
  <c r="AA78" i="6"/>
  <c r="AB78" i="6"/>
  <c r="AC78" i="6"/>
  <c r="AD78" i="6"/>
  <c r="AE78" i="6"/>
  <c r="AF78" i="6"/>
  <c r="AG78" i="6"/>
  <c r="AH78" i="6"/>
  <c r="AI78" i="6"/>
  <c r="Y85" i="6"/>
  <c r="Z85" i="6"/>
  <c r="AA85" i="6"/>
  <c r="AB85" i="6"/>
  <c r="AC85" i="6"/>
  <c r="AD85" i="6"/>
  <c r="AE85" i="6"/>
  <c r="AF85" i="6"/>
  <c r="AG85" i="6"/>
  <c r="AH85" i="6"/>
  <c r="AI85" i="6"/>
  <c r="B99" i="6"/>
  <c r="Y99" i="6"/>
  <c r="Z99" i="6"/>
  <c r="AA99" i="6"/>
  <c r="AB99" i="6"/>
  <c r="AC99" i="6"/>
  <c r="AD99" i="6"/>
  <c r="AE99" i="6"/>
  <c r="AF99" i="6"/>
  <c r="AG99" i="6"/>
  <c r="AH99" i="6"/>
  <c r="AI99" i="6"/>
  <c r="B106" i="6"/>
  <c r="C106" i="6"/>
  <c r="D106" i="6"/>
  <c r="E106" i="6"/>
  <c r="F106" i="6"/>
  <c r="G106" i="6"/>
  <c r="H106" i="6"/>
  <c r="I106" i="6"/>
  <c r="J106" i="6"/>
  <c r="K106" i="6"/>
  <c r="L106" i="6"/>
  <c r="M106" i="6"/>
  <c r="N106" i="6"/>
  <c r="O106" i="6"/>
  <c r="P106" i="6"/>
  <c r="Q106" i="6"/>
  <c r="R106" i="6"/>
  <c r="S106" i="6"/>
  <c r="T106" i="6"/>
  <c r="U106" i="6"/>
  <c r="V106" i="6"/>
  <c r="W106" i="6"/>
  <c r="AV106" i="6"/>
  <c r="AW106" i="6"/>
  <c r="AX106" i="6"/>
  <c r="AY106" i="6"/>
  <c r="AZ106" i="6"/>
  <c r="BA106" i="6"/>
  <c r="BB106" i="6"/>
  <c r="BC106" i="6"/>
  <c r="BD106" i="6"/>
  <c r="BE106" i="6"/>
  <c r="X106" i="6"/>
  <c r="Y106" i="6"/>
  <c r="Z106" i="6"/>
  <c r="AA106" i="6"/>
  <c r="AB106" i="6"/>
  <c r="AC106" i="6"/>
  <c r="AD106" i="6"/>
  <c r="AE106" i="6"/>
  <c r="AF106" i="6"/>
  <c r="AG106" i="6"/>
  <c r="AH106" i="6"/>
  <c r="AI106" i="6"/>
  <c r="AC71" i="6" l="1"/>
  <c r="AJ59" i="2"/>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BR140" i="2" l="1"/>
  <c r="BR139" i="2"/>
  <c r="BR138" i="2"/>
  <c r="BR137" i="2"/>
  <c r="BR136" i="2"/>
  <c r="BR133" i="2"/>
  <c r="BR132" i="2"/>
  <c r="BR131" i="2"/>
  <c r="BR130" i="2"/>
  <c r="BR129" i="2"/>
  <c r="BR126" i="2"/>
  <c r="BR125" i="2"/>
  <c r="BR124" i="2"/>
  <c r="BR123" i="2"/>
  <c r="BR122" i="2"/>
  <c r="BR112" i="2"/>
  <c r="BR111" i="2"/>
  <c r="BR110" i="2"/>
  <c r="BR109" i="2"/>
  <c r="BR108" i="2"/>
  <c r="BR105" i="2"/>
  <c r="BR104" i="2"/>
  <c r="BR103" i="2"/>
  <c r="BR102" i="2"/>
  <c r="BR101" i="2"/>
  <c r="BR92" i="2"/>
  <c r="BR91" i="2"/>
  <c r="BR90" i="2"/>
  <c r="BR89" i="2"/>
  <c r="BR88" i="2"/>
  <c r="BR87" i="2"/>
  <c r="BR63" i="2"/>
  <c r="BR62" i="2"/>
  <c r="BR61" i="2"/>
  <c r="BR60" i="2"/>
  <c r="BR56" i="2"/>
  <c r="BR55" i="2"/>
  <c r="BR54" i="2"/>
  <c r="BR53" i="2"/>
  <c r="BR49" i="2"/>
  <c r="BR48" i="2"/>
  <c r="BR47" i="2"/>
  <c r="BR46" i="2"/>
  <c r="BR42" i="2"/>
  <c r="BR41" i="2"/>
  <c r="BR40" i="2"/>
  <c r="BR39" i="2"/>
  <c r="BR35" i="2"/>
  <c r="BR34" i="2"/>
  <c r="BR33" i="2"/>
  <c r="BR32" i="2"/>
  <c r="BR28" i="2"/>
  <c r="BR27" i="2"/>
  <c r="BR26" i="2"/>
  <c r="BR25" i="2"/>
  <c r="BR14" i="2"/>
  <c r="BQ140" i="2"/>
  <c r="BQ139" i="2"/>
  <c r="BQ138" i="2"/>
  <c r="BQ137" i="2"/>
  <c r="BQ136" i="2"/>
  <c r="BQ133" i="2"/>
  <c r="BQ132" i="2"/>
  <c r="BQ131" i="2"/>
  <c r="BQ130" i="2"/>
  <c r="BQ129" i="2"/>
  <c r="BQ126" i="2"/>
  <c r="BQ125" i="2"/>
  <c r="BQ124" i="2"/>
  <c r="BQ123" i="2"/>
  <c r="BQ122" i="2"/>
  <c r="BQ112" i="2"/>
  <c r="BQ111" i="2"/>
  <c r="BQ110" i="2"/>
  <c r="BQ109" i="2"/>
  <c r="BQ108" i="2"/>
  <c r="BQ105" i="2"/>
  <c r="BQ104" i="2"/>
  <c r="BQ103" i="2"/>
  <c r="BQ102" i="2"/>
  <c r="BQ101" i="2"/>
  <c r="BQ92" i="2"/>
  <c r="BQ91" i="2"/>
  <c r="BQ90" i="2"/>
  <c r="BQ89" i="2"/>
  <c r="BQ88" i="2"/>
  <c r="BQ87" i="2"/>
  <c r="BQ42" i="2"/>
  <c r="AJ141" i="2"/>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BQ63" i="2" s="1"/>
  <c r="AI62" i="2"/>
  <c r="BQ62" i="2" s="1"/>
  <c r="AI61" i="2"/>
  <c r="BQ61" i="2" s="1"/>
  <c r="AI59" i="2"/>
  <c r="AI60" i="2"/>
  <c r="BQ60" i="2" s="1"/>
  <c r="AI41" i="2"/>
  <c r="BQ41" i="2" s="1"/>
  <c r="AI40" i="2"/>
  <c r="BQ40" i="2" s="1"/>
  <c r="AI39" i="2"/>
  <c r="BQ39" i="2" s="1"/>
  <c r="AI38" i="2"/>
  <c r="AI56" i="2"/>
  <c r="BQ56" i="2" s="1"/>
  <c r="AI55" i="2"/>
  <c r="BQ55" i="2" s="1"/>
  <c r="AI54" i="2"/>
  <c r="BQ54" i="2" s="1"/>
  <c r="AI53" i="2"/>
  <c r="BQ53" i="2" s="1"/>
  <c r="AI52" i="2"/>
  <c r="AI35" i="2"/>
  <c r="BQ35" i="2" s="1"/>
  <c r="AI34" i="2"/>
  <c r="BQ34" i="2" s="1"/>
  <c r="AI33" i="2"/>
  <c r="BQ33" i="2" s="1"/>
  <c r="AI32" i="2"/>
  <c r="BQ32" i="2" s="1"/>
  <c r="AI31" i="2"/>
  <c r="AI49" i="2"/>
  <c r="BQ49" i="2" s="1"/>
  <c r="AI48" i="2"/>
  <c r="BQ48" i="2" s="1"/>
  <c r="AI47" i="2"/>
  <c r="BQ47" i="2" s="1"/>
  <c r="AI46" i="2"/>
  <c r="BQ46" i="2" s="1"/>
  <c r="AI45" i="2"/>
  <c r="AI28" i="2"/>
  <c r="BQ28" i="2" s="1"/>
  <c r="AI27" i="2"/>
  <c r="BQ27" i="2" s="1"/>
  <c r="AI26" i="2"/>
  <c r="BQ26" i="2" s="1"/>
  <c r="AI25" i="2"/>
  <c r="BQ25" i="2" s="1"/>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5" i="2" s="1"/>
  <c r="AH81" i="2"/>
  <c r="AH78" i="2" l="1"/>
  <c r="AH134" i="2"/>
  <c r="AH141" i="2" l="1"/>
  <c r="AH127" i="2"/>
  <c r="AH113" i="2"/>
  <c r="AH106" i="2"/>
  <c r="AH95" i="2"/>
  <c r="AH96" i="2"/>
  <c r="AH117" i="2" s="1"/>
  <c r="AH97" i="2"/>
  <c r="AH118" i="2" s="1"/>
  <c r="AH98" i="2"/>
  <c r="AH99" i="2"/>
  <c r="AH94" i="2"/>
  <c r="BP140" i="2"/>
  <c r="BP139" i="2"/>
  <c r="BP138" i="2"/>
  <c r="BP137" i="2"/>
  <c r="BP136" i="2"/>
  <c r="BP133" i="2"/>
  <c r="BP132" i="2"/>
  <c r="BP131" i="2"/>
  <c r="BP130" i="2"/>
  <c r="BP129" i="2"/>
  <c r="BP126" i="2"/>
  <c r="BP125" i="2"/>
  <c r="BP124" i="2"/>
  <c r="BP123" i="2"/>
  <c r="BP122" i="2"/>
  <c r="BP112" i="2"/>
  <c r="BP111" i="2"/>
  <c r="BP110" i="2"/>
  <c r="BP109" i="2"/>
  <c r="BP108" i="2"/>
  <c r="BP105" i="2"/>
  <c r="BP104" i="2"/>
  <c r="BP103" i="2"/>
  <c r="BP102" i="2"/>
  <c r="BP101" i="2"/>
  <c r="BP92" i="2"/>
  <c r="BP91" i="2"/>
  <c r="BP90" i="2"/>
  <c r="BP89" i="2"/>
  <c r="BP88" i="2"/>
  <c r="BP87" i="2"/>
  <c r="BP63" i="2"/>
  <c r="BP62" i="2"/>
  <c r="BP61" i="2"/>
  <c r="BP60" i="2"/>
  <c r="BP59" i="2"/>
  <c r="BP56" i="2"/>
  <c r="BP55" i="2"/>
  <c r="BP54" i="2"/>
  <c r="BP53" i="2"/>
  <c r="BP52" i="2"/>
  <c r="BP49" i="2"/>
  <c r="BP48" i="2"/>
  <c r="BP47" i="2"/>
  <c r="BP46" i="2"/>
  <c r="BP45" i="2"/>
  <c r="BP42" i="2"/>
  <c r="BP41" i="2"/>
  <c r="BP40" i="2"/>
  <c r="BP39" i="2"/>
  <c r="BP38" i="2"/>
  <c r="BP35" i="2"/>
  <c r="BP34" i="2"/>
  <c r="BP33" i="2"/>
  <c r="BP32" i="2"/>
  <c r="BP31" i="2"/>
  <c r="BP28" i="2"/>
  <c r="BP27" i="2"/>
  <c r="BP26" i="2"/>
  <c r="BP25" i="2"/>
  <c r="BP24" i="2"/>
  <c r="AH120" i="2" l="1"/>
  <c r="AH119" i="2"/>
  <c r="AH116" i="2"/>
  <c r="AH115" i="2"/>
  <c r="BO140" i="2"/>
  <c r="BO139" i="2"/>
  <c r="BO138" i="2"/>
  <c r="BO137" i="2"/>
  <c r="BO136" i="2"/>
  <c r="BO133" i="2"/>
  <c r="BO132" i="2"/>
  <c r="BO131" i="2"/>
  <c r="BO129" i="2"/>
  <c r="BO126" i="2"/>
  <c r="BO125" i="2"/>
  <c r="BO124" i="2"/>
  <c r="BO123" i="2"/>
  <c r="BO122" i="2"/>
  <c r="BO112" i="2"/>
  <c r="BO111" i="2"/>
  <c r="BO110" i="2"/>
  <c r="BO109" i="2"/>
  <c r="BO108" i="2"/>
  <c r="BO105" i="2"/>
  <c r="BO104" i="2"/>
  <c r="BO103" i="2"/>
  <c r="BO102" i="2"/>
  <c r="BO101" i="2"/>
  <c r="BO91" i="2"/>
  <c r="BO90" i="2"/>
  <c r="BO89" i="2"/>
  <c r="BO88" i="2"/>
  <c r="BO87" i="2"/>
  <c r="BO63" i="2"/>
  <c r="BO62" i="2"/>
  <c r="BO61" i="2"/>
  <c r="BO60" i="2"/>
  <c r="BO56" i="2"/>
  <c r="BO55" i="2"/>
  <c r="BO54" i="2"/>
  <c r="BO49" i="2"/>
  <c r="BO48" i="2"/>
  <c r="BO47" i="2"/>
  <c r="BO42" i="2"/>
  <c r="BO41" i="2"/>
  <c r="BO40" i="2"/>
  <c r="BO35" i="2"/>
  <c r="BO34" i="2"/>
  <c r="BO33" i="2"/>
  <c r="BO32" i="2"/>
  <c r="BO31" i="2"/>
  <c r="BO28" i="2"/>
  <c r="BO27" i="2"/>
  <c r="BO26" i="2"/>
  <c r="AG130" i="2"/>
  <c r="BO130" i="2" s="1"/>
  <c r="AG53" i="2"/>
  <c r="BO53" i="2" s="1"/>
  <c r="AG52" i="2"/>
  <c r="BO52" i="2" s="1"/>
  <c r="AG46" i="2"/>
  <c r="BO46" i="2" s="1"/>
  <c r="AG45" i="2"/>
  <c r="BO45" i="2" s="1"/>
  <c r="AG25" i="2"/>
  <c r="BO25" i="2" s="1"/>
  <c r="AG24" i="2"/>
  <c r="BO24" i="2" s="1"/>
  <c r="AG39" i="2"/>
  <c r="BO39" i="2" s="1"/>
  <c r="AG59" i="2"/>
  <c r="BO59" i="2" s="1"/>
  <c r="AG38" i="2"/>
  <c r="BO38" i="2" s="1"/>
  <c r="AG18" i="2"/>
  <c r="AG17" i="2"/>
  <c r="AG84" i="2" l="1"/>
  <c r="BO84" i="2" s="1"/>
  <c r="AG83" i="2"/>
  <c r="BO83" i="2" s="1"/>
  <c r="AG82" i="2"/>
  <c r="BO82" i="2" s="1"/>
  <c r="AG81" i="2"/>
  <c r="BO81" i="2" s="1"/>
  <c r="AG80" i="2"/>
  <c r="BO80" i="2" s="1"/>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BN140" i="2"/>
  <c r="BN139" i="2"/>
  <c r="BN138" i="2"/>
  <c r="BN137" i="2"/>
  <c r="BN136" i="2"/>
  <c r="BN133" i="2"/>
  <c r="BN132" i="2"/>
  <c r="BN131" i="2"/>
  <c r="BN130" i="2"/>
  <c r="BN129" i="2"/>
  <c r="BN126" i="2"/>
  <c r="BN125" i="2"/>
  <c r="BN124" i="2"/>
  <c r="BN123" i="2"/>
  <c r="BN122" i="2"/>
  <c r="BN112" i="2"/>
  <c r="BN111" i="2"/>
  <c r="BN110" i="2"/>
  <c r="BN109" i="2"/>
  <c r="BN108" i="2"/>
  <c r="BN105" i="2"/>
  <c r="BN104" i="2"/>
  <c r="BN103" i="2"/>
  <c r="BN102" i="2"/>
  <c r="BN101" i="2"/>
  <c r="BN91" i="2"/>
  <c r="BN90" i="2"/>
  <c r="BN89" i="2"/>
  <c r="BN88" i="2"/>
  <c r="BN87" i="2"/>
  <c r="BN63" i="2"/>
  <c r="BN62" i="2"/>
  <c r="BN61" i="2"/>
  <c r="BN60" i="2"/>
  <c r="BN59" i="2"/>
  <c r="BN56" i="2"/>
  <c r="BN55" i="2"/>
  <c r="BN54" i="2"/>
  <c r="BN53" i="2"/>
  <c r="BN52" i="2"/>
  <c r="BN49" i="2"/>
  <c r="BN48" i="2"/>
  <c r="BN47" i="2"/>
  <c r="BN46" i="2"/>
  <c r="BN45" i="2"/>
  <c r="BN42" i="2"/>
  <c r="BN41" i="2"/>
  <c r="BN40" i="2"/>
  <c r="BN39" i="2"/>
  <c r="BN38" i="2"/>
  <c r="BN35" i="2"/>
  <c r="BN34" i="2"/>
  <c r="BN33" i="2"/>
  <c r="BN32" i="2"/>
  <c r="BN31" i="2"/>
  <c r="BN28" i="2"/>
  <c r="BN27" i="2"/>
  <c r="BN26" i="2"/>
  <c r="BN25" i="2"/>
  <c r="BN24" i="2"/>
  <c r="AF15" i="2" l="1"/>
  <c r="AF78" i="2"/>
  <c r="AF95" i="2"/>
  <c r="AF117" i="2"/>
  <c r="AF115" i="2"/>
  <c r="AF85" i="2"/>
  <c r="AJ71" i="7"/>
  <c r="AJ64" i="7"/>
  <c r="AJ57" i="7"/>
  <c r="AJ50" i="7"/>
  <c r="AJ43" i="7"/>
  <c r="AF99" i="2" l="1"/>
  <c r="AF120" i="2" s="1"/>
  <c r="AF116" i="2"/>
  <c r="BV127" i="3"/>
  <c r="BV120" i="3"/>
  <c r="BV113" i="3"/>
  <c r="BV106" i="3"/>
  <c r="BV98" i="3"/>
  <c r="BV97" i="3"/>
  <c r="BV96" i="3"/>
  <c r="BV95" i="3"/>
  <c r="BV94" i="3"/>
  <c r="BV92" i="3"/>
  <c r="BV85" i="3"/>
  <c r="BV78" i="3"/>
  <c r="BV71" i="3"/>
  <c r="BV63" i="3"/>
  <c r="BV62" i="3"/>
  <c r="BV61" i="3"/>
  <c r="BV60" i="3"/>
  <c r="BV59" i="3"/>
  <c r="BV57" i="3"/>
  <c r="BV50" i="3"/>
  <c r="BV36" i="3"/>
  <c r="BV29" i="3"/>
  <c r="BV22" i="3"/>
  <c r="BV15" i="3"/>
  <c r="BV99" i="3" l="1"/>
  <c r="BV64" i="3"/>
  <c r="AI64" i="7"/>
  <c r="AI57" i="7"/>
  <c r="AI50" i="7"/>
  <c r="AI43" i="7"/>
  <c r="BU127" i="3" l="1"/>
  <c r="BU120" i="3"/>
  <c r="BU113" i="3"/>
  <c r="BU106" i="3"/>
  <c r="BU98" i="3"/>
  <c r="BU97" i="3"/>
  <c r="BU96" i="3"/>
  <c r="BU95" i="3"/>
  <c r="BU94" i="3"/>
  <c r="BU92" i="3"/>
  <c r="BU85" i="3"/>
  <c r="BU78" i="3"/>
  <c r="BU71" i="3"/>
  <c r="BU63" i="3"/>
  <c r="BU62" i="3"/>
  <c r="BU61" i="3"/>
  <c r="BU60" i="3"/>
  <c r="BU59" i="3"/>
  <c r="BU57" i="3"/>
  <c r="BU50" i="3"/>
  <c r="BU43" i="3"/>
  <c r="BU36" i="3"/>
  <c r="BU29" i="3"/>
  <c r="BU22" i="3"/>
  <c r="BU15" i="3"/>
  <c r="BU64" i="3" l="1"/>
  <c r="BU99" i="3"/>
  <c r="AH64" i="7"/>
  <c r="AH57" i="7"/>
  <c r="AH50" i="7"/>
  <c r="AH43" i="7"/>
  <c r="BT127" i="3" l="1"/>
  <c r="BT120" i="3"/>
  <c r="BT113" i="3"/>
  <c r="BT106" i="3"/>
  <c r="BT98" i="3"/>
  <c r="BT97" i="3"/>
  <c r="BT96" i="3"/>
  <c r="BT95" i="3"/>
  <c r="BT94" i="3"/>
  <c r="BT92" i="3"/>
  <c r="BT85" i="3"/>
  <c r="BT78" i="3"/>
  <c r="BT71" i="3"/>
  <c r="BT63" i="3"/>
  <c r="BT62" i="3"/>
  <c r="BT61" i="3"/>
  <c r="BT60" i="3"/>
  <c r="BT59" i="3"/>
  <c r="BT57" i="3"/>
  <c r="BT50" i="3"/>
  <c r="BT43" i="3"/>
  <c r="BT36" i="3"/>
  <c r="BT29" i="3"/>
  <c r="BT22" i="3"/>
  <c r="BT15" i="3"/>
  <c r="BT99" i="3" l="1"/>
  <c r="BT64" i="3"/>
  <c r="AE57" i="2"/>
  <c r="AE43" i="2"/>
  <c r="AE36" i="2"/>
  <c r="AE29" i="2"/>
  <c r="AE22" i="2"/>
  <c r="AE67" i="2"/>
  <c r="AE68" i="2"/>
  <c r="AE69" i="2"/>
  <c r="AE70" i="2"/>
  <c r="AE66" i="2"/>
  <c r="AE64" i="2"/>
  <c r="AE50" i="2"/>
  <c r="AE71" i="2" l="1"/>
  <c r="AG64" i="7"/>
  <c r="AG57" i="7"/>
  <c r="AG50" i="7"/>
  <c r="AG43" i="7"/>
  <c r="BS127" i="3" l="1"/>
  <c r="BS120" i="3"/>
  <c r="BS113" i="3"/>
  <c r="BS106" i="3"/>
  <c r="BS98" i="3"/>
  <c r="BS97" i="3"/>
  <c r="BS96" i="3"/>
  <c r="BS95" i="3"/>
  <c r="BS94" i="3"/>
  <c r="BS92" i="3"/>
  <c r="BS85" i="3"/>
  <c r="BS78" i="3"/>
  <c r="BS71" i="3"/>
  <c r="BS63" i="3"/>
  <c r="BS62" i="3"/>
  <c r="BS61" i="3"/>
  <c r="BS60" i="3"/>
  <c r="BS59" i="3"/>
  <c r="BS57" i="3"/>
  <c r="BS50" i="3"/>
  <c r="BS43" i="3"/>
  <c r="BS36" i="3"/>
  <c r="BS29" i="3"/>
  <c r="BS22" i="3"/>
  <c r="BS15" i="3"/>
  <c r="AE141" i="2"/>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BM140" i="2"/>
  <c r="BM139" i="2"/>
  <c r="BM138" i="2"/>
  <c r="BM137" i="2"/>
  <c r="BM136" i="2"/>
  <c r="BM133" i="2"/>
  <c r="BM132" i="2"/>
  <c r="BM131" i="2"/>
  <c r="BM130" i="2"/>
  <c r="BM129" i="2"/>
  <c r="BM126" i="2"/>
  <c r="BM125" i="2"/>
  <c r="BM124" i="2"/>
  <c r="BM123" i="2"/>
  <c r="BM122" i="2"/>
  <c r="BM112" i="2"/>
  <c r="BM111" i="2"/>
  <c r="BM110" i="2"/>
  <c r="BM109" i="2"/>
  <c r="BM108" i="2"/>
  <c r="BM105" i="2"/>
  <c r="BM104" i="2"/>
  <c r="BM103" i="2"/>
  <c r="BM102" i="2"/>
  <c r="BM101" i="2"/>
  <c r="BM91" i="2"/>
  <c r="BM90" i="2"/>
  <c r="BM89" i="2"/>
  <c r="BM88" i="2"/>
  <c r="BM87" i="2"/>
  <c r="BM63" i="2"/>
  <c r="BM62" i="2"/>
  <c r="BM61" i="2"/>
  <c r="BM60" i="2"/>
  <c r="BM59" i="2"/>
  <c r="BM56" i="2"/>
  <c r="BM55" i="2"/>
  <c r="BM54" i="2"/>
  <c r="BM53" i="2"/>
  <c r="BM52" i="2"/>
  <c r="BM49" i="2"/>
  <c r="BM48" i="2"/>
  <c r="BM47" i="2"/>
  <c r="BM46" i="2"/>
  <c r="BM45" i="2"/>
  <c r="BM42" i="2"/>
  <c r="BM41" i="2"/>
  <c r="BM40" i="2"/>
  <c r="BM39" i="2"/>
  <c r="BM38" i="2"/>
  <c r="BM35" i="2"/>
  <c r="BM34" i="2"/>
  <c r="BM33" i="2"/>
  <c r="BM32" i="2"/>
  <c r="BM31" i="2"/>
  <c r="BM28" i="2"/>
  <c r="BM27" i="2"/>
  <c r="BM26" i="2"/>
  <c r="BM25" i="2"/>
  <c r="BM24" i="2"/>
  <c r="BL140" i="2"/>
  <c r="BL139" i="2"/>
  <c r="BL138" i="2"/>
  <c r="BL137" i="2"/>
  <c r="BL136" i="2"/>
  <c r="BL133" i="2"/>
  <c r="BL132" i="2"/>
  <c r="BL131" i="2"/>
  <c r="BL130" i="2"/>
  <c r="BL129" i="2"/>
  <c r="BL126" i="2"/>
  <c r="BL125" i="2"/>
  <c r="BL124" i="2"/>
  <c r="BL123" i="2"/>
  <c r="BL122" i="2"/>
  <c r="BL108" i="2"/>
  <c r="BL101" i="2"/>
  <c r="BL91" i="2"/>
  <c r="BL90" i="2"/>
  <c r="BL89" i="2"/>
  <c r="BL88" i="2"/>
  <c r="BL87" i="2"/>
  <c r="BL63" i="2"/>
  <c r="BL56" i="2"/>
  <c r="BL49" i="2"/>
  <c r="BL42" i="2"/>
  <c r="BL35" i="2"/>
  <c r="BL28" i="2"/>
  <c r="BK140" i="2"/>
  <c r="BK139" i="2"/>
  <c r="BK138" i="2"/>
  <c r="BK137" i="2"/>
  <c r="BK136" i="2"/>
  <c r="BK133" i="2"/>
  <c r="BK132" i="2"/>
  <c r="BK131" i="2"/>
  <c r="BK130" i="2"/>
  <c r="BK129" i="2"/>
  <c r="BK126" i="2"/>
  <c r="BK125" i="2"/>
  <c r="BK124" i="2"/>
  <c r="BK123" i="2"/>
  <c r="BK122" i="2"/>
  <c r="BK91" i="2"/>
  <c r="BK90" i="2"/>
  <c r="BK89" i="2"/>
  <c r="BK88" i="2"/>
  <c r="BK87" i="2"/>
  <c r="BK63" i="2"/>
  <c r="BK62" i="2"/>
  <c r="BK61" i="2"/>
  <c r="BK60" i="2"/>
  <c r="BK59" i="2"/>
  <c r="BK56" i="2"/>
  <c r="BK55" i="2"/>
  <c r="BK54" i="2"/>
  <c r="BK53" i="2"/>
  <c r="BK52" i="2"/>
  <c r="BK49" i="2"/>
  <c r="BK48" i="2"/>
  <c r="BK47" i="2"/>
  <c r="BK46" i="2"/>
  <c r="BK45" i="2"/>
  <c r="BK42" i="2"/>
  <c r="BK41" i="2"/>
  <c r="BK40" i="2"/>
  <c r="BK39" i="2"/>
  <c r="BK38" i="2"/>
  <c r="BK35" i="2"/>
  <c r="BK34" i="2"/>
  <c r="BK33" i="2"/>
  <c r="BK32" i="2"/>
  <c r="BK31" i="2"/>
  <c r="BK28" i="2"/>
  <c r="BK27" i="2"/>
  <c r="BK26" i="2"/>
  <c r="BK25" i="2"/>
  <c r="BK24" i="2"/>
  <c r="BS99" i="3" l="1"/>
  <c r="BS64" i="3"/>
  <c r="AE85" i="2"/>
  <c r="AE99" i="2" s="1"/>
  <c r="AE120" i="2" s="1"/>
  <c r="AE78" i="2"/>
  <c r="AE15" i="2"/>
  <c r="AF64" i="7"/>
  <c r="AF57" i="7"/>
  <c r="AF50" i="7"/>
  <c r="AF43" i="7"/>
  <c r="BR127" i="3" l="1"/>
  <c r="BR120" i="3"/>
  <c r="BR113" i="3"/>
  <c r="BR106" i="3"/>
  <c r="BR98" i="3"/>
  <c r="BR97" i="3"/>
  <c r="BR96" i="3"/>
  <c r="BR95" i="3"/>
  <c r="BR94" i="3"/>
  <c r="BR92" i="3"/>
  <c r="BR85" i="3"/>
  <c r="BR78" i="3"/>
  <c r="BR71" i="3"/>
  <c r="BR63" i="3"/>
  <c r="BR62" i="3"/>
  <c r="BR61" i="3"/>
  <c r="BR60" i="3"/>
  <c r="BR59" i="3"/>
  <c r="BR57" i="3"/>
  <c r="BR50" i="3"/>
  <c r="BR43" i="3"/>
  <c r="BR36" i="3"/>
  <c r="BR29" i="3"/>
  <c r="BR22" i="3"/>
  <c r="BR15" i="3"/>
  <c r="BR99" i="3" l="1"/>
  <c r="BR64" i="3"/>
  <c r="AE71" i="7"/>
  <c r="AE64" i="7"/>
  <c r="AE57" i="7"/>
  <c r="AE50" i="7"/>
  <c r="AE43" i="7"/>
  <c r="BQ127" i="3" l="1"/>
  <c r="BQ120" i="3"/>
  <c r="BQ113" i="3"/>
  <c r="BQ106" i="3"/>
  <c r="BQ98" i="3"/>
  <c r="BQ97" i="3"/>
  <c r="BQ96" i="3"/>
  <c r="BQ95" i="3"/>
  <c r="BQ94" i="3"/>
  <c r="BQ92" i="3"/>
  <c r="BQ85" i="3"/>
  <c r="BQ78" i="3"/>
  <c r="BQ71" i="3"/>
  <c r="BQ63" i="3"/>
  <c r="BQ62" i="3"/>
  <c r="BQ61" i="3"/>
  <c r="BQ60" i="3"/>
  <c r="BQ59" i="3"/>
  <c r="BQ57" i="3"/>
  <c r="BQ50" i="3"/>
  <c r="BQ43" i="3"/>
  <c r="BQ36" i="3"/>
  <c r="BQ29" i="3"/>
  <c r="BQ22" i="3"/>
  <c r="BQ15" i="3"/>
  <c r="BQ99" i="3" l="1"/>
  <c r="BQ64" i="3"/>
  <c r="AD64" i="7"/>
  <c r="AD57" i="7"/>
  <c r="AD50" i="7"/>
  <c r="AD43" i="7"/>
  <c r="BP120" i="3" l="1"/>
  <c r="BP127" i="3"/>
  <c r="BP113" i="3"/>
  <c r="BP106" i="3"/>
  <c r="BP98" i="3"/>
  <c r="BP97" i="3"/>
  <c r="BP96" i="3"/>
  <c r="BP95" i="3"/>
  <c r="BP94" i="3"/>
  <c r="BP92" i="3"/>
  <c r="BP85" i="3"/>
  <c r="BP78" i="3"/>
  <c r="BP71" i="3"/>
  <c r="BP63" i="3"/>
  <c r="BP62" i="3"/>
  <c r="BP61" i="3"/>
  <c r="BP60" i="3"/>
  <c r="BP59" i="3"/>
  <c r="BP57" i="3"/>
  <c r="BP50" i="3"/>
  <c r="BP43" i="3"/>
  <c r="BP36" i="3"/>
  <c r="BP29" i="3"/>
  <c r="BP22" i="3"/>
  <c r="BP15" i="3"/>
  <c r="BP64" i="3" l="1"/>
  <c r="BP99" i="3"/>
  <c r="F78" i="7"/>
  <c r="B78" i="7"/>
  <c r="AA71" i="7"/>
  <c r="W71" i="7"/>
  <c r="S71" i="7"/>
  <c r="N71" i="7"/>
  <c r="F71" i="7"/>
  <c r="B71" i="7"/>
  <c r="AC64" i="7"/>
  <c r="AB64" i="7"/>
  <c r="X64" i="7"/>
  <c r="W64" i="7"/>
  <c r="V64" i="7"/>
  <c r="U64" i="7"/>
  <c r="T64" i="7"/>
  <c r="S64" i="7"/>
  <c r="R64" i="7"/>
  <c r="P64" i="7"/>
  <c r="O64" i="7"/>
  <c r="N64" i="7"/>
  <c r="M64" i="7"/>
  <c r="L64" i="7"/>
  <c r="K64" i="7"/>
  <c r="J64" i="7"/>
  <c r="I64" i="7"/>
  <c r="H64" i="7"/>
  <c r="G64" i="7"/>
  <c r="F64" i="7"/>
  <c r="E64" i="7"/>
  <c r="D64" i="7"/>
  <c r="C64" i="7"/>
  <c r="B64" i="7"/>
  <c r="AA61" i="7"/>
  <c r="Z61" i="7"/>
  <c r="Y61" i="7"/>
  <c r="Q61" i="7"/>
  <c r="AA60" i="7"/>
  <c r="AA64" i="7" s="1"/>
  <c r="Z60" i="7"/>
  <c r="Y60" i="7"/>
  <c r="Q60" i="7"/>
  <c r="Z59" i="7"/>
  <c r="Y59" i="7"/>
  <c r="Q59" i="7"/>
  <c r="AC57" i="7"/>
  <c r="AB57" i="7"/>
  <c r="AA57" i="7"/>
  <c r="Z57" i="7"/>
  <c r="Y57" i="7"/>
  <c r="X57" i="7"/>
  <c r="W57" i="7"/>
  <c r="V57" i="7"/>
  <c r="U57" i="7"/>
  <c r="T57" i="7"/>
  <c r="S57" i="7"/>
  <c r="R57" i="7"/>
  <c r="Q57" i="7"/>
  <c r="P57" i="7"/>
  <c r="O57" i="7"/>
  <c r="N57" i="7"/>
  <c r="M57" i="7"/>
  <c r="L57" i="7"/>
  <c r="K57" i="7"/>
  <c r="J57" i="7"/>
  <c r="I57" i="7"/>
  <c r="H57" i="7"/>
  <c r="G57" i="7"/>
  <c r="F57" i="7"/>
  <c r="E57" i="7"/>
  <c r="D57" i="7"/>
  <c r="C57" i="7"/>
  <c r="B57"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C43" i="7"/>
  <c r="AB43" i="7"/>
  <c r="AA43" i="7"/>
  <c r="Z43" i="7"/>
  <c r="Y43" i="7"/>
  <c r="X43" i="7"/>
  <c r="W43" i="7"/>
  <c r="V43" i="7"/>
  <c r="U43" i="7"/>
  <c r="T43" i="7"/>
  <c r="S43" i="7"/>
  <c r="R43" i="7"/>
  <c r="Q43" i="7"/>
  <c r="P43" i="7"/>
  <c r="O43" i="7"/>
  <c r="N43" i="7"/>
  <c r="M43" i="7"/>
  <c r="L43" i="7"/>
  <c r="K43" i="7"/>
  <c r="J43" i="7"/>
  <c r="I43" i="7"/>
  <c r="H43" i="7"/>
  <c r="G43" i="7"/>
  <c r="F43" i="7"/>
  <c r="E43" i="7"/>
  <c r="D43" i="7"/>
  <c r="C43" i="7"/>
  <c r="B43" i="7"/>
  <c r="R36" i="7"/>
  <c r="Q36" i="7"/>
  <c r="P36" i="7"/>
  <c r="O36" i="7"/>
  <c r="N36" i="7"/>
  <c r="M36" i="7"/>
  <c r="L36" i="7"/>
  <c r="K36" i="7"/>
  <c r="J36" i="7"/>
  <c r="I36" i="7"/>
  <c r="H36" i="7"/>
  <c r="G36" i="7"/>
  <c r="F36" i="7"/>
  <c r="E36" i="7"/>
  <c r="D36" i="7"/>
  <c r="C36" i="7"/>
  <c r="B36" i="7"/>
  <c r="R29" i="7"/>
  <c r="Q29" i="7"/>
  <c r="P29" i="7"/>
  <c r="O29" i="7"/>
  <c r="N29" i="7"/>
  <c r="M29" i="7"/>
  <c r="L29" i="7"/>
  <c r="K29" i="7"/>
  <c r="J29" i="7"/>
  <c r="I29" i="7"/>
  <c r="H29" i="7"/>
  <c r="G29" i="7"/>
  <c r="F29" i="7"/>
  <c r="E29" i="7"/>
  <c r="D29" i="7"/>
  <c r="C29" i="7"/>
  <c r="B29" i="7"/>
  <c r="R22" i="7"/>
  <c r="Q22" i="7"/>
  <c r="P22" i="7"/>
  <c r="O22" i="7"/>
  <c r="N22" i="7"/>
  <c r="M22" i="7"/>
  <c r="L22" i="7"/>
  <c r="K22" i="7"/>
  <c r="J22" i="7"/>
  <c r="I22" i="7"/>
  <c r="H22" i="7"/>
  <c r="G22" i="7"/>
  <c r="F22" i="7"/>
  <c r="E22" i="7"/>
  <c r="D22" i="7"/>
  <c r="C22" i="7"/>
  <c r="B22" i="7"/>
  <c r="R15" i="7"/>
  <c r="P15" i="7"/>
  <c r="O15" i="7"/>
  <c r="N15" i="7"/>
  <c r="M15" i="7"/>
  <c r="L15" i="7"/>
  <c r="K15" i="7"/>
  <c r="J15" i="7"/>
  <c r="I15" i="7"/>
  <c r="H15" i="7"/>
  <c r="G15" i="7"/>
  <c r="F15" i="7"/>
  <c r="E15" i="7"/>
  <c r="D15" i="7"/>
  <c r="C15" i="7"/>
  <c r="B15" i="7"/>
  <c r="Q12" i="7"/>
  <c r="Q11" i="7"/>
  <c r="Q10" i="7"/>
  <c r="Q15" i="7" l="1"/>
  <c r="Z64" i="7"/>
  <c r="Q64" i="7"/>
  <c r="Y64" i="7"/>
  <c r="BO127" i="3"/>
  <c r="BO120" i="3"/>
  <c r="BO113" i="3"/>
  <c r="BO106" i="3"/>
  <c r="BO96" i="3"/>
  <c r="BO92" i="3"/>
  <c r="BO85" i="3"/>
  <c r="BO98" i="3"/>
  <c r="BO97" i="3"/>
  <c r="BO78" i="3"/>
  <c r="BO95" i="3"/>
  <c r="BO94" i="3"/>
  <c r="BO71" i="3"/>
  <c r="BO63" i="3"/>
  <c r="BO62" i="3"/>
  <c r="BO61" i="3"/>
  <c r="BO60" i="3"/>
  <c r="BO59" i="3"/>
  <c r="BO57" i="3"/>
  <c r="BO50" i="3"/>
  <c r="BO43" i="3"/>
  <c r="BO36" i="3"/>
  <c r="BO29" i="3"/>
  <c r="BO22" i="3"/>
  <c r="BO15" i="3"/>
  <c r="BO64" i="3" l="1"/>
  <c r="BO99" i="3"/>
  <c r="AD81" i="2" l="1"/>
  <c r="AD80" i="2"/>
  <c r="AD84" i="2"/>
  <c r="AD83" i="2"/>
  <c r="BN77" i="3"/>
  <c r="BN76" i="3"/>
  <c r="BN75" i="3"/>
  <c r="BN74" i="3"/>
  <c r="BN73" i="3"/>
  <c r="BN70" i="3"/>
  <c r="BN69" i="3"/>
  <c r="BN68" i="3"/>
  <c r="BN67" i="3"/>
  <c r="BN66" i="3"/>
  <c r="AD77" i="2"/>
  <c r="AD76" i="2"/>
  <c r="AD75" i="2"/>
  <c r="AD74" i="2"/>
  <c r="AD73" i="2"/>
  <c r="AD21" i="2" l="1"/>
  <c r="AD14" i="2"/>
  <c r="AD13" i="2"/>
  <c r="AD12" i="2"/>
  <c r="AD11" i="2"/>
  <c r="AD10" i="2"/>
  <c r="BN127" i="3" l="1"/>
  <c r="BN120" i="3"/>
  <c r="BN113" i="3"/>
  <c r="BN106" i="3"/>
  <c r="BN98" i="3"/>
  <c r="BN97" i="3"/>
  <c r="BN96" i="3"/>
  <c r="BN95" i="3"/>
  <c r="BN94" i="3"/>
  <c r="BN92" i="3"/>
  <c r="BN85" i="3"/>
  <c r="BN78" i="3"/>
  <c r="BN71" i="3"/>
  <c r="BN63" i="3"/>
  <c r="BN62" i="3"/>
  <c r="BN57" i="3"/>
  <c r="BN50" i="3"/>
  <c r="BN61" i="3"/>
  <c r="BN60" i="3"/>
  <c r="BN36" i="3"/>
  <c r="BN29" i="3"/>
  <c r="BN13" i="3"/>
  <c r="BN12" i="3"/>
  <c r="BN22" i="3"/>
  <c r="BN14" i="3"/>
  <c r="BN10" i="3"/>
  <c r="BN99" i="3" l="1"/>
  <c r="BN59" i="3"/>
  <c r="BN11" i="3"/>
  <c r="BN15" i="3" s="1"/>
  <c r="BN43" i="3"/>
  <c r="BN64" i="3" s="1"/>
  <c r="AD62" i="2" l="1"/>
  <c r="BL62" i="2" s="1"/>
  <c r="AD61" i="2"/>
  <c r="BL61" i="2" s="1"/>
  <c r="AD60" i="2"/>
  <c r="BL60" i="2" s="1"/>
  <c r="AD59" i="2"/>
  <c r="AD55" i="2"/>
  <c r="AD54" i="2"/>
  <c r="BL54" i="2" s="1"/>
  <c r="AD53" i="2"/>
  <c r="BL53" i="2" s="1"/>
  <c r="AD52" i="2"/>
  <c r="BL52" i="2" s="1"/>
  <c r="AD48" i="2"/>
  <c r="BL48" i="2" s="1"/>
  <c r="AD47" i="2"/>
  <c r="BL47" i="2" s="1"/>
  <c r="AD46" i="2"/>
  <c r="BL46" i="2" s="1"/>
  <c r="AD45" i="2"/>
  <c r="BL45" i="2" s="1"/>
  <c r="AD41" i="2"/>
  <c r="BL41" i="2" s="1"/>
  <c r="AD40" i="2"/>
  <c r="BL40" i="2" s="1"/>
  <c r="AD39" i="2"/>
  <c r="BL39" i="2" s="1"/>
  <c r="AD38" i="2"/>
  <c r="BL38" i="2" s="1"/>
  <c r="AD34" i="2"/>
  <c r="BL34" i="2" s="1"/>
  <c r="AD33" i="2"/>
  <c r="BL33" i="2" s="1"/>
  <c r="AD32" i="2"/>
  <c r="BL32" i="2" s="1"/>
  <c r="AD31" i="2"/>
  <c r="BL31" i="2" s="1"/>
  <c r="AD27" i="2"/>
  <c r="AD26" i="2"/>
  <c r="AD25" i="2"/>
  <c r="AD24" i="2"/>
  <c r="BL24" i="2" s="1"/>
  <c r="AD141" i="2"/>
  <c r="AD134" i="2"/>
  <c r="AD127" i="2"/>
  <c r="AD112" i="2"/>
  <c r="BL112" i="2" s="1"/>
  <c r="AD111" i="2"/>
  <c r="BL111" i="2" s="1"/>
  <c r="AD110" i="2"/>
  <c r="BL110" i="2" s="1"/>
  <c r="AD109" i="2"/>
  <c r="BL109" i="2" s="1"/>
  <c r="AD105" i="2"/>
  <c r="BL105" i="2" s="1"/>
  <c r="AD104" i="2"/>
  <c r="BL104" i="2" s="1"/>
  <c r="AD103" i="2"/>
  <c r="BL103" i="2" s="1"/>
  <c r="AD102" i="2"/>
  <c r="BL102" i="2" s="1"/>
  <c r="AD98" i="2"/>
  <c r="AD97" i="2"/>
  <c r="AD96" i="2"/>
  <c r="AD95" i="2"/>
  <c r="AD94" i="2"/>
  <c r="AD115" i="2" s="1"/>
  <c r="AD85" i="2"/>
  <c r="AD78" i="2"/>
  <c r="AD70" i="2"/>
  <c r="AD15" i="2"/>
  <c r="BM55" i="3"/>
  <c r="BM54" i="3"/>
  <c r="BM53" i="3"/>
  <c r="BM52" i="3"/>
  <c r="BM34" i="3"/>
  <c r="BM33" i="3"/>
  <c r="BM32" i="3"/>
  <c r="BM31" i="3"/>
  <c r="BM27" i="3"/>
  <c r="BM26" i="3"/>
  <c r="BM25" i="3"/>
  <c r="BM24" i="3"/>
  <c r="BM48" i="3"/>
  <c r="BM47" i="3"/>
  <c r="BM46" i="3"/>
  <c r="BM45" i="3"/>
  <c r="BM41" i="3"/>
  <c r="BM40" i="3"/>
  <c r="BM39" i="3"/>
  <c r="BM38" i="3"/>
  <c r="BM20" i="3"/>
  <c r="BM19" i="3"/>
  <c r="BM18" i="3"/>
  <c r="BM17" i="3"/>
  <c r="BM62" i="3"/>
  <c r="BM127" i="3"/>
  <c r="BM120" i="3"/>
  <c r="BM113" i="3"/>
  <c r="BM106" i="3"/>
  <c r="BM96" i="3"/>
  <c r="BM92" i="3"/>
  <c r="BM85" i="3"/>
  <c r="BM98" i="3"/>
  <c r="BM97" i="3"/>
  <c r="BM95" i="3"/>
  <c r="BM78" i="3"/>
  <c r="BM71" i="3"/>
  <c r="BM63" i="3"/>
  <c r="BM14" i="3"/>
  <c r="BM61" i="3" l="1"/>
  <c r="AD18" i="2"/>
  <c r="BL25" i="2"/>
  <c r="AD19" i="2"/>
  <c r="BL26" i="2"/>
  <c r="AD118" i="2"/>
  <c r="AD20" i="2"/>
  <c r="BL27" i="2"/>
  <c r="AD69" i="2"/>
  <c r="BL55" i="2"/>
  <c r="AD64" i="2"/>
  <c r="BL59" i="2"/>
  <c r="AD57" i="2"/>
  <c r="AD113" i="2"/>
  <c r="AD106" i="2"/>
  <c r="AD119" i="2"/>
  <c r="AD43" i="2"/>
  <c r="AD36" i="2"/>
  <c r="AD50" i="2"/>
  <c r="AD116" i="2"/>
  <c r="AD68" i="2"/>
  <c r="AD29" i="2"/>
  <c r="AD17" i="2"/>
  <c r="AD67" i="2"/>
  <c r="AD66" i="2"/>
  <c r="AD99" i="2"/>
  <c r="AD117" i="2"/>
  <c r="BM57" i="3"/>
  <c r="BM60" i="3"/>
  <c r="BM12" i="3"/>
  <c r="BM36" i="3"/>
  <c r="BM11" i="3"/>
  <c r="BM10" i="3"/>
  <c r="BM13" i="3"/>
  <c r="BM29" i="3"/>
  <c r="BM50" i="3"/>
  <c r="BM59" i="3"/>
  <c r="BM22" i="3"/>
  <c r="BM94" i="3"/>
  <c r="BM99" i="3" s="1"/>
  <c r="BM43" i="3"/>
  <c r="AD22" i="2" l="1"/>
  <c r="AD71" i="2"/>
  <c r="AD120" i="2"/>
  <c r="BM15" i="3"/>
  <c r="BM64" i="3"/>
  <c r="BL55" i="3"/>
  <c r="BL54" i="3"/>
  <c r="BL53" i="3"/>
  <c r="BL52" i="3"/>
  <c r="BL48" i="3"/>
  <c r="BL47" i="3"/>
  <c r="BL46" i="3"/>
  <c r="BL45" i="3"/>
  <c r="BL41" i="3"/>
  <c r="BL40" i="3"/>
  <c r="BL39" i="3"/>
  <c r="BL38" i="3"/>
  <c r="BL34" i="3"/>
  <c r="BL33" i="3"/>
  <c r="BL32" i="3"/>
  <c r="BL31" i="3"/>
  <c r="BL27" i="3"/>
  <c r="BL26" i="3"/>
  <c r="BL25" i="3"/>
  <c r="BL24" i="3"/>
  <c r="BL17" i="3"/>
  <c r="BL21" i="3"/>
  <c r="BL20" i="3"/>
  <c r="BL19" i="3"/>
  <c r="BL18" i="3"/>
  <c r="BL75" i="3" l="1"/>
  <c r="BL74" i="3"/>
  <c r="BL73" i="3"/>
  <c r="BL94" i="3" s="1"/>
  <c r="BL77" i="3"/>
  <c r="BL98" i="3" s="1"/>
  <c r="BL76" i="3"/>
  <c r="BL97" i="3" s="1"/>
  <c r="BL67" i="3"/>
  <c r="BL66" i="3"/>
  <c r="BL70" i="3"/>
  <c r="BL69" i="3"/>
  <c r="BL68" i="3"/>
  <c r="BL127" i="3"/>
  <c r="BL120" i="3"/>
  <c r="BL113" i="3"/>
  <c r="BL106" i="3"/>
  <c r="BL92" i="3"/>
  <c r="BL85" i="3"/>
  <c r="BL95" i="3"/>
  <c r="BL57" i="3"/>
  <c r="BL50" i="3"/>
  <c r="BL63" i="3"/>
  <c r="BL62" i="3"/>
  <c r="BL61" i="3"/>
  <c r="BL60" i="3"/>
  <c r="BL59" i="3"/>
  <c r="BL36" i="3"/>
  <c r="BL29" i="3"/>
  <c r="BL14" i="3"/>
  <c r="BL13" i="3"/>
  <c r="BL12" i="3"/>
  <c r="BL11" i="3"/>
  <c r="BL22" i="3"/>
  <c r="BL78" i="3" l="1"/>
  <c r="BL71" i="3"/>
  <c r="BL96" i="3"/>
  <c r="BL99" i="3" s="1"/>
  <c r="BL10" i="3"/>
  <c r="BL15" i="3" s="1"/>
  <c r="BL43" i="3"/>
  <c r="BL64" i="3" s="1"/>
  <c r="BK67" i="3" l="1"/>
  <c r="BK66" i="3"/>
  <c r="BK70" i="3"/>
  <c r="BK69" i="3"/>
  <c r="BK68" i="3"/>
  <c r="BK74" i="3"/>
  <c r="BK95" i="3" s="1"/>
  <c r="BK73" i="3"/>
  <c r="BK94" i="3"/>
  <c r="BK77" i="3"/>
  <c r="BK98" i="3" s="1"/>
  <c r="BK76" i="3"/>
  <c r="BK97" i="3" s="1"/>
  <c r="BK75" i="3"/>
  <c r="BK96" i="3"/>
  <c r="BK55" i="3"/>
  <c r="BK54" i="3"/>
  <c r="BK53" i="3"/>
  <c r="BK52" i="3"/>
  <c r="BK59" i="3" s="1"/>
  <c r="BK45" i="3"/>
  <c r="BK38" i="3"/>
  <c r="BK49" i="3"/>
  <c r="BK48" i="3"/>
  <c r="BK47" i="3"/>
  <c r="BK46" i="3"/>
  <c r="BK42" i="3"/>
  <c r="BK41" i="3"/>
  <c r="BK62" i="3" s="1"/>
  <c r="BK40" i="3"/>
  <c r="BK39" i="3"/>
  <c r="BK34" i="3"/>
  <c r="BK33" i="3"/>
  <c r="BK32" i="3"/>
  <c r="BK31" i="3"/>
  <c r="BK28" i="3"/>
  <c r="BK27" i="3"/>
  <c r="BK26" i="3"/>
  <c r="BK25" i="3"/>
  <c r="BK24" i="3"/>
  <c r="BK21" i="3"/>
  <c r="BK20" i="3"/>
  <c r="BK19" i="3"/>
  <c r="BK18" i="3"/>
  <c r="BK17" i="3"/>
  <c r="BK127" i="3"/>
  <c r="BK120" i="3"/>
  <c r="BK113" i="3"/>
  <c r="BK106" i="3"/>
  <c r="BK92" i="3"/>
  <c r="BK85" i="3"/>
  <c r="BK61" i="3" l="1"/>
  <c r="BK12" i="3"/>
  <c r="BK71" i="3"/>
  <c r="BK99" i="3"/>
  <c r="BK78" i="3"/>
  <c r="BK57" i="3"/>
  <c r="BK63" i="3"/>
  <c r="BK50" i="3"/>
  <c r="BK60" i="3"/>
  <c r="BK43" i="3"/>
  <c r="BK13" i="3"/>
  <c r="BK36" i="3"/>
  <c r="BK14" i="3"/>
  <c r="BK29" i="3"/>
  <c r="BK10" i="3"/>
  <c r="BK22" i="3"/>
  <c r="BK11" i="3"/>
  <c r="AC12" i="2"/>
  <c r="AC10" i="2"/>
  <c r="AC21" i="2"/>
  <c r="AC20" i="2"/>
  <c r="AC19" i="2"/>
  <c r="AC18" i="2"/>
  <c r="AC17" i="2"/>
  <c r="AC15" i="2" l="1"/>
  <c r="BK64" i="3"/>
  <c r="BK15" i="3"/>
  <c r="AC141" i="2"/>
  <c r="AC134" i="2"/>
  <c r="AC127" i="2"/>
  <c r="AC109" i="2"/>
  <c r="BK109" i="2" s="1"/>
  <c r="AC110" i="2"/>
  <c r="BK110" i="2" s="1"/>
  <c r="AC111" i="2"/>
  <c r="BK111" i="2" s="1"/>
  <c r="AC112" i="2"/>
  <c r="BK112" i="2" s="1"/>
  <c r="AC108" i="2"/>
  <c r="BK108" i="2" s="1"/>
  <c r="AC102" i="2"/>
  <c r="BK102" i="2" s="1"/>
  <c r="AC103" i="2"/>
  <c r="BK103" i="2" s="1"/>
  <c r="AC104" i="2"/>
  <c r="BK104" i="2" s="1"/>
  <c r="AC105" i="2"/>
  <c r="BK105" i="2" s="1"/>
  <c r="AC101" i="2"/>
  <c r="BK101" i="2" s="1"/>
  <c r="AC95" i="2"/>
  <c r="AC96" i="2"/>
  <c r="AC97" i="2"/>
  <c r="AC98" i="2"/>
  <c r="AC94" i="2"/>
  <c r="AC78" i="2"/>
  <c r="AC70" i="2"/>
  <c r="AC69" i="2"/>
  <c r="AC68" i="2"/>
  <c r="AC67" i="2"/>
  <c r="AC66" i="2"/>
  <c r="AC64" i="2"/>
  <c r="AC57" i="2"/>
  <c r="AC50" i="2"/>
  <c r="AC43" i="2"/>
  <c r="AC36" i="2"/>
  <c r="AC29" i="2"/>
  <c r="AC22" i="2"/>
  <c r="BJ14" i="3"/>
  <c r="BJ13" i="3"/>
  <c r="BJ12" i="3"/>
  <c r="BJ11" i="3"/>
  <c r="BJ10" i="3"/>
  <c r="AC116" i="2" l="1"/>
  <c r="AC71" i="2"/>
  <c r="AC117" i="2"/>
  <c r="AC115" i="2"/>
  <c r="AC106" i="2"/>
  <c r="AC119" i="2"/>
  <c r="AC118" i="2"/>
  <c r="AC120" i="2" s="1"/>
  <c r="AC113" i="2"/>
  <c r="AC99" i="2"/>
  <c r="AC85" i="2"/>
  <c r="BJ127" i="3" l="1"/>
  <c r="BJ120" i="3"/>
  <c r="BJ113" i="3"/>
  <c r="BJ106" i="3"/>
  <c r="BJ98" i="3"/>
  <c r="BJ97" i="3"/>
  <c r="BJ96" i="3"/>
  <c r="BJ95" i="3"/>
  <c r="BJ94" i="3"/>
  <c r="BJ92" i="3"/>
  <c r="BJ85" i="3"/>
  <c r="BJ78" i="3"/>
  <c r="BJ71" i="3"/>
  <c r="BJ63" i="3"/>
  <c r="BJ62" i="3"/>
  <c r="BJ61" i="3"/>
  <c r="BJ60" i="3"/>
  <c r="BJ59" i="3"/>
  <c r="BJ57" i="3"/>
  <c r="BJ50" i="3"/>
  <c r="BJ43" i="3"/>
  <c r="BJ36" i="3"/>
  <c r="BJ29" i="3"/>
  <c r="BJ22" i="3"/>
  <c r="BJ15" i="3"/>
  <c r="BJ99" i="3" l="1"/>
  <c r="BJ64" i="3"/>
  <c r="BI127" i="3" l="1"/>
  <c r="BI120" i="3"/>
  <c r="BI113" i="3"/>
  <c r="BI106" i="3"/>
  <c r="BI98" i="3"/>
  <c r="BI97" i="3"/>
  <c r="BI96" i="3"/>
  <c r="BI95" i="3"/>
  <c r="BI94" i="3"/>
  <c r="BI92" i="3"/>
  <c r="BI85" i="3"/>
  <c r="BI78" i="3"/>
  <c r="BI71" i="3"/>
  <c r="BI63" i="3"/>
  <c r="BI62" i="3"/>
  <c r="BI61" i="3"/>
  <c r="BI60" i="3"/>
  <c r="BI59" i="3"/>
  <c r="BI57" i="3"/>
  <c r="BI50" i="3"/>
  <c r="BI43" i="3"/>
  <c r="BI36" i="3"/>
  <c r="BI29" i="3"/>
  <c r="BI22" i="3"/>
  <c r="BI15" i="3"/>
  <c r="BI64" i="3" l="1"/>
  <c r="BI99" i="3"/>
  <c r="BH76" i="3"/>
  <c r="BH75" i="3"/>
  <c r="BG74" i="3" l="1"/>
  <c r="BG73" i="3"/>
  <c r="BG77" i="3"/>
  <c r="BG76" i="3"/>
  <c r="BG75" i="3"/>
  <c r="BH127" i="3" l="1"/>
  <c r="BH120" i="3"/>
  <c r="BH113" i="3"/>
  <c r="BH106" i="3"/>
  <c r="BH98" i="3"/>
  <c r="BH97" i="3"/>
  <c r="BH96" i="3"/>
  <c r="BH95" i="3"/>
  <c r="BH94" i="3"/>
  <c r="BH92" i="3"/>
  <c r="BH85" i="3"/>
  <c r="BH78" i="3"/>
  <c r="BH71" i="3"/>
  <c r="BH63" i="3"/>
  <c r="BH62" i="3"/>
  <c r="BH61" i="3"/>
  <c r="BH60" i="3"/>
  <c r="BH59" i="3"/>
  <c r="BH57" i="3"/>
  <c r="BH50" i="3"/>
  <c r="BH43" i="3"/>
  <c r="BH36" i="3"/>
  <c r="BH29" i="3"/>
  <c r="BH22" i="3"/>
  <c r="BG127" i="3"/>
  <c r="BG120" i="3"/>
  <c r="BG113" i="3"/>
  <c r="BG106" i="3"/>
  <c r="BG98" i="3"/>
  <c r="BG97" i="3"/>
  <c r="BG96" i="3"/>
  <c r="BG95" i="3"/>
  <c r="BG94" i="3"/>
  <c r="BG92" i="3"/>
  <c r="BG85" i="3"/>
  <c r="BG78" i="3"/>
  <c r="BG71" i="3"/>
  <c r="BG63" i="3"/>
  <c r="BG62" i="3"/>
  <c r="BG61" i="3"/>
  <c r="BG60" i="3"/>
  <c r="BG59" i="3"/>
  <c r="BG57" i="3"/>
  <c r="BG50" i="3"/>
  <c r="BG43" i="3"/>
  <c r="BG36" i="3"/>
  <c r="BG29" i="3"/>
  <c r="BG22" i="3"/>
  <c r="BG64" i="3" l="1"/>
  <c r="BH64" i="3"/>
  <c r="BG99" i="3"/>
  <c r="BH99" i="3"/>
  <c r="BH15" i="3"/>
  <c r="BG15" i="3"/>
  <c r="BJ140" i="2"/>
  <c r="BJ139" i="2"/>
  <c r="BJ138" i="2"/>
  <c r="BJ137" i="2"/>
  <c r="BJ136" i="2"/>
  <c r="BJ133" i="2"/>
  <c r="BJ132" i="2"/>
  <c r="BJ131" i="2"/>
  <c r="BJ130" i="2"/>
  <c r="BJ129" i="2"/>
  <c r="BJ126" i="2"/>
  <c r="BJ125" i="2"/>
  <c r="BJ124" i="2"/>
  <c r="BJ123" i="2"/>
  <c r="BJ122" i="2"/>
  <c r="BJ112" i="2"/>
  <c r="BJ111" i="2"/>
  <c r="BJ110" i="2"/>
  <c r="BJ109" i="2"/>
  <c r="BJ108" i="2"/>
  <c r="BJ105" i="2"/>
  <c r="BJ104" i="2"/>
  <c r="BJ103" i="2"/>
  <c r="BJ102" i="2"/>
  <c r="BJ101" i="2"/>
  <c r="BJ91" i="2"/>
  <c r="BJ90" i="2"/>
  <c r="BJ89" i="2"/>
  <c r="BJ88" i="2"/>
  <c r="BJ87" i="2"/>
  <c r="BJ63" i="2"/>
  <c r="BJ62" i="2"/>
  <c r="BJ61" i="2"/>
  <c r="BJ60" i="2"/>
  <c r="BJ59" i="2"/>
  <c r="BJ56" i="2"/>
  <c r="BJ55" i="2"/>
  <c r="BJ54" i="2"/>
  <c r="BJ53" i="2"/>
  <c r="BJ52" i="2"/>
  <c r="BJ49" i="2"/>
  <c r="BJ48" i="2"/>
  <c r="BJ47" i="2"/>
  <c r="BJ46" i="2"/>
  <c r="BJ45" i="2"/>
  <c r="BJ42" i="2"/>
  <c r="BJ41" i="2"/>
  <c r="BJ40" i="2"/>
  <c r="BJ39" i="2"/>
  <c r="BJ38" i="2"/>
  <c r="BJ35" i="2"/>
  <c r="BJ34" i="2"/>
  <c r="BJ33" i="2"/>
  <c r="BJ32" i="2"/>
  <c r="BJ31" i="2"/>
  <c r="BJ28" i="2"/>
  <c r="BJ27" i="2"/>
  <c r="BJ26" i="2"/>
  <c r="BJ25" i="2"/>
  <c r="BJ24"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BF124" i="3"/>
  <c r="BF122" i="3"/>
  <c r="BF14" i="3"/>
  <c r="BF13" i="3"/>
  <c r="BF12" i="3"/>
  <c r="BF11" i="3"/>
  <c r="BF10" i="3"/>
  <c r="AB99" i="2" l="1"/>
  <c r="AB120" i="2"/>
  <c r="BF113" i="3"/>
  <c r="BE113" i="3"/>
  <c r="BD113" i="3"/>
  <c r="BF127" i="3"/>
  <c r="BF120" i="3"/>
  <c r="BF106" i="3"/>
  <c r="BF98" i="3"/>
  <c r="BF97" i="3"/>
  <c r="BF96" i="3"/>
  <c r="BF95" i="3"/>
  <c r="BF94" i="3"/>
  <c r="BF92" i="3"/>
  <c r="BF85" i="3"/>
  <c r="BF78" i="3"/>
  <c r="BF71" i="3"/>
  <c r="BF63" i="3"/>
  <c r="BF62" i="3"/>
  <c r="BF61" i="3"/>
  <c r="BF60" i="3"/>
  <c r="BF59" i="3"/>
  <c r="BF57" i="3"/>
  <c r="BF50" i="3"/>
  <c r="BF43" i="3"/>
  <c r="BF36" i="3"/>
  <c r="BF29" i="3"/>
  <c r="BF22" i="3"/>
  <c r="BF15" i="3"/>
  <c r="BF99" i="3" l="1"/>
  <c r="BF64" i="3"/>
  <c r="BE122" i="3"/>
  <c r="BE127" i="3" s="1"/>
  <c r="BE60" i="3"/>
  <c r="BE61" i="3"/>
  <c r="BE62" i="3"/>
  <c r="BE63" i="3"/>
  <c r="BE59" i="3"/>
  <c r="BE14" i="3"/>
  <c r="BE13" i="3"/>
  <c r="BE12" i="3"/>
  <c r="BE11" i="3"/>
  <c r="BE10" i="3"/>
  <c r="BE15" i="3" l="1"/>
  <c r="BE120" i="3"/>
  <c r="BE106" i="3"/>
  <c r="BE98" i="3"/>
  <c r="BE97" i="3"/>
  <c r="BE96" i="3"/>
  <c r="BE95" i="3"/>
  <c r="BE94" i="3"/>
  <c r="BE92" i="3"/>
  <c r="BE85" i="3"/>
  <c r="BE78" i="3"/>
  <c r="BE69" i="3"/>
  <c r="BE68" i="3"/>
  <c r="BE67" i="3"/>
  <c r="BE66" i="3"/>
  <c r="BE57" i="3"/>
  <c r="BE50" i="3"/>
  <c r="BE43" i="3"/>
  <c r="BE36" i="3"/>
  <c r="BE29" i="3"/>
  <c r="BE22" i="3"/>
  <c r="BE71" i="3" l="1"/>
  <c r="BE99" i="3"/>
  <c r="BE64" i="3"/>
  <c r="BD125" i="3" l="1"/>
  <c r="BD124" i="3"/>
  <c r="BD122" i="3"/>
  <c r="BD13" i="3"/>
  <c r="BD12" i="3"/>
  <c r="BD11" i="3"/>
  <c r="BD10" i="3"/>
  <c r="BD67" i="3" l="1"/>
  <c r="BD66" i="3"/>
  <c r="BD70" i="3"/>
  <c r="BD69" i="3"/>
  <c r="BD68" i="3"/>
  <c r="BD127" i="3" l="1"/>
  <c r="BD120" i="3"/>
  <c r="BD106" i="3"/>
  <c r="BD98" i="3"/>
  <c r="BD97" i="3"/>
  <c r="BD96" i="3"/>
  <c r="BD95" i="3"/>
  <c r="BD94" i="3"/>
  <c r="BD92" i="3"/>
  <c r="BD85" i="3"/>
  <c r="BD78" i="3"/>
  <c r="BD71" i="3"/>
  <c r="BD63" i="3"/>
  <c r="BD62" i="3"/>
  <c r="BD61" i="3"/>
  <c r="BD60" i="3"/>
  <c r="BD59" i="3"/>
  <c r="BD57" i="3"/>
  <c r="BD50" i="3"/>
  <c r="BD43" i="3"/>
  <c r="BD36" i="3"/>
  <c r="BD29" i="3"/>
  <c r="BD22" i="3"/>
  <c r="BD14" i="3"/>
  <c r="BD64" i="3" l="1"/>
  <c r="BD99" i="3"/>
  <c r="BD15" i="3"/>
  <c r="BC125" i="3"/>
  <c r="BC124" i="3"/>
  <c r="BC122" i="3"/>
  <c r="BC70" i="3" l="1"/>
  <c r="BC69" i="3"/>
  <c r="BC68" i="3"/>
  <c r="BC67" i="3"/>
  <c r="BC66" i="3"/>
  <c r="BC12" i="3" l="1"/>
  <c r="BC11" i="3"/>
  <c r="BC10" i="3"/>
  <c r="BC50" i="3"/>
  <c r="BC127" i="3"/>
  <c r="BC120" i="3"/>
  <c r="BC113" i="3"/>
  <c r="BC106" i="3"/>
  <c r="BC98" i="3"/>
  <c r="BC97" i="3"/>
  <c r="BC96" i="3"/>
  <c r="BC95" i="3"/>
  <c r="BC94" i="3"/>
  <c r="BC92" i="3"/>
  <c r="BC85" i="3"/>
  <c r="BC78" i="3"/>
  <c r="BC71" i="3"/>
  <c r="BC63" i="3"/>
  <c r="BC62" i="3"/>
  <c r="BC61" i="3"/>
  <c r="BC60" i="3"/>
  <c r="BC59" i="3"/>
  <c r="BC57" i="3"/>
  <c r="BC43" i="3"/>
  <c r="BC36" i="3"/>
  <c r="BC29" i="3"/>
  <c r="BC22" i="3"/>
  <c r="BC14" i="3"/>
  <c r="BC13" i="3"/>
  <c r="BC99" i="3" l="1"/>
  <c r="BC64" i="3"/>
  <c r="BC15" i="3"/>
  <c r="Z52" i="2"/>
  <c r="AA10" i="2" l="1"/>
  <c r="Z10" i="2"/>
  <c r="Y10" i="2"/>
  <c r="X10" i="2"/>
  <c r="BR10" i="2" s="1"/>
  <c r="W10" i="2"/>
  <c r="BQ10" i="2" s="1"/>
  <c r="AA24" i="2"/>
  <c r="Z24" i="2"/>
  <c r="Y24" i="2"/>
  <c r="X24" i="2"/>
  <c r="BR24" i="2" s="1"/>
  <c r="W24" i="2"/>
  <c r="BQ24" i="2" s="1"/>
  <c r="Z31" i="2"/>
  <c r="Y31" i="2"/>
  <c r="X31" i="2"/>
  <c r="BR31" i="2" s="1"/>
  <c r="W31" i="2"/>
  <c r="BQ31" i="2" s="1"/>
  <c r="Y38" i="2"/>
  <c r="X38" i="2"/>
  <c r="BR38" i="2" s="1"/>
  <c r="W38" i="2"/>
  <c r="BQ38" i="2" s="1"/>
  <c r="Z45" i="2"/>
  <c r="AA45" i="2"/>
  <c r="Y45" i="2"/>
  <c r="X45" i="2"/>
  <c r="BR45" i="2" s="1"/>
  <c r="W45" i="2"/>
  <c r="BQ45" i="2" s="1"/>
  <c r="AA52" i="2"/>
  <c r="Y52" i="2"/>
  <c r="X52" i="2"/>
  <c r="BR52" i="2" s="1"/>
  <c r="W52" i="2"/>
  <c r="BQ52" i="2" s="1"/>
  <c r="Y59" i="2"/>
  <c r="X59" i="2"/>
  <c r="BR59" i="2" s="1"/>
  <c r="W59" i="2"/>
  <c r="BQ59" i="2" s="1"/>
  <c r="BG137" i="2" l="1"/>
  <c r="BH137" i="2"/>
  <c r="BI137" i="2"/>
  <c r="BG138" i="2"/>
  <c r="BH138" i="2"/>
  <c r="BI138" i="2"/>
  <c r="BG139" i="2"/>
  <c r="BH139" i="2"/>
  <c r="BI139" i="2"/>
  <c r="BG140" i="2"/>
  <c r="BH140" i="2"/>
  <c r="BI140" i="2"/>
  <c r="BH136" i="2"/>
  <c r="BI136" i="2"/>
  <c r="BG130" i="2"/>
  <c r="BH130" i="2"/>
  <c r="BI130" i="2"/>
  <c r="BG131" i="2"/>
  <c r="BH131" i="2"/>
  <c r="BI131" i="2"/>
  <c r="BG132" i="2"/>
  <c r="BH132" i="2"/>
  <c r="BI132" i="2"/>
  <c r="BG133" i="2"/>
  <c r="BH133" i="2"/>
  <c r="BI133" i="2"/>
  <c r="BH129" i="2"/>
  <c r="BI129" i="2"/>
  <c r="BG123" i="2"/>
  <c r="BH123" i="2"/>
  <c r="BI123" i="2"/>
  <c r="BG124" i="2"/>
  <c r="BH124" i="2"/>
  <c r="BI124" i="2"/>
  <c r="BG125" i="2"/>
  <c r="BH125" i="2"/>
  <c r="BI125" i="2"/>
  <c r="BG126" i="2"/>
  <c r="BH126" i="2"/>
  <c r="BI126" i="2"/>
  <c r="BH122" i="2"/>
  <c r="BI122" i="2"/>
  <c r="BG109" i="2"/>
  <c r="BH109" i="2"/>
  <c r="BI109" i="2"/>
  <c r="BG110" i="2"/>
  <c r="BH110" i="2"/>
  <c r="BI110" i="2"/>
  <c r="BG111" i="2"/>
  <c r="BH111" i="2"/>
  <c r="BI111" i="2"/>
  <c r="BG112" i="2"/>
  <c r="BH112" i="2"/>
  <c r="BI112" i="2"/>
  <c r="BH108" i="2"/>
  <c r="BI108" i="2"/>
  <c r="BG102" i="2"/>
  <c r="BH102" i="2"/>
  <c r="BI102" i="2"/>
  <c r="BG103" i="2"/>
  <c r="BH103" i="2"/>
  <c r="BI103" i="2"/>
  <c r="BG104" i="2"/>
  <c r="BH104" i="2"/>
  <c r="BI104" i="2"/>
  <c r="BG105" i="2"/>
  <c r="BH105" i="2"/>
  <c r="BI105" i="2"/>
  <c r="BH101" i="2"/>
  <c r="BI101" i="2"/>
  <c r="BG88" i="2"/>
  <c r="BH88" i="2"/>
  <c r="BI88" i="2"/>
  <c r="BG89" i="2"/>
  <c r="BH89" i="2"/>
  <c r="BI89" i="2"/>
  <c r="BG90" i="2"/>
  <c r="BH90" i="2"/>
  <c r="BI90" i="2"/>
  <c r="BG91" i="2"/>
  <c r="BH91" i="2"/>
  <c r="BI91" i="2"/>
  <c r="BH87" i="2"/>
  <c r="BI87" i="2"/>
  <c r="BG60" i="2"/>
  <c r="BH60" i="2"/>
  <c r="BI60" i="2"/>
  <c r="BG61" i="2"/>
  <c r="BH61" i="2"/>
  <c r="BI61" i="2"/>
  <c r="BG62" i="2"/>
  <c r="BH62" i="2"/>
  <c r="BI62" i="2"/>
  <c r="BG63" i="2"/>
  <c r="BH63" i="2"/>
  <c r="BI63" i="2"/>
  <c r="BH59" i="2"/>
  <c r="BI59" i="2"/>
  <c r="BG53" i="2"/>
  <c r="BH53" i="2"/>
  <c r="BI53" i="2"/>
  <c r="BG54" i="2"/>
  <c r="BH54" i="2"/>
  <c r="BI54" i="2"/>
  <c r="BG55" i="2"/>
  <c r="BH55" i="2"/>
  <c r="BI55" i="2"/>
  <c r="BG56" i="2"/>
  <c r="BH56" i="2"/>
  <c r="BI56" i="2"/>
  <c r="BI52" i="2"/>
  <c r="BG46" i="2"/>
  <c r="BH46" i="2"/>
  <c r="BI46" i="2"/>
  <c r="BG47" i="2"/>
  <c r="BH47" i="2"/>
  <c r="BI47" i="2"/>
  <c r="BG48" i="2"/>
  <c r="BH48" i="2"/>
  <c r="BI48" i="2"/>
  <c r="BG49" i="2"/>
  <c r="BH49" i="2"/>
  <c r="BI49" i="2"/>
  <c r="BI45" i="2"/>
  <c r="BG39" i="2"/>
  <c r="BH39" i="2"/>
  <c r="BI39" i="2"/>
  <c r="BG40" i="2"/>
  <c r="BH40" i="2"/>
  <c r="BI40" i="2"/>
  <c r="BG41" i="2"/>
  <c r="BH41" i="2"/>
  <c r="BI41" i="2"/>
  <c r="BG42" i="2"/>
  <c r="BH42" i="2"/>
  <c r="BI42" i="2"/>
  <c r="BI38" i="2"/>
  <c r="BG32" i="2"/>
  <c r="BH32" i="2"/>
  <c r="BI32" i="2"/>
  <c r="BG33" i="2"/>
  <c r="BH33" i="2"/>
  <c r="BI33" i="2"/>
  <c r="BG34" i="2"/>
  <c r="BH34" i="2"/>
  <c r="BI34" i="2"/>
  <c r="BG35" i="2"/>
  <c r="BH35" i="2"/>
  <c r="BI35" i="2"/>
  <c r="BI31" i="2"/>
  <c r="BG25" i="2"/>
  <c r="BH25" i="2"/>
  <c r="BI25" i="2"/>
  <c r="BG26" i="2"/>
  <c r="BH26" i="2"/>
  <c r="BI26" i="2"/>
  <c r="BG27" i="2"/>
  <c r="BH27" i="2"/>
  <c r="BI27" i="2"/>
  <c r="BG28" i="2"/>
  <c r="BH28" i="2"/>
  <c r="BI28" i="2"/>
  <c r="BI24" i="2"/>
  <c r="AA134" i="2"/>
  <c r="AA141" i="2"/>
  <c r="AA127" i="2"/>
  <c r="AA77" i="2"/>
  <c r="BI77" i="2" s="1"/>
  <c r="AA76" i="2"/>
  <c r="BI76" i="2" s="1"/>
  <c r="AA75" i="2"/>
  <c r="BI75" i="2" s="1"/>
  <c r="AA74" i="2"/>
  <c r="BI74" i="2" s="1"/>
  <c r="AA73" i="2"/>
  <c r="BI73" i="2" s="1"/>
  <c r="AA78" i="2" l="1"/>
  <c r="AA84" i="2"/>
  <c r="AA83" i="2"/>
  <c r="AA82" i="2"/>
  <c r="AA81" i="2"/>
  <c r="AA80" i="2"/>
  <c r="AA14" i="2"/>
  <c r="BI14" i="2" s="1"/>
  <c r="AA13" i="2"/>
  <c r="BI13" i="2" s="1"/>
  <c r="AA12" i="2"/>
  <c r="BI12" i="2" s="1"/>
  <c r="AA11" i="2"/>
  <c r="BI11" i="2" s="1"/>
  <c r="BI10" i="2"/>
  <c r="AA15" i="2" l="1"/>
  <c r="BI82" i="2"/>
  <c r="AA96" i="2"/>
  <c r="AA117" i="2" s="1"/>
  <c r="BI84" i="2"/>
  <c r="AA98" i="2"/>
  <c r="AA119" i="2" s="1"/>
  <c r="AA85" i="2"/>
  <c r="BI80" i="2"/>
  <c r="AA94" i="2"/>
  <c r="BI81" i="2"/>
  <c r="AA95" i="2"/>
  <c r="AA116" i="2" s="1"/>
  <c r="BI83" i="2"/>
  <c r="AA97" i="2"/>
  <c r="AA118" i="2" s="1"/>
  <c r="AA21" i="2"/>
  <c r="AA20" i="2"/>
  <c r="AA19" i="2"/>
  <c r="AA18" i="2"/>
  <c r="AA17" i="2"/>
  <c r="AA67" i="2"/>
  <c r="AA68" i="2"/>
  <c r="AA69" i="2"/>
  <c r="AA70" i="2"/>
  <c r="AA66" i="2"/>
  <c r="AA64" i="2"/>
  <c r="AA57" i="2"/>
  <c r="AA50" i="2"/>
  <c r="AA43" i="2"/>
  <c r="AA36" i="2"/>
  <c r="AA29" i="2"/>
  <c r="AA71" i="2" l="1"/>
  <c r="AA115" i="2"/>
  <c r="AA120" i="2" s="1"/>
  <c r="AA99" i="2"/>
  <c r="AA22" i="2"/>
  <c r="BB124" i="3"/>
  <c r="BB122" i="3"/>
  <c r="BB69" i="3"/>
  <c r="BB70" i="3"/>
  <c r="BB68" i="3"/>
  <c r="BB67" i="3"/>
  <c r="BB66" i="3"/>
  <c r="BB10" i="3"/>
  <c r="BB120" i="3"/>
  <c r="BB113" i="3"/>
  <c r="BB106" i="3"/>
  <c r="BB98" i="3"/>
  <c r="BB97" i="3"/>
  <c r="BB96" i="3"/>
  <c r="BB95" i="3"/>
  <c r="BB94" i="3"/>
  <c r="BB92" i="3"/>
  <c r="BB85" i="3"/>
  <c r="BB78" i="3"/>
  <c r="BB63" i="3"/>
  <c r="BB62" i="3"/>
  <c r="BB61" i="3"/>
  <c r="BB60" i="3"/>
  <c r="BB59" i="3"/>
  <c r="BB57" i="3"/>
  <c r="BB50" i="3"/>
  <c r="BB43" i="3"/>
  <c r="BB36" i="3"/>
  <c r="BB29" i="3"/>
  <c r="BB22" i="3"/>
  <c r="BB14" i="3"/>
  <c r="BB13" i="3"/>
  <c r="BB12" i="3"/>
  <c r="BB11" i="3"/>
  <c r="BB127" i="3" l="1"/>
  <c r="BB71" i="3"/>
  <c r="BB99" i="3"/>
  <c r="BB64" i="3"/>
  <c r="BB15" i="3"/>
  <c r="BA125" i="3" l="1"/>
  <c r="BA124" i="3"/>
  <c r="BA122" i="3"/>
  <c r="AA106" i="2"/>
  <c r="AA113" i="2"/>
  <c r="BA69" i="3"/>
  <c r="BA68" i="3"/>
  <c r="BA67" i="3"/>
  <c r="BA66" i="3"/>
  <c r="BA13" i="3"/>
  <c r="BA12" i="3"/>
  <c r="BA11" i="3"/>
  <c r="BA10" i="3"/>
  <c r="BA120" i="3"/>
  <c r="BA113" i="3"/>
  <c r="BA106" i="3"/>
  <c r="BA98" i="3"/>
  <c r="BA97" i="3"/>
  <c r="BA96" i="3"/>
  <c r="BA95" i="3"/>
  <c r="BA94" i="3"/>
  <c r="BA92" i="3"/>
  <c r="BA85" i="3"/>
  <c r="BA78" i="3"/>
  <c r="BA63" i="3"/>
  <c r="BA62" i="3"/>
  <c r="BA61" i="3"/>
  <c r="BA60" i="3"/>
  <c r="BA59" i="3"/>
  <c r="BA57" i="3"/>
  <c r="BA50" i="3"/>
  <c r="BA43" i="3"/>
  <c r="BA36" i="3"/>
  <c r="BA29" i="3"/>
  <c r="BA22" i="3"/>
  <c r="BA14" i="3"/>
  <c r="BA127" i="3" l="1"/>
  <c r="BA99" i="3"/>
  <c r="BA71" i="3"/>
  <c r="BA64" i="3"/>
  <c r="BA15" i="3"/>
  <c r="AZ125" i="3"/>
  <c r="AZ124" i="3"/>
  <c r="AZ122" i="3"/>
  <c r="AZ66" i="3" l="1"/>
  <c r="AZ69" i="3"/>
  <c r="AZ68" i="3"/>
  <c r="AZ67" i="3"/>
  <c r="AZ70" i="3" l="1"/>
  <c r="AZ14" i="3"/>
  <c r="AZ13" i="3"/>
  <c r="AZ12" i="3"/>
  <c r="AZ11" i="3"/>
  <c r="AZ10" i="3"/>
  <c r="AZ127" i="3"/>
  <c r="AZ120" i="3"/>
  <c r="AZ113" i="3"/>
  <c r="AZ106" i="3"/>
  <c r="AZ98" i="3"/>
  <c r="AZ97" i="3"/>
  <c r="AZ96" i="3"/>
  <c r="AZ95" i="3"/>
  <c r="AZ94" i="3"/>
  <c r="AZ92" i="3"/>
  <c r="AZ85" i="3"/>
  <c r="AZ78" i="3"/>
  <c r="AZ63" i="3"/>
  <c r="AZ62" i="3"/>
  <c r="AZ61" i="3"/>
  <c r="AZ60" i="3"/>
  <c r="AZ59" i="3"/>
  <c r="AZ57" i="3"/>
  <c r="AZ50" i="3"/>
  <c r="AZ43" i="3"/>
  <c r="AZ36" i="3"/>
  <c r="AZ29" i="3"/>
  <c r="AZ22" i="3"/>
  <c r="AZ99" i="3" l="1"/>
  <c r="AZ71" i="3"/>
  <c r="AZ64" i="3"/>
  <c r="AZ15" i="3"/>
  <c r="AY125" i="3"/>
  <c r="AY124" i="3"/>
  <c r="AY122" i="3"/>
  <c r="AY68" i="3" l="1"/>
  <c r="AY66" i="3"/>
  <c r="AY70" i="3" l="1"/>
  <c r="AY69" i="3"/>
  <c r="AY67" i="3"/>
  <c r="AY13" i="3" l="1"/>
  <c r="AY12" i="3"/>
  <c r="AY11" i="3"/>
  <c r="AY10" i="3"/>
  <c r="AY14" i="3"/>
  <c r="AY127" i="3" l="1"/>
  <c r="AY120" i="3"/>
  <c r="AY113" i="3"/>
  <c r="AY106" i="3"/>
  <c r="AY98" i="3"/>
  <c r="AY97" i="3"/>
  <c r="AY96" i="3"/>
  <c r="AY95" i="3"/>
  <c r="AY94" i="3"/>
  <c r="AY92" i="3"/>
  <c r="AY85" i="3"/>
  <c r="AY78" i="3"/>
  <c r="AY71" i="3"/>
  <c r="AY63" i="3"/>
  <c r="AY62" i="3"/>
  <c r="AY61" i="3"/>
  <c r="AY60" i="3"/>
  <c r="AY59" i="3"/>
  <c r="AY57" i="3"/>
  <c r="AY50" i="3"/>
  <c r="AY43" i="3"/>
  <c r="AY36" i="3"/>
  <c r="AY29" i="3"/>
  <c r="AY22" i="3"/>
  <c r="AY15" i="3"/>
  <c r="AY99" i="3" l="1"/>
  <c r="AY64" i="3"/>
  <c r="AX125" i="3" l="1"/>
  <c r="AX124" i="3"/>
  <c r="AX122" i="3"/>
  <c r="AX70" i="3" l="1"/>
  <c r="AX69" i="3"/>
  <c r="AX68" i="3"/>
  <c r="AX67" i="3"/>
  <c r="AX66" i="3"/>
  <c r="AX14" i="3"/>
  <c r="AX13" i="3"/>
  <c r="AX12" i="3"/>
  <c r="AX11" i="3"/>
  <c r="AX10" i="3"/>
  <c r="AX127" i="3" l="1"/>
  <c r="AX120" i="3"/>
  <c r="AX113" i="3"/>
  <c r="AX106" i="3"/>
  <c r="AX98" i="3"/>
  <c r="AX97" i="3"/>
  <c r="AX96" i="3"/>
  <c r="AX95" i="3"/>
  <c r="AX94" i="3"/>
  <c r="AX92" i="3"/>
  <c r="AX85" i="3"/>
  <c r="AX78" i="3"/>
  <c r="AX71" i="3"/>
  <c r="AX63" i="3"/>
  <c r="AX62" i="3"/>
  <c r="AX61" i="3"/>
  <c r="AX60" i="3"/>
  <c r="AX59" i="3"/>
  <c r="AX57" i="3"/>
  <c r="AX50" i="3"/>
  <c r="AX43" i="3"/>
  <c r="AX36" i="3"/>
  <c r="AX29" i="3"/>
  <c r="AX22" i="3"/>
  <c r="AX15" i="3" l="1"/>
  <c r="AX99" i="3"/>
  <c r="AX64" i="3"/>
  <c r="Z21" i="2" l="1"/>
  <c r="Z20" i="2"/>
  <c r="Z19" i="2"/>
  <c r="Z18" i="2"/>
  <c r="Z67" i="2"/>
  <c r="Z68" i="2"/>
  <c r="Z69" i="2"/>
  <c r="Z70" i="2"/>
  <c r="Z64" i="2"/>
  <c r="BH52" i="2"/>
  <c r="BH45" i="2"/>
  <c r="Z38" i="2"/>
  <c r="BH38" i="2" s="1"/>
  <c r="BH31" i="2"/>
  <c r="BH24" i="2"/>
  <c r="Z50" i="2" l="1"/>
  <c r="Z29" i="2"/>
  <c r="Z57" i="2"/>
  <c r="Z36" i="2"/>
  <c r="Z66" i="2"/>
  <c r="Z71" i="2" s="1"/>
  <c r="Z17" i="2"/>
  <c r="Z22" i="2" s="1"/>
  <c r="Z43" i="2"/>
  <c r="Z113" i="2"/>
  <c r="Z106" i="2"/>
  <c r="Z141" i="2"/>
  <c r="Z127" i="2"/>
  <c r="Z134" i="2"/>
  <c r="Z77" i="2"/>
  <c r="BH77" i="2" s="1"/>
  <c r="Z76" i="2"/>
  <c r="BH76" i="2" s="1"/>
  <c r="Z75" i="2"/>
  <c r="BH75" i="2" s="1"/>
  <c r="Z73" i="2"/>
  <c r="BH73" i="2" s="1"/>
  <c r="Z74" i="2"/>
  <c r="BH74" i="2" s="1"/>
  <c r="Z78" i="2" l="1"/>
  <c r="Z84" i="2"/>
  <c r="Z83" i="2"/>
  <c r="Z82" i="2"/>
  <c r="Z81" i="2"/>
  <c r="Z80" i="2"/>
  <c r="Z13" i="2"/>
  <c r="Z14" i="2"/>
  <c r="BH14" i="2" s="1"/>
  <c r="Z12" i="2"/>
  <c r="BH12" i="2" s="1"/>
  <c r="Z11" i="2"/>
  <c r="BH11" i="2" s="1"/>
  <c r="BH10" i="2"/>
  <c r="Z85" i="2" l="1"/>
  <c r="BH81" i="2"/>
  <c r="Z95" i="2"/>
  <c r="Z116" i="2" s="1"/>
  <c r="BH83" i="2"/>
  <c r="Z97" i="2"/>
  <c r="Z118" i="2" s="1"/>
  <c r="BH84" i="2"/>
  <c r="Z98" i="2"/>
  <c r="Z119" i="2" s="1"/>
  <c r="BH82" i="2"/>
  <c r="Z96" i="2"/>
  <c r="Z117" i="2" s="1"/>
  <c r="BH80" i="2"/>
  <c r="Z94" i="2"/>
  <c r="Z15" i="2"/>
  <c r="BH13" i="2"/>
  <c r="AW69" i="3"/>
  <c r="AW68" i="3"/>
  <c r="AW66" i="3"/>
  <c r="AW70" i="3"/>
  <c r="AW67" i="3"/>
  <c r="AW125" i="3"/>
  <c r="AW124" i="3"/>
  <c r="AW122" i="3"/>
  <c r="AW13" i="3"/>
  <c r="AW12" i="3"/>
  <c r="AW11" i="3"/>
  <c r="AW10" i="3"/>
  <c r="AW120" i="3"/>
  <c r="AW113" i="3"/>
  <c r="AW106" i="3"/>
  <c r="AW98" i="3"/>
  <c r="AW97" i="3"/>
  <c r="AW96" i="3"/>
  <c r="AW95" i="3"/>
  <c r="AW94" i="3"/>
  <c r="AW92" i="3"/>
  <c r="AW85" i="3"/>
  <c r="AW78" i="3"/>
  <c r="AW63" i="3"/>
  <c r="AW62" i="3"/>
  <c r="AW61" i="3"/>
  <c r="AW60" i="3"/>
  <c r="AW59" i="3"/>
  <c r="AW57" i="3"/>
  <c r="AW50" i="3"/>
  <c r="AW43" i="3"/>
  <c r="AW36" i="3"/>
  <c r="AW29" i="3"/>
  <c r="AW22" i="3"/>
  <c r="AW14" i="3"/>
  <c r="AW71" i="3" l="1"/>
  <c r="AW127" i="3"/>
  <c r="Z115" i="2"/>
  <c r="Z120" i="2" s="1"/>
  <c r="Z99" i="2"/>
  <c r="AW99" i="3"/>
  <c r="AW64" i="3"/>
  <c r="AW15" i="3"/>
  <c r="AV125" i="3"/>
  <c r="AV124" i="3"/>
  <c r="AV122" i="3"/>
  <c r="AV70" i="3" l="1"/>
  <c r="AV69" i="3"/>
  <c r="AV68" i="3"/>
  <c r="AV67" i="3"/>
  <c r="AV66" i="3"/>
  <c r="AV13" i="3" l="1"/>
  <c r="AV12" i="3"/>
  <c r="AV11" i="3"/>
  <c r="AV10" i="3"/>
  <c r="AV127" i="3"/>
  <c r="AV120" i="3"/>
  <c r="AV113" i="3"/>
  <c r="AV106" i="3"/>
  <c r="AV98" i="3"/>
  <c r="AV97" i="3"/>
  <c r="AV96" i="3"/>
  <c r="AV95" i="3"/>
  <c r="AV94" i="3"/>
  <c r="AV92" i="3"/>
  <c r="AV85" i="3"/>
  <c r="AV78" i="3"/>
  <c r="AV71" i="3"/>
  <c r="AV63" i="3"/>
  <c r="AV62" i="3"/>
  <c r="AV61" i="3"/>
  <c r="AV60" i="3"/>
  <c r="AV59" i="3"/>
  <c r="AV57" i="3"/>
  <c r="AV50" i="3"/>
  <c r="AV43" i="3"/>
  <c r="AV36" i="3"/>
  <c r="AV29" i="3"/>
  <c r="AV22" i="3"/>
  <c r="AV14" i="3"/>
  <c r="AV99" i="3" l="1"/>
  <c r="AV64" i="3"/>
  <c r="AV15" i="3"/>
  <c r="AU124" i="3" l="1"/>
  <c r="AU122" i="3"/>
  <c r="AU68" i="3"/>
  <c r="AU67" i="3"/>
  <c r="AU66" i="3"/>
  <c r="AU70" i="3"/>
  <c r="AU69" i="3"/>
  <c r="AU13" i="3" l="1"/>
  <c r="AU12" i="3"/>
  <c r="AU11" i="3"/>
  <c r="AU10" i="3"/>
  <c r="AU127" i="3"/>
  <c r="AU120" i="3"/>
  <c r="AU113" i="3"/>
  <c r="AU106" i="3"/>
  <c r="AU98" i="3"/>
  <c r="AU97" i="3"/>
  <c r="AU96" i="3"/>
  <c r="AU95" i="3"/>
  <c r="AU94" i="3"/>
  <c r="AU92" i="3"/>
  <c r="AU85" i="3"/>
  <c r="AU78" i="3"/>
  <c r="AU71" i="3"/>
  <c r="AU63" i="3"/>
  <c r="AU62" i="3"/>
  <c r="AU61" i="3"/>
  <c r="AU60" i="3"/>
  <c r="AU59" i="3"/>
  <c r="AU57" i="3"/>
  <c r="AU50" i="3"/>
  <c r="AU43" i="3"/>
  <c r="AU36" i="3"/>
  <c r="AU29" i="3"/>
  <c r="AU22" i="3"/>
  <c r="AU14" i="3"/>
  <c r="AU99" i="3" l="1"/>
  <c r="AU64" i="3"/>
  <c r="AU15" i="3"/>
  <c r="AW10" i="2"/>
  <c r="AT125" i="3" l="1"/>
  <c r="AT124" i="3"/>
  <c r="AT122" i="3"/>
  <c r="AT70" i="3"/>
  <c r="AT69" i="3"/>
  <c r="AT68" i="3"/>
  <c r="AT67" i="3"/>
  <c r="AT66" i="3"/>
  <c r="AT13" i="3" l="1"/>
  <c r="AT12" i="3"/>
  <c r="AT11" i="3"/>
  <c r="AT10" i="3"/>
  <c r="AT127" i="3"/>
  <c r="AT120" i="3"/>
  <c r="AT113" i="3"/>
  <c r="AT106" i="3"/>
  <c r="AT98" i="3"/>
  <c r="AT97" i="3"/>
  <c r="AT96" i="3"/>
  <c r="AT95" i="3"/>
  <c r="AT94" i="3"/>
  <c r="AT92" i="3"/>
  <c r="AT85" i="3"/>
  <c r="AT78" i="3"/>
  <c r="AT71" i="3"/>
  <c r="AT63" i="3"/>
  <c r="AT62" i="3"/>
  <c r="AT61" i="3"/>
  <c r="AT60" i="3"/>
  <c r="AT59" i="3"/>
  <c r="AT57" i="3"/>
  <c r="AT50" i="3"/>
  <c r="AT43" i="3"/>
  <c r="AT36" i="3"/>
  <c r="AT29" i="3"/>
  <c r="AT22" i="3"/>
  <c r="AT14" i="3"/>
  <c r="AT99" i="3" l="1"/>
  <c r="AT15" i="3"/>
  <c r="AT64" i="3"/>
  <c r="BG136" i="2"/>
  <c r="BG129" i="2"/>
  <c r="BG122" i="2"/>
  <c r="BG108" i="2"/>
  <c r="BG101" i="2"/>
  <c r="BG87" i="2"/>
  <c r="BG59" i="2"/>
  <c r="BG52" i="2"/>
  <c r="BG45" i="2"/>
  <c r="BG38" i="2"/>
  <c r="BG31" i="2"/>
  <c r="BG24" i="2"/>
  <c r="Y141" i="2" l="1"/>
  <c r="Y134" i="2"/>
  <c r="Y127" i="2" l="1"/>
  <c r="Y106" i="2"/>
  <c r="Y113" i="2"/>
  <c r="Y21" i="2"/>
  <c r="Y20" i="2"/>
  <c r="Y19" i="2"/>
  <c r="Y18" i="2"/>
  <c r="Y17" i="2"/>
  <c r="Y73" i="2" l="1"/>
  <c r="BG73" i="2" s="1"/>
  <c r="Y77" i="2"/>
  <c r="BG77" i="2" s="1"/>
  <c r="Y76" i="2"/>
  <c r="BG76" i="2" s="1"/>
  <c r="Y75" i="2"/>
  <c r="BG75" i="2" s="1"/>
  <c r="Y74" i="2"/>
  <c r="BG74" i="2" s="1"/>
  <c r="Y78" i="2" l="1"/>
  <c r="Y84" i="2"/>
  <c r="Y83" i="2"/>
  <c r="Y82" i="2"/>
  <c r="Y81" i="2"/>
  <c r="Y80" i="2"/>
  <c r="Y67" i="2"/>
  <c r="Y68" i="2"/>
  <c r="Y69" i="2"/>
  <c r="Y70" i="2"/>
  <c r="Y66" i="2"/>
  <c r="Y64" i="2"/>
  <c r="Y57" i="2"/>
  <c r="Y50" i="2"/>
  <c r="Y43" i="2"/>
  <c r="Y36" i="2"/>
  <c r="Y29" i="2"/>
  <c r="Y14" i="2"/>
  <c r="BG14" i="2" s="1"/>
  <c r="Y13" i="2"/>
  <c r="BG13" i="2" s="1"/>
  <c r="Y12" i="2"/>
  <c r="BG12" i="2" s="1"/>
  <c r="Y11" i="2"/>
  <c r="BG11" i="2" s="1"/>
  <c r="BG10" i="2"/>
  <c r="BG80" i="2" l="1"/>
  <c r="Y94" i="2"/>
  <c r="BG81" i="2"/>
  <c r="Y95" i="2"/>
  <c r="Y116" i="2" s="1"/>
  <c r="BG82" i="2"/>
  <c r="Y96" i="2"/>
  <c r="Y117" i="2" s="1"/>
  <c r="BG84" i="2"/>
  <c r="Y98" i="2"/>
  <c r="Y119" i="2" s="1"/>
  <c r="Y85" i="2"/>
  <c r="BG83" i="2"/>
  <c r="Y97" i="2"/>
  <c r="Y118" i="2" s="1"/>
  <c r="Y15" i="2"/>
  <c r="Y71" i="2"/>
  <c r="Y22" i="2"/>
  <c r="AS125" i="3"/>
  <c r="AS124" i="3"/>
  <c r="AS122" i="3"/>
  <c r="AS70" i="3"/>
  <c r="AS69" i="3"/>
  <c r="AS68" i="3"/>
  <c r="AS67" i="3"/>
  <c r="AS66" i="3"/>
  <c r="AS12" i="3"/>
  <c r="AS11" i="3"/>
  <c r="AS10" i="3"/>
  <c r="AS120" i="3"/>
  <c r="AS113" i="3"/>
  <c r="AS106" i="3"/>
  <c r="AS98" i="3"/>
  <c r="AS97" i="3"/>
  <c r="AS96" i="3"/>
  <c r="AS95" i="3"/>
  <c r="AS94" i="3"/>
  <c r="AS92" i="3"/>
  <c r="AS85" i="3"/>
  <c r="AS78" i="3"/>
  <c r="AS63" i="3"/>
  <c r="AS62" i="3"/>
  <c r="AS61" i="3"/>
  <c r="AS60" i="3"/>
  <c r="AS59" i="3"/>
  <c r="AS57" i="3"/>
  <c r="AS50" i="3"/>
  <c r="AS43" i="3"/>
  <c r="AS36" i="3"/>
  <c r="AS29" i="3"/>
  <c r="AS22" i="3"/>
  <c r="AS14" i="3"/>
  <c r="AS13" i="3"/>
  <c r="AS127" i="3" l="1"/>
  <c r="Y99" i="2"/>
  <c r="Y115" i="2"/>
  <c r="Y120" i="2" s="1"/>
  <c r="AS71" i="3"/>
  <c r="AS99" i="3"/>
  <c r="AS64" i="3"/>
  <c r="AS15" i="3"/>
  <c r="AR122" i="3" l="1"/>
  <c r="AR68" i="3" l="1"/>
  <c r="AR67" i="3"/>
  <c r="AR66" i="3"/>
  <c r="AR70" i="3"/>
  <c r="AR69" i="3"/>
  <c r="AR13" i="3"/>
  <c r="AR12" i="3"/>
  <c r="AR11" i="3"/>
  <c r="AR10" i="3"/>
  <c r="AR127" i="3"/>
  <c r="AR120" i="3"/>
  <c r="AR113" i="3"/>
  <c r="AR106" i="3"/>
  <c r="AR98" i="3"/>
  <c r="AR97" i="3"/>
  <c r="AR96" i="3"/>
  <c r="AR95" i="3"/>
  <c r="AR94" i="3"/>
  <c r="AR92" i="3"/>
  <c r="AR85" i="3"/>
  <c r="AR78" i="3"/>
  <c r="AR63" i="3"/>
  <c r="AR62" i="3"/>
  <c r="AR61" i="3"/>
  <c r="AR60" i="3"/>
  <c r="AR59" i="3"/>
  <c r="AR57" i="3"/>
  <c r="AR50" i="3"/>
  <c r="AR43" i="3"/>
  <c r="AR36" i="3"/>
  <c r="AR29" i="3"/>
  <c r="AR22" i="3"/>
  <c r="AR14" i="3"/>
  <c r="AR99" i="3" l="1"/>
  <c r="AR71" i="3"/>
  <c r="AR15" i="3"/>
  <c r="AR64" i="3"/>
  <c r="AQ122" i="3" l="1"/>
  <c r="AQ70" i="3"/>
  <c r="AQ69" i="3"/>
  <c r="AQ68" i="3"/>
  <c r="AQ67" i="3"/>
  <c r="AQ66" i="3"/>
  <c r="AQ71" i="3" s="1"/>
  <c r="AQ13" i="3"/>
  <c r="AQ12" i="3"/>
  <c r="AQ11" i="3"/>
  <c r="AQ10" i="3"/>
  <c r="AQ120" i="3"/>
  <c r="AQ113" i="3"/>
  <c r="AQ106" i="3"/>
  <c r="AQ98" i="3"/>
  <c r="AQ97" i="3"/>
  <c r="AQ96" i="3"/>
  <c r="AQ95" i="3"/>
  <c r="AQ94" i="3"/>
  <c r="AQ92" i="3"/>
  <c r="AQ85" i="3"/>
  <c r="AQ78" i="3"/>
  <c r="AQ63" i="3"/>
  <c r="AQ62" i="3"/>
  <c r="AQ61" i="3"/>
  <c r="AQ60" i="3"/>
  <c r="AQ59" i="3"/>
  <c r="AQ57" i="3"/>
  <c r="AQ50" i="3"/>
  <c r="AQ43" i="3"/>
  <c r="AQ36" i="3"/>
  <c r="AQ29" i="3"/>
  <c r="AQ22" i="3"/>
  <c r="AQ14" i="3"/>
  <c r="AQ127" i="3" l="1"/>
  <c r="AQ99" i="3"/>
  <c r="AQ64" i="3"/>
  <c r="AQ15" i="3"/>
  <c r="AP125" i="3"/>
  <c r="AP124" i="3"/>
  <c r="AP122" i="3"/>
  <c r="AP70" i="3"/>
  <c r="AP69" i="3"/>
  <c r="AP68" i="3"/>
  <c r="AP67" i="3"/>
  <c r="AP66" i="3"/>
  <c r="AP12" i="3"/>
  <c r="AP11" i="3"/>
  <c r="AP10" i="3"/>
  <c r="AP127" i="3" l="1"/>
  <c r="AP120" i="3"/>
  <c r="AP113" i="3"/>
  <c r="AP106" i="3"/>
  <c r="AP98" i="3"/>
  <c r="AP97" i="3"/>
  <c r="AP96" i="3"/>
  <c r="AP95" i="3"/>
  <c r="AP94" i="3"/>
  <c r="AP92" i="3"/>
  <c r="AP85" i="3"/>
  <c r="AP78" i="3"/>
  <c r="AP71" i="3"/>
  <c r="AP63" i="3"/>
  <c r="AP62" i="3"/>
  <c r="AP61" i="3"/>
  <c r="AP60" i="3"/>
  <c r="AP59" i="3"/>
  <c r="AP57" i="3"/>
  <c r="AP50" i="3"/>
  <c r="AP43" i="3"/>
  <c r="AP36" i="3"/>
  <c r="AP29" i="3"/>
  <c r="AP22" i="3"/>
  <c r="AP14" i="3"/>
  <c r="AP13" i="3"/>
  <c r="AP99" i="3" l="1"/>
  <c r="AP64" i="3"/>
  <c r="AP15" i="3"/>
  <c r="X21" i="2"/>
  <c r="BR21" i="2" s="1"/>
  <c r="X20" i="2"/>
  <c r="BR20" i="2" s="1"/>
  <c r="X19" i="2"/>
  <c r="BR19" i="2" s="1"/>
  <c r="X18" i="2"/>
  <c r="BR18" i="2" s="1"/>
  <c r="X17" i="2"/>
  <c r="BR17" i="2" s="1"/>
  <c r="X84" i="2" l="1"/>
  <c r="BR84" i="2" s="1"/>
  <c r="X83" i="2"/>
  <c r="BR83" i="2" s="1"/>
  <c r="X82" i="2"/>
  <c r="BR82" i="2" s="1"/>
  <c r="X81" i="2"/>
  <c r="BR81" i="2" s="1"/>
  <c r="X80" i="2"/>
  <c r="BR80" i="2" s="1"/>
  <c r="X77" i="2" l="1"/>
  <c r="BR77" i="2" s="1"/>
  <c r="X76" i="2"/>
  <c r="BR76" i="2" s="1"/>
  <c r="X75" i="2"/>
  <c r="BR75" i="2" s="1"/>
  <c r="X74" i="2"/>
  <c r="BR74" i="2" s="1"/>
  <c r="X73" i="2"/>
  <c r="BR73" i="2" s="1"/>
  <c r="X13" i="2" l="1"/>
  <c r="BR13" i="2" s="1"/>
  <c r="X12" i="2"/>
  <c r="BR12" i="2" s="1"/>
  <c r="X11" i="2"/>
  <c r="BR11" i="2" s="1"/>
  <c r="BF140" i="2" l="1"/>
  <c r="BF139" i="2"/>
  <c r="BF138" i="2"/>
  <c r="BF137" i="2"/>
  <c r="BF136" i="2"/>
  <c r="BF133" i="2"/>
  <c r="BF132" i="2"/>
  <c r="BF131" i="2"/>
  <c r="BF130" i="2"/>
  <c r="BF129" i="2"/>
  <c r="BF126" i="2"/>
  <c r="BF125" i="2"/>
  <c r="BF124" i="2"/>
  <c r="BF123" i="2"/>
  <c r="BF122" i="2"/>
  <c r="BF112" i="2"/>
  <c r="BF111" i="2"/>
  <c r="BF110" i="2"/>
  <c r="BF109" i="2"/>
  <c r="BF108" i="2"/>
  <c r="BF105" i="2"/>
  <c r="BF104" i="2"/>
  <c r="BF103" i="2"/>
  <c r="BF102" i="2"/>
  <c r="BF101" i="2"/>
  <c r="BF91" i="2"/>
  <c r="BF90" i="2"/>
  <c r="BF89" i="2"/>
  <c r="BF88" i="2"/>
  <c r="BF87" i="2"/>
  <c r="BF84" i="2"/>
  <c r="BF83" i="2"/>
  <c r="BF82" i="2"/>
  <c r="BF81" i="2"/>
  <c r="BF80" i="2"/>
  <c r="BF77" i="2"/>
  <c r="BF76" i="2"/>
  <c r="BF75" i="2"/>
  <c r="BF74" i="2"/>
  <c r="BF73" i="2"/>
  <c r="BF63" i="2"/>
  <c r="BF62" i="2"/>
  <c r="BF61" i="2"/>
  <c r="BF60" i="2"/>
  <c r="BF59" i="2"/>
  <c r="BF56" i="2"/>
  <c r="BF55" i="2"/>
  <c r="BF54" i="2"/>
  <c r="BF53" i="2"/>
  <c r="BF52" i="2"/>
  <c r="BF49" i="2"/>
  <c r="BF48" i="2"/>
  <c r="BF47" i="2"/>
  <c r="BF46" i="2"/>
  <c r="BF45" i="2"/>
  <c r="BF42" i="2"/>
  <c r="BF41" i="2"/>
  <c r="BF40" i="2"/>
  <c r="BF39" i="2"/>
  <c r="BF38" i="2"/>
  <c r="BF35" i="2"/>
  <c r="BF34" i="2"/>
  <c r="BF33" i="2"/>
  <c r="BF32" i="2"/>
  <c r="BF31" i="2"/>
  <c r="BF28" i="2"/>
  <c r="BF27" i="2"/>
  <c r="BF26" i="2"/>
  <c r="BF25" i="2"/>
  <c r="BF24" i="2"/>
  <c r="BF14" i="2"/>
  <c r="BF13" i="2"/>
  <c r="BF12" i="2"/>
  <c r="BF11" i="2"/>
  <c r="BF10" i="2"/>
  <c r="X141" i="2"/>
  <c r="BR141" i="2" s="1"/>
  <c r="X134" i="2"/>
  <c r="BR134" i="2" s="1"/>
  <c r="X127" i="2"/>
  <c r="BR127" i="2" s="1"/>
  <c r="X113" i="2"/>
  <c r="BR113" i="2" s="1"/>
  <c r="X106" i="2"/>
  <c r="BR106" i="2" s="1"/>
  <c r="X97" i="2"/>
  <c r="X96" i="2"/>
  <c r="X95" i="2"/>
  <c r="X98" i="2"/>
  <c r="X94" i="2"/>
  <c r="BR94" i="2" s="1"/>
  <c r="X78" i="2"/>
  <c r="BR78" i="2" s="1"/>
  <c r="X70" i="2"/>
  <c r="BR70" i="2" s="1"/>
  <c r="X69" i="2"/>
  <c r="BR69" i="2" s="1"/>
  <c r="X68" i="2"/>
  <c r="BR68" i="2" s="1"/>
  <c r="X67" i="2"/>
  <c r="BR67" i="2" s="1"/>
  <c r="X66" i="2"/>
  <c r="BR66" i="2" s="1"/>
  <c r="X64" i="2"/>
  <c r="BR64" i="2" s="1"/>
  <c r="X57" i="2"/>
  <c r="BR57" i="2" s="1"/>
  <c r="X50" i="2"/>
  <c r="BR50" i="2" s="1"/>
  <c r="X43" i="2"/>
  <c r="BR43" i="2" s="1"/>
  <c r="X36" i="2"/>
  <c r="BR36" i="2" s="1"/>
  <c r="X29" i="2"/>
  <c r="BR29" i="2" s="1"/>
  <c r="X22" i="2"/>
  <c r="BR22" i="2" s="1"/>
  <c r="X15" i="2"/>
  <c r="BR15" i="2" s="1"/>
  <c r="AO124" i="3"/>
  <c r="AO122" i="3"/>
  <c r="AO70" i="3"/>
  <c r="AO69" i="3"/>
  <c r="AO68" i="3"/>
  <c r="AO67" i="3"/>
  <c r="AO66" i="3"/>
  <c r="X119" i="2" l="1"/>
  <c r="BR119" i="2" s="1"/>
  <c r="BR98" i="2"/>
  <c r="X116" i="2"/>
  <c r="BR116" i="2" s="1"/>
  <c r="BR95" i="2"/>
  <c r="X117" i="2"/>
  <c r="BR117" i="2" s="1"/>
  <c r="BR96" i="2"/>
  <c r="X118" i="2"/>
  <c r="BR118" i="2" s="1"/>
  <c r="BR97" i="2"/>
  <c r="BF141" i="2"/>
  <c r="BF134" i="2"/>
  <c r="BF127" i="2"/>
  <c r="BF57" i="2"/>
  <c r="BF29" i="2"/>
  <c r="BF113" i="2"/>
  <c r="BF85" i="2"/>
  <c r="BF78" i="2"/>
  <c r="BF15" i="2"/>
  <c r="BF106" i="2"/>
  <c r="BF64" i="2"/>
  <c r="BF50" i="2"/>
  <c r="X71" i="2"/>
  <c r="BR71" i="2" s="1"/>
  <c r="BF43" i="2"/>
  <c r="BF36" i="2"/>
  <c r="X115" i="2"/>
  <c r="BR115" i="2" s="1"/>
  <c r="X99" i="2"/>
  <c r="BR99" i="2" s="1"/>
  <c r="X85" i="2"/>
  <c r="BR85" i="2" s="1"/>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20" i="2" l="1"/>
  <c r="BR120" i="2" s="1"/>
  <c r="AO99" i="3"/>
  <c r="AO64" i="3"/>
  <c r="AO15" i="3"/>
  <c r="AN125" i="3"/>
  <c r="AN124" i="3"/>
  <c r="AN122" i="3"/>
  <c r="AN69" i="3"/>
  <c r="AN68" i="3"/>
  <c r="AN67" i="3"/>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27" i="3" l="1"/>
  <c r="AN71" i="3"/>
  <c r="AN15" i="3"/>
  <c r="AN99" i="3"/>
  <c r="AN64" i="3"/>
  <c r="AM125" i="3"/>
  <c r="AM124" i="3"/>
  <c r="AM122" i="3"/>
  <c r="AM70" i="3"/>
  <c r="AM69" i="3"/>
  <c r="AM68" i="3"/>
  <c r="AM67" i="3"/>
  <c r="AM66" i="3"/>
  <c r="AM14" i="3"/>
  <c r="AM13" i="3"/>
  <c r="AM12" i="3"/>
  <c r="AM11" i="3"/>
  <c r="AM10" i="3"/>
  <c r="AM71" i="3" l="1"/>
  <c r="AM127" i="3"/>
  <c r="AM120" i="3"/>
  <c r="AM113" i="3"/>
  <c r="AM106" i="3"/>
  <c r="AM98" i="3"/>
  <c r="AM97" i="3"/>
  <c r="AM96" i="3"/>
  <c r="AM95" i="3"/>
  <c r="AM94" i="3"/>
  <c r="AM92" i="3"/>
  <c r="AM85" i="3"/>
  <c r="AM78" i="3"/>
  <c r="AM63" i="3"/>
  <c r="AM62" i="3"/>
  <c r="AM61" i="3"/>
  <c r="AM60" i="3"/>
  <c r="AM59" i="3"/>
  <c r="AM57" i="3"/>
  <c r="AM50" i="3"/>
  <c r="AM43" i="3"/>
  <c r="AM36" i="3"/>
  <c r="AM29" i="3"/>
  <c r="AM22" i="3"/>
  <c r="AM15" i="3"/>
  <c r="BE137" i="2"/>
  <c r="BD137" i="2"/>
  <c r="BC137" i="2"/>
  <c r="BB137" i="2"/>
  <c r="BA137" i="2"/>
  <c r="AZ137" i="2"/>
  <c r="AY137" i="2"/>
  <c r="AX137" i="2"/>
  <c r="AW137" i="2"/>
  <c r="BE130" i="2"/>
  <c r="BD130" i="2"/>
  <c r="BC130" i="2"/>
  <c r="BB130" i="2"/>
  <c r="BA130" i="2"/>
  <c r="AZ130" i="2"/>
  <c r="AY130" i="2"/>
  <c r="AX130" i="2"/>
  <c r="AW130" i="2"/>
  <c r="BE123" i="2"/>
  <c r="BD123" i="2"/>
  <c r="BC123" i="2"/>
  <c r="BB123" i="2"/>
  <c r="BA123" i="2"/>
  <c r="AZ123" i="2"/>
  <c r="AY123" i="2"/>
  <c r="AX123" i="2"/>
  <c r="AW123" i="2"/>
  <c r="BE60" i="2"/>
  <c r="BD60" i="2"/>
  <c r="BC60" i="2"/>
  <c r="BB60" i="2"/>
  <c r="BA60" i="2"/>
  <c r="AZ60" i="2"/>
  <c r="AY60" i="2"/>
  <c r="AX60" i="2"/>
  <c r="AW60" i="2"/>
  <c r="BE53" i="2"/>
  <c r="BD53" i="2"/>
  <c r="BC53" i="2"/>
  <c r="BB53" i="2"/>
  <c r="BA53" i="2"/>
  <c r="AZ53" i="2"/>
  <c r="AY53" i="2"/>
  <c r="AX53" i="2"/>
  <c r="AW53" i="2"/>
  <c r="BE46" i="2"/>
  <c r="BD46" i="2"/>
  <c r="BC46" i="2"/>
  <c r="BB46" i="2"/>
  <c r="BA46" i="2"/>
  <c r="AZ46" i="2"/>
  <c r="AY46" i="2"/>
  <c r="AX46" i="2"/>
  <c r="AW46" i="2"/>
  <c r="AW47" i="2"/>
  <c r="BE39" i="2"/>
  <c r="BD39" i="2"/>
  <c r="BC39" i="2"/>
  <c r="BB39" i="2"/>
  <c r="BA39" i="2"/>
  <c r="AZ39" i="2"/>
  <c r="AY39" i="2"/>
  <c r="AX39" i="2"/>
  <c r="AW39" i="2"/>
  <c r="BE32" i="2"/>
  <c r="BD32" i="2"/>
  <c r="BC32" i="2"/>
  <c r="BB32" i="2"/>
  <c r="BA32" i="2"/>
  <c r="AZ32" i="2"/>
  <c r="AY32" i="2"/>
  <c r="AX32" i="2"/>
  <c r="AW32" i="2"/>
  <c r="BE25" i="2"/>
  <c r="BD25" i="2"/>
  <c r="BC25" i="2"/>
  <c r="BB25" i="2"/>
  <c r="BA25" i="2"/>
  <c r="AZ25" i="2"/>
  <c r="AY25" i="2"/>
  <c r="AX25" i="2"/>
  <c r="AW25" i="2"/>
  <c r="AW11" i="2"/>
  <c r="AM99" i="3" l="1"/>
  <c r="AM64" i="3"/>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71" i="3" l="1"/>
  <c r="AL99" i="3"/>
  <c r="AL15" i="3"/>
  <c r="AL64" i="3"/>
  <c r="AK125" i="3"/>
  <c r="AK124" i="3"/>
  <c r="AK122" i="3"/>
  <c r="AK70" i="3"/>
  <c r="AK69" i="3"/>
  <c r="AK68" i="3"/>
  <c r="AK67" i="3"/>
  <c r="AK66" i="3"/>
  <c r="AK71" i="3" l="1"/>
  <c r="AK12" i="3"/>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BE140" i="2"/>
  <c r="BE139" i="2"/>
  <c r="BE138" i="2"/>
  <c r="BE136" i="2"/>
  <c r="BE133" i="2"/>
  <c r="BE132" i="2"/>
  <c r="BE131" i="2"/>
  <c r="BE129" i="2"/>
  <c r="BE126" i="2"/>
  <c r="BE125" i="2"/>
  <c r="BE124" i="2"/>
  <c r="BE122" i="2"/>
  <c r="BE112" i="2"/>
  <c r="BE111" i="2"/>
  <c r="BE110" i="2"/>
  <c r="BE109" i="2"/>
  <c r="BE108" i="2"/>
  <c r="BE105" i="2"/>
  <c r="BE104" i="2"/>
  <c r="BE103" i="2"/>
  <c r="BE102" i="2"/>
  <c r="BE101" i="2"/>
  <c r="BE91" i="2"/>
  <c r="BE90" i="2"/>
  <c r="BE89" i="2"/>
  <c r="BE88" i="2"/>
  <c r="BE87" i="2"/>
  <c r="BE63" i="2"/>
  <c r="BE62" i="2"/>
  <c r="BE61" i="2"/>
  <c r="BE59" i="2"/>
  <c r="BE56" i="2"/>
  <c r="BE55" i="2"/>
  <c r="BE54" i="2"/>
  <c r="BE52" i="2"/>
  <c r="BE49" i="2"/>
  <c r="BE48" i="2"/>
  <c r="BE47" i="2"/>
  <c r="BE45" i="2"/>
  <c r="BE42" i="2"/>
  <c r="BE41" i="2"/>
  <c r="BE40" i="2"/>
  <c r="BE38" i="2"/>
  <c r="BE35" i="2"/>
  <c r="BE34" i="2"/>
  <c r="BE33" i="2"/>
  <c r="BE31" i="2"/>
  <c r="BE28" i="2"/>
  <c r="BE27" i="2"/>
  <c r="BE26" i="2"/>
  <c r="BE24" i="2"/>
  <c r="BE10" i="2"/>
  <c r="W82" i="2"/>
  <c r="W84" i="2"/>
  <c r="W83" i="2"/>
  <c r="BE82" i="2" l="1"/>
  <c r="BQ82" i="2"/>
  <c r="BE83" i="2"/>
  <c r="BQ83" i="2"/>
  <c r="BE84" i="2"/>
  <c r="BQ84" i="2"/>
  <c r="BE141" i="2"/>
  <c r="BE134" i="2"/>
  <c r="BE127" i="2"/>
  <c r="BE106" i="2"/>
  <c r="BE113" i="2"/>
  <c r="BE64" i="2"/>
  <c r="BE57" i="2"/>
  <c r="BE50" i="2"/>
  <c r="BE43" i="2"/>
  <c r="BE36" i="2"/>
  <c r="BE29" i="2"/>
  <c r="W77" i="2"/>
  <c r="W76" i="2"/>
  <c r="W75" i="2"/>
  <c r="W80" i="2"/>
  <c r="W81" i="2"/>
  <c r="W74" i="2"/>
  <c r="W73" i="2"/>
  <c r="BE73" i="2" l="1"/>
  <c r="BQ73" i="2"/>
  <c r="BE80" i="2"/>
  <c r="BQ80" i="2"/>
  <c r="BE74" i="2"/>
  <c r="BQ74" i="2"/>
  <c r="BE81" i="2"/>
  <c r="BQ81" i="2"/>
  <c r="BE75" i="2"/>
  <c r="BQ75" i="2"/>
  <c r="BE77" i="2"/>
  <c r="BQ77" i="2"/>
  <c r="BE76" i="2"/>
  <c r="BQ76" i="2"/>
  <c r="BE85" i="2"/>
  <c r="BE78" i="2"/>
  <c r="W21" i="2"/>
  <c r="BQ21" i="2" s="1"/>
  <c r="W20" i="2"/>
  <c r="BQ20" i="2" s="1"/>
  <c r="W19" i="2"/>
  <c r="BQ19" i="2" s="1"/>
  <c r="W18" i="2"/>
  <c r="BQ18" i="2" s="1"/>
  <c r="W17" i="2"/>
  <c r="BQ17" i="2" s="1"/>
  <c r="W14" i="2"/>
  <c r="W13" i="2"/>
  <c r="W12" i="2"/>
  <c r="W11" i="2"/>
  <c r="BQ11" i="2" s="1"/>
  <c r="BE14" i="2" l="1"/>
  <c r="BQ14" i="2"/>
  <c r="BE12" i="2"/>
  <c r="BQ12" i="2"/>
  <c r="BE13" i="2"/>
  <c r="BQ13" i="2"/>
  <c r="BE11" i="2"/>
  <c r="BE15" i="2" s="1"/>
  <c r="W15" i="2"/>
  <c r="BQ15" i="2" s="1"/>
  <c r="W22" i="2"/>
  <c r="BQ22" i="2" s="1"/>
  <c r="W141" i="2"/>
  <c r="BQ141" i="2" s="1"/>
  <c r="W134" i="2"/>
  <c r="BQ134" i="2" s="1"/>
  <c r="W127" i="2"/>
  <c r="BQ127" i="2" s="1"/>
  <c r="W113" i="2"/>
  <c r="BQ113" i="2" s="1"/>
  <c r="W106" i="2"/>
  <c r="BQ106" i="2" s="1"/>
  <c r="W97" i="2"/>
  <c r="W96" i="2"/>
  <c r="W95" i="2"/>
  <c r="W94" i="2"/>
  <c r="BQ94" i="2" s="1"/>
  <c r="W98" i="2"/>
  <c r="W85" i="2"/>
  <c r="BQ85" i="2" s="1"/>
  <c r="W78" i="2"/>
  <c r="BQ78" i="2" s="1"/>
  <c r="W70" i="2"/>
  <c r="BQ70" i="2" s="1"/>
  <c r="W69" i="2"/>
  <c r="BQ69" i="2" s="1"/>
  <c r="W68" i="2"/>
  <c r="BQ68" i="2" s="1"/>
  <c r="W67" i="2"/>
  <c r="BQ67" i="2" s="1"/>
  <c r="W66" i="2"/>
  <c r="BQ66" i="2" s="1"/>
  <c r="W64" i="2"/>
  <c r="BQ64" i="2" s="1"/>
  <c r="W57" i="2"/>
  <c r="BQ57" i="2" s="1"/>
  <c r="W50" i="2"/>
  <c r="BQ50" i="2" s="1"/>
  <c r="W43" i="2"/>
  <c r="BQ43" i="2" s="1"/>
  <c r="W36" i="2"/>
  <c r="BQ36" i="2" s="1"/>
  <c r="W29" i="2"/>
  <c r="BQ29" i="2" s="1"/>
  <c r="AW12" i="2"/>
  <c r="AW13" i="2"/>
  <c r="AW14" i="2"/>
  <c r="AW24" i="2"/>
  <c r="AW26" i="2"/>
  <c r="AW27" i="2"/>
  <c r="AW28" i="2"/>
  <c r="AW31" i="2"/>
  <c r="AW33" i="2"/>
  <c r="AW34" i="2"/>
  <c r="AW35" i="2"/>
  <c r="AW38" i="2"/>
  <c r="AW40" i="2"/>
  <c r="AW41" i="2"/>
  <c r="AW42" i="2"/>
  <c r="AW45" i="2"/>
  <c r="AW48" i="2"/>
  <c r="AW49" i="2"/>
  <c r="AW52" i="2"/>
  <c r="AW54" i="2"/>
  <c r="AW55" i="2"/>
  <c r="AW56" i="2"/>
  <c r="AW59" i="2"/>
  <c r="AW61" i="2"/>
  <c r="AW62" i="2"/>
  <c r="AW63" i="2"/>
  <c r="AW73" i="2"/>
  <c r="AW74" i="2"/>
  <c r="AW75" i="2"/>
  <c r="AW76" i="2"/>
  <c r="AW77" i="2"/>
  <c r="AW80" i="2"/>
  <c r="AW81" i="2"/>
  <c r="AW82" i="2"/>
  <c r="AW83" i="2"/>
  <c r="AW84" i="2"/>
  <c r="AW87" i="2"/>
  <c r="AW88" i="2"/>
  <c r="AW89" i="2"/>
  <c r="AW90" i="2"/>
  <c r="AW91" i="2"/>
  <c r="AW101" i="2"/>
  <c r="AW102" i="2"/>
  <c r="AW103" i="2"/>
  <c r="AW104" i="2"/>
  <c r="AW105" i="2"/>
  <c r="AW108" i="2"/>
  <c r="AW109" i="2"/>
  <c r="AW110" i="2"/>
  <c r="AW111" i="2"/>
  <c r="AW112" i="2"/>
  <c r="AW122" i="2"/>
  <c r="AW124" i="2"/>
  <c r="AW125" i="2"/>
  <c r="AW126" i="2"/>
  <c r="AW129" i="2"/>
  <c r="AW131" i="2"/>
  <c r="AW132" i="2"/>
  <c r="AW133" i="2"/>
  <c r="AW136" i="2"/>
  <c r="AW138" i="2"/>
  <c r="AW139" i="2"/>
  <c r="AW140" i="2"/>
  <c r="AJ122" i="3"/>
  <c r="AJ127" i="3" s="1"/>
  <c r="AJ70" i="3"/>
  <c r="AJ69" i="3"/>
  <c r="AJ68" i="3"/>
  <c r="AJ67" i="3"/>
  <c r="AJ66" i="3"/>
  <c r="AJ14" i="3"/>
  <c r="AJ13" i="3"/>
  <c r="AJ12" i="3"/>
  <c r="AJ11" i="3"/>
  <c r="AJ10" i="3"/>
  <c r="AJ120" i="3"/>
  <c r="AJ113" i="3"/>
  <c r="AJ106" i="3"/>
  <c r="AJ98" i="3"/>
  <c r="AJ97" i="3"/>
  <c r="AJ96" i="3"/>
  <c r="AJ95" i="3"/>
  <c r="AJ94" i="3"/>
  <c r="AJ92" i="3"/>
  <c r="AJ85" i="3"/>
  <c r="AJ78" i="3"/>
  <c r="AJ63" i="3"/>
  <c r="AJ62" i="3"/>
  <c r="AJ61" i="3"/>
  <c r="AJ60" i="3"/>
  <c r="AJ59" i="3"/>
  <c r="AJ57" i="3"/>
  <c r="AJ50" i="3"/>
  <c r="AJ43" i="3"/>
  <c r="AJ36" i="3"/>
  <c r="AJ29" i="3"/>
  <c r="AJ22" i="3"/>
  <c r="W119" i="2" l="1"/>
  <c r="BQ119" i="2" s="1"/>
  <c r="BQ98" i="2"/>
  <c r="W116" i="2"/>
  <c r="BQ116" i="2" s="1"/>
  <c r="BQ95" i="2"/>
  <c r="W117" i="2"/>
  <c r="BQ117" i="2" s="1"/>
  <c r="BQ96" i="2"/>
  <c r="W118" i="2"/>
  <c r="BQ118" i="2" s="1"/>
  <c r="BQ97" i="2"/>
  <c r="AW127" i="2"/>
  <c r="W71" i="2"/>
  <c r="BQ71" i="2" s="1"/>
  <c r="AW134" i="2"/>
  <c r="W99" i="2"/>
  <c r="BQ99" i="2" s="1"/>
  <c r="W115" i="2"/>
  <c r="AW36" i="2"/>
  <c r="AW57" i="2"/>
  <c r="AW85" i="2"/>
  <c r="AW113" i="2"/>
  <c r="AW43" i="2"/>
  <c r="AW141" i="2"/>
  <c r="AW64" i="2"/>
  <c r="AW92" i="2"/>
  <c r="AW78" i="2"/>
  <c r="AW50" i="2"/>
  <c r="AW29" i="2"/>
  <c r="AW106" i="2"/>
  <c r="AW15" i="2"/>
  <c r="AJ71" i="3"/>
  <c r="AJ15" i="3"/>
  <c r="AJ99" i="3"/>
  <c r="AJ64" i="3"/>
  <c r="AI125" i="3"/>
  <c r="AI124" i="3"/>
  <c r="AI122" i="3"/>
  <c r="AI70" i="3"/>
  <c r="AI69" i="3"/>
  <c r="AI68" i="3"/>
  <c r="AI67" i="3"/>
  <c r="AI66" i="3"/>
  <c r="AI14" i="3"/>
  <c r="AI13" i="3"/>
  <c r="AI12" i="3"/>
  <c r="AI11" i="3"/>
  <c r="AI10" i="3"/>
  <c r="W120" i="2" l="1"/>
  <c r="BQ120" i="2" s="1"/>
  <c r="BQ115" i="2"/>
  <c r="AI127" i="3"/>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5" i="3"/>
  <c r="AG124" i="3"/>
  <c r="AG123" i="3"/>
  <c r="AG122" i="3"/>
  <c r="AG120" i="3"/>
  <c r="AG113" i="3"/>
  <c r="AG106" i="3"/>
  <c r="AG95" i="3"/>
  <c r="AG96" i="3"/>
  <c r="AG97" i="3"/>
  <c r="AG98" i="3"/>
  <c r="AG94" i="3"/>
  <c r="AG92" i="3"/>
  <c r="AG85" i="3"/>
  <c r="AG78" i="3"/>
  <c r="AG70" i="3"/>
  <c r="AG69" i="3"/>
  <c r="AG68" i="3"/>
  <c r="AG67" i="3"/>
  <c r="AG66" i="3"/>
  <c r="AG14" i="3"/>
  <c r="AG13" i="3"/>
  <c r="AG12" i="3"/>
  <c r="AG11" i="3"/>
  <c r="AG10" i="3"/>
  <c r="AG60" i="3"/>
  <c r="AG61" i="3"/>
  <c r="AG62" i="3"/>
  <c r="AG63" i="3"/>
  <c r="AG59" i="3"/>
  <c r="AG57" i="3"/>
  <c r="AG50" i="3"/>
  <c r="AG43" i="3"/>
  <c r="AG64" i="3" s="1"/>
  <c r="AG36" i="3"/>
  <c r="AG29" i="3"/>
  <c r="AG22" i="3"/>
  <c r="AG99" i="3" l="1"/>
  <c r="AG127" i="3"/>
  <c r="AG71" i="3"/>
  <c r="AG15" i="3"/>
  <c r="AF14" i="3"/>
  <c r="AF13" i="3"/>
  <c r="AF12" i="3"/>
  <c r="AF11" i="3"/>
  <c r="AF10" i="3"/>
  <c r="AF126" i="3"/>
  <c r="AF125" i="3"/>
  <c r="AF124" i="3"/>
  <c r="AF123" i="3"/>
  <c r="AF122" i="3"/>
  <c r="AF120" i="3"/>
  <c r="AF113" i="3"/>
  <c r="AF92" i="3"/>
  <c r="AF78" i="3"/>
  <c r="AF68" i="3"/>
  <c r="AF67" i="3"/>
  <c r="AF66" i="3"/>
  <c r="AF70" i="3"/>
  <c r="AF69" i="3"/>
  <c r="AF85" i="3"/>
  <c r="AF95" i="3"/>
  <c r="AF96" i="3"/>
  <c r="AF97" i="3"/>
  <c r="AF98" i="3"/>
  <c r="AF94" i="3"/>
  <c r="AF106" i="3"/>
  <c r="AF60" i="3"/>
  <c r="AF61" i="3"/>
  <c r="AF62" i="3"/>
  <c r="AF63" i="3"/>
  <c r="AF59" i="3"/>
  <c r="AF57" i="3"/>
  <c r="AF50" i="3"/>
  <c r="AF43" i="3"/>
  <c r="AF64" i="3" s="1"/>
  <c r="AE43" i="3"/>
  <c r="AF36" i="3"/>
  <c r="AF29" i="3"/>
  <c r="AF22" i="3"/>
  <c r="BD138" i="2"/>
  <c r="BD139" i="2"/>
  <c r="BD140" i="2"/>
  <c r="BD136" i="2"/>
  <c r="BD131" i="2"/>
  <c r="BD132" i="2"/>
  <c r="BD133" i="2"/>
  <c r="BD129" i="2"/>
  <c r="BD124" i="2"/>
  <c r="BD125" i="2"/>
  <c r="BD126" i="2"/>
  <c r="BD122" i="2"/>
  <c r="BD109" i="2"/>
  <c r="BD110" i="2"/>
  <c r="BD111" i="2"/>
  <c r="BD112" i="2"/>
  <c r="BD108" i="2"/>
  <c r="BD102" i="2"/>
  <c r="BD103" i="2"/>
  <c r="BD104" i="2"/>
  <c r="BD105" i="2"/>
  <c r="BD101" i="2"/>
  <c r="BD88" i="2"/>
  <c r="BD89" i="2"/>
  <c r="BD90" i="2"/>
  <c r="BD91" i="2"/>
  <c r="BD87" i="2"/>
  <c r="V127" i="2"/>
  <c r="BP127" i="2" s="1"/>
  <c r="AF127" i="3" l="1"/>
  <c r="BD141" i="2"/>
  <c r="BD134" i="2"/>
  <c r="BD106" i="2"/>
  <c r="BD113" i="2"/>
  <c r="BD127" i="2"/>
  <c r="AF15" i="3"/>
  <c r="AF71" i="3"/>
  <c r="AF99" i="3"/>
  <c r="V141" i="2"/>
  <c r="BP141" i="2" s="1"/>
  <c r="V134" i="2"/>
  <c r="BP134" i="2" s="1"/>
  <c r="V113" i="2" l="1"/>
  <c r="BP113" i="2" s="1"/>
  <c r="V106" i="2"/>
  <c r="BP106" i="2" s="1"/>
  <c r="V80" i="2"/>
  <c r="V84" i="2"/>
  <c r="V83" i="2"/>
  <c r="V82" i="2"/>
  <c r="V81" i="2"/>
  <c r="V77" i="2"/>
  <c r="V76" i="2"/>
  <c r="V75" i="2"/>
  <c r="V74" i="2"/>
  <c r="V73" i="2"/>
  <c r="BD81" i="2" l="1"/>
  <c r="BP81" i="2"/>
  <c r="BD82" i="2"/>
  <c r="BP82" i="2"/>
  <c r="BD83" i="2"/>
  <c r="BP83" i="2"/>
  <c r="BD80" i="2"/>
  <c r="BP80" i="2"/>
  <c r="BD76" i="2"/>
  <c r="BP76" i="2"/>
  <c r="BD77" i="2"/>
  <c r="BP77" i="2"/>
  <c r="BD73" i="2"/>
  <c r="BD78" i="2" s="1"/>
  <c r="BP73" i="2"/>
  <c r="BD84" i="2"/>
  <c r="BP84" i="2"/>
  <c r="BD74" i="2"/>
  <c r="BP74" i="2"/>
  <c r="BD75" i="2"/>
  <c r="BP75" i="2"/>
  <c r="V98" i="2"/>
  <c r="V97" i="2"/>
  <c r="V94" i="2"/>
  <c r="V96" i="2"/>
  <c r="V95" i="2"/>
  <c r="V85" i="2"/>
  <c r="BP85" i="2" s="1"/>
  <c r="V78" i="2"/>
  <c r="BP78" i="2" s="1"/>
  <c r="BD61" i="2"/>
  <c r="BD62" i="2"/>
  <c r="BD63" i="2"/>
  <c r="BD59" i="2"/>
  <c r="BD54" i="2"/>
  <c r="BD55" i="2"/>
  <c r="BD56" i="2"/>
  <c r="BD52" i="2"/>
  <c r="BD47" i="2"/>
  <c r="BD48" i="2"/>
  <c r="BD49" i="2"/>
  <c r="BD45" i="2"/>
  <c r="BD40" i="2"/>
  <c r="BD41" i="2"/>
  <c r="BD42" i="2"/>
  <c r="BD38" i="2"/>
  <c r="BD33" i="2"/>
  <c r="BD34" i="2"/>
  <c r="BD35" i="2"/>
  <c r="BD31" i="2"/>
  <c r="BD26" i="2"/>
  <c r="BD27" i="2"/>
  <c r="BD28" i="2"/>
  <c r="BD24" i="2"/>
  <c r="V67" i="2"/>
  <c r="BP67" i="2" s="1"/>
  <c r="V68" i="2"/>
  <c r="BP68" i="2" s="1"/>
  <c r="V69" i="2"/>
  <c r="BP69" i="2" s="1"/>
  <c r="V70" i="2"/>
  <c r="BP70" i="2" s="1"/>
  <c r="V66" i="2"/>
  <c r="BP66" i="2" s="1"/>
  <c r="V64" i="2"/>
  <c r="BP64" i="2" s="1"/>
  <c r="V57" i="2"/>
  <c r="BP57" i="2" s="1"/>
  <c r="V50" i="2"/>
  <c r="BP50" i="2" s="1"/>
  <c r="V14" i="2"/>
  <c r="V13" i="2"/>
  <c r="V12" i="2"/>
  <c r="V11" i="2"/>
  <c r="V10" i="2"/>
  <c r="BD85" i="2" l="1"/>
  <c r="V115" i="2"/>
  <c r="BP115" i="2" s="1"/>
  <c r="BP94" i="2"/>
  <c r="BD13" i="2"/>
  <c r="BP13" i="2"/>
  <c r="V118" i="2"/>
  <c r="BP118" i="2" s="1"/>
  <c r="BP97" i="2"/>
  <c r="BD14" i="2"/>
  <c r="BP14" i="2"/>
  <c r="V119" i="2"/>
  <c r="BP119" i="2" s="1"/>
  <c r="BP98" i="2"/>
  <c r="BD12" i="2"/>
  <c r="BP12" i="2"/>
  <c r="BD10" i="2"/>
  <c r="BP10" i="2"/>
  <c r="V116" i="2"/>
  <c r="BP116" i="2" s="1"/>
  <c r="BP95" i="2"/>
  <c r="BD11" i="2"/>
  <c r="BP11" i="2"/>
  <c r="V117" i="2"/>
  <c r="BP117" i="2" s="1"/>
  <c r="BP96" i="2"/>
  <c r="V71" i="2"/>
  <c r="BP71" i="2" s="1"/>
  <c r="BD57" i="2"/>
  <c r="BD50" i="2"/>
  <c r="BD43" i="2"/>
  <c r="BD29" i="2"/>
  <c r="BD64" i="2"/>
  <c r="BD36" i="2"/>
  <c r="V99" i="2"/>
  <c r="BP99" i="2" s="1"/>
  <c r="V21" i="2"/>
  <c r="BP21" i="2" s="1"/>
  <c r="V20" i="2"/>
  <c r="BP20" i="2" s="1"/>
  <c r="V19" i="2"/>
  <c r="BP19" i="2" s="1"/>
  <c r="V18" i="2"/>
  <c r="BP18" i="2" s="1"/>
  <c r="V17" i="2"/>
  <c r="BP17" i="2" s="1"/>
  <c r="V43" i="2"/>
  <c r="BP43" i="2" s="1"/>
  <c r="V15" i="2"/>
  <c r="BP15" i="2" s="1"/>
  <c r="V36" i="2"/>
  <c r="BP36" i="2" s="1"/>
  <c r="V29" i="2"/>
  <c r="BP29" i="2" s="1"/>
  <c r="BD15" i="2" l="1"/>
  <c r="V120" i="2"/>
  <c r="BP120" i="2" s="1"/>
  <c r="V22" i="2"/>
  <c r="BP22" i="2" s="1"/>
  <c r="AE134" i="3"/>
  <c r="AE124" i="3"/>
  <c r="AE123" i="3"/>
  <c r="AE122" i="3"/>
  <c r="AE127" i="3" s="1"/>
  <c r="AE120" i="3"/>
  <c r="AE113" i="3"/>
  <c r="AE106" i="3"/>
  <c r="AE94" i="3"/>
  <c r="AE95" i="3"/>
  <c r="AE96" i="3"/>
  <c r="AE97" i="3"/>
  <c r="AE98" i="3"/>
  <c r="AE92" i="3"/>
  <c r="AE85" i="3"/>
  <c r="AE78" i="3"/>
  <c r="AE66" i="3"/>
  <c r="AE70" i="3"/>
  <c r="AE69" i="3"/>
  <c r="AE68" i="3"/>
  <c r="AE67" i="3"/>
  <c r="AE71" i="3" l="1"/>
  <c r="AE99" i="3"/>
  <c r="AE14" i="3"/>
  <c r="AE13" i="3"/>
  <c r="AE12" i="3"/>
  <c r="AE11" i="3"/>
  <c r="AE10" i="3"/>
  <c r="AE60" i="3"/>
  <c r="AE61" i="3"/>
  <c r="AE62" i="3"/>
  <c r="AE63" i="3"/>
  <c r="AE59" i="3"/>
  <c r="AE57" i="3"/>
  <c r="AE50" i="3"/>
  <c r="AE64" i="3" s="1"/>
  <c r="AE36" i="3"/>
  <c r="AE29" i="3"/>
  <c r="AE22" i="3"/>
  <c r="AE15" i="3" l="1"/>
  <c r="BC81" i="2"/>
  <c r="BC82" i="2"/>
  <c r="BC83" i="2"/>
  <c r="BC84" i="2"/>
  <c r="BC80" i="2"/>
  <c r="BB45" i="2"/>
  <c r="BC85" i="2" l="1"/>
  <c r="AD123" i="3"/>
  <c r="AD122" i="3"/>
  <c r="AB134" i="3"/>
  <c r="AD134" i="3"/>
  <c r="AD66" i="3" l="1"/>
  <c r="AD70" i="3"/>
  <c r="AD69" i="3"/>
  <c r="AD68" i="3"/>
  <c r="AD67" i="3"/>
  <c r="AD71" i="3" s="1"/>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5" i="3"/>
  <c r="AC124" i="3"/>
  <c r="AC123" i="3"/>
  <c r="AC122" i="3"/>
  <c r="AC127" i="3" s="1"/>
  <c r="AC120" i="3"/>
  <c r="AC113" i="3"/>
  <c r="AC106" i="3"/>
  <c r="AC94" i="3"/>
  <c r="AA95" i="3"/>
  <c r="AB95" i="3"/>
  <c r="AC95" i="3"/>
  <c r="AA96" i="3"/>
  <c r="AB96" i="3"/>
  <c r="AC96" i="3"/>
  <c r="AA97" i="3"/>
  <c r="AB97" i="3"/>
  <c r="AC97" i="3"/>
  <c r="AA98" i="3"/>
  <c r="AB98" i="3"/>
  <c r="AC98" i="3"/>
  <c r="AA94" i="3"/>
  <c r="AB94" i="3"/>
  <c r="AC92" i="3"/>
  <c r="AC85" i="3"/>
  <c r="AC78" i="3"/>
  <c r="AC69" i="3"/>
  <c r="AC68" i="3"/>
  <c r="AC67" i="3"/>
  <c r="AC66" i="3"/>
  <c r="AA99" i="3" l="1"/>
  <c r="AB99" i="3"/>
  <c r="AC99" i="3"/>
  <c r="AC71" i="3"/>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0" i="3"/>
  <c r="AB61" i="3"/>
  <c r="AB62" i="3"/>
  <c r="AB63" i="3"/>
  <c r="AB59" i="3"/>
  <c r="AB14" i="3"/>
  <c r="AB13" i="3"/>
  <c r="AB12" i="3"/>
  <c r="AB11" i="3"/>
  <c r="AB10" i="3"/>
  <c r="AB127" i="3" l="1"/>
  <c r="AB120" i="3"/>
  <c r="AB113" i="3"/>
  <c r="AB106" i="3"/>
  <c r="AB92" i="3"/>
  <c r="AB85" i="3"/>
  <c r="AB78" i="3"/>
  <c r="AB71" i="3"/>
  <c r="AB57" i="3"/>
  <c r="AB50" i="3"/>
  <c r="AB43" i="3"/>
  <c r="AB64" i="3" s="1"/>
  <c r="AB36" i="3"/>
  <c r="AB29" i="3"/>
  <c r="AB22" i="3"/>
  <c r="AB15" i="3"/>
  <c r="U95" i="2" l="1"/>
  <c r="BO95" i="2" s="1"/>
  <c r="U96" i="2"/>
  <c r="BO96" i="2" s="1"/>
  <c r="U97" i="2"/>
  <c r="BO97" i="2" s="1"/>
  <c r="U98" i="2"/>
  <c r="BO98" i="2" s="1"/>
  <c r="U94" i="2"/>
  <c r="BO94" i="2" s="1"/>
  <c r="U99" i="2" l="1"/>
  <c r="BO99" i="2" s="1"/>
  <c r="U77" i="2"/>
  <c r="BO77" i="2" s="1"/>
  <c r="U76" i="2"/>
  <c r="BO76" i="2" s="1"/>
  <c r="U75" i="2"/>
  <c r="BO75" i="2" s="1"/>
  <c r="U74" i="2"/>
  <c r="BO74" i="2" s="1"/>
  <c r="U73" i="2"/>
  <c r="BO73" i="2" s="1"/>
  <c r="U14" i="2" l="1"/>
  <c r="BO14" i="2" s="1"/>
  <c r="U13" i="2"/>
  <c r="BO13" i="2" s="1"/>
  <c r="U10" i="2"/>
  <c r="BO10" i="2" s="1"/>
  <c r="U12" i="2"/>
  <c r="BO12" i="2" s="1"/>
  <c r="U11" i="2"/>
  <c r="BC11" i="2" l="1"/>
  <c r="BO11" i="2"/>
  <c r="U21" i="2"/>
  <c r="BO21" i="2" s="1"/>
  <c r="U20" i="2"/>
  <c r="BO20" i="2" s="1"/>
  <c r="U19" i="2"/>
  <c r="BO19" i="2" s="1"/>
  <c r="U18" i="2"/>
  <c r="BO18" i="2" s="1"/>
  <c r="U17" i="2"/>
  <c r="BO17" i="2" s="1"/>
  <c r="AA125" i="3" l="1"/>
  <c r="AA124" i="3"/>
  <c r="AA123" i="3"/>
  <c r="AA122" i="3"/>
  <c r="AA78" i="3"/>
  <c r="Z78" i="3"/>
  <c r="AA68" i="3"/>
  <c r="AA66" i="3"/>
  <c r="AA70" i="3"/>
  <c r="AA69" i="3"/>
  <c r="AA67" i="3"/>
  <c r="U85" i="2"/>
  <c r="BO85" i="2" s="1"/>
  <c r="AA14" i="3"/>
  <c r="AA13" i="3"/>
  <c r="AA12" i="3"/>
  <c r="AA11" i="3"/>
  <c r="AA10" i="3"/>
  <c r="AA71" i="3" l="1"/>
  <c r="AA127" i="3"/>
  <c r="AA120" i="3"/>
  <c r="AA113" i="3"/>
  <c r="AA106" i="3"/>
  <c r="AA92" i="3"/>
  <c r="AA85" i="3"/>
  <c r="AA63" i="3"/>
  <c r="AA62" i="3"/>
  <c r="AA61" i="3"/>
  <c r="AA60" i="3"/>
  <c r="AA59" i="3"/>
  <c r="AA57" i="3"/>
  <c r="AA50" i="3"/>
  <c r="AA43" i="3"/>
  <c r="AA64" i="3" s="1"/>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99" i="3" l="1"/>
  <c r="X71" i="3"/>
  <c r="Z64" i="3"/>
  <c r="Y99" i="3"/>
  <c r="Y64" i="3"/>
  <c r="X99" i="3"/>
  <c r="X15" i="3"/>
  <c r="X64" i="3"/>
  <c r="CG64" i="2"/>
  <c r="CG63" i="2"/>
  <c r="CF64" i="2"/>
  <c r="CF63" i="2"/>
  <c r="T80" i="2"/>
  <c r="BN80" i="2" s="1"/>
  <c r="T82" i="2"/>
  <c r="BN82" i="2" s="1"/>
  <c r="T84" i="2"/>
  <c r="BN84" i="2" s="1"/>
  <c r="T83" i="2"/>
  <c r="BN83" i="2" s="1"/>
  <c r="T81" i="2"/>
  <c r="BN81" i="2" s="1"/>
  <c r="T77" i="2"/>
  <c r="BN77" i="2" s="1"/>
  <c r="T76" i="2"/>
  <c r="BN76" i="2" s="1"/>
  <c r="T75" i="2"/>
  <c r="BN75" i="2" s="1"/>
  <c r="T74" i="2"/>
  <c r="BN74" i="2" s="1"/>
  <c r="T73" i="2"/>
  <c r="BN73" i="2" s="1"/>
  <c r="CH63" i="2" l="1"/>
  <c r="CI63" i="2" s="1"/>
  <c r="CH64" i="2"/>
  <c r="CI64" i="2" s="1"/>
  <c r="T21" i="2"/>
  <c r="BN21" i="2" s="1"/>
  <c r="T20" i="2"/>
  <c r="BN20" i="2" s="1"/>
  <c r="T19" i="2"/>
  <c r="BN19" i="2" s="1"/>
  <c r="T18" i="2"/>
  <c r="BN18" i="2" s="1"/>
  <c r="T17" i="2"/>
  <c r="BN17" i="2" s="1"/>
  <c r="T14" i="2"/>
  <c r="BN14" i="2" s="1"/>
  <c r="T13" i="2"/>
  <c r="BN13" i="2" s="1"/>
  <c r="T12" i="2"/>
  <c r="BN12" i="2" s="1"/>
  <c r="T11" i="2"/>
  <c r="T10" i="2"/>
  <c r="BN10" i="2" s="1"/>
  <c r="BB11" i="2" l="1"/>
  <c r="BN11" i="2"/>
  <c r="W125" i="3"/>
  <c r="W124" i="3"/>
  <c r="W123" i="3"/>
  <c r="W122" i="3"/>
  <c r="W78" i="3"/>
  <c r="W68" i="3"/>
  <c r="W66" i="3"/>
  <c r="W70" i="3"/>
  <c r="W69" i="3"/>
  <c r="W67" i="3"/>
  <c r="W71" i="3" l="1"/>
  <c r="W127" i="3"/>
  <c r="W92" i="3"/>
  <c r="W85" i="3"/>
  <c r="W95" i="3"/>
  <c r="W96" i="3"/>
  <c r="W97" i="3"/>
  <c r="W98" i="3"/>
  <c r="W94" i="3"/>
  <c r="W120" i="3"/>
  <c r="W113" i="3"/>
  <c r="W106" i="3"/>
  <c r="W14" i="3"/>
  <c r="W13" i="3"/>
  <c r="W12" i="3"/>
  <c r="W11" i="3"/>
  <c r="W10" i="3"/>
  <c r="W60" i="3"/>
  <c r="W61" i="3"/>
  <c r="W62" i="3"/>
  <c r="W63" i="3"/>
  <c r="W59" i="3"/>
  <c r="W57" i="3"/>
  <c r="W50" i="3"/>
  <c r="W43" i="3"/>
  <c r="W29" i="3"/>
  <c r="W22" i="3"/>
  <c r="W64" i="3" l="1"/>
  <c r="W99" i="3"/>
  <c r="W15" i="3"/>
  <c r="V125" i="3"/>
  <c r="V124" i="3"/>
  <c r="V123" i="3"/>
  <c r="V122" i="3"/>
  <c r="V68" i="3"/>
  <c r="V66" i="3"/>
  <c r="V70" i="3"/>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127" i="3" l="1"/>
  <c r="V71" i="3"/>
  <c r="V99" i="3"/>
  <c r="V64" i="3"/>
  <c r="V15" i="3"/>
  <c r="U66" i="3"/>
  <c r="U69" i="3"/>
  <c r="U70" i="3"/>
  <c r="U68" i="3"/>
  <c r="U67" i="3"/>
  <c r="U14" i="3"/>
  <c r="U13" i="3"/>
  <c r="U12" i="3"/>
  <c r="U11" i="3"/>
  <c r="U10" i="3"/>
  <c r="T70" i="3" l="1"/>
  <c r="T69" i="3"/>
  <c r="T68" i="3"/>
  <c r="T67" i="3"/>
  <c r="T66" i="3"/>
  <c r="T14" i="3"/>
  <c r="T13" i="3"/>
  <c r="T12" i="3"/>
  <c r="T11" i="3"/>
  <c r="T10" i="3"/>
  <c r="CG60" i="2" l="1"/>
  <c r="CG59" i="2"/>
  <c r="CF60" i="2"/>
  <c r="CF59" i="2"/>
  <c r="CF56" i="2"/>
  <c r="S77" i="2"/>
  <c r="BM77" i="2" s="1"/>
  <c r="S76" i="2"/>
  <c r="BM76" i="2" s="1"/>
  <c r="S75" i="2"/>
  <c r="BM75" i="2" s="1"/>
  <c r="S73" i="2"/>
  <c r="BM73" i="2" s="1"/>
  <c r="S74" i="2"/>
  <c r="BM74" i="2" s="1"/>
  <c r="CH59" i="2" l="1"/>
  <c r="CI59" i="2" s="1"/>
  <c r="CH60" i="2"/>
  <c r="CI60" i="2" s="1"/>
  <c r="S84" i="2"/>
  <c r="BM84" i="2" s="1"/>
  <c r="S83" i="2"/>
  <c r="BM83" i="2" s="1"/>
  <c r="S82" i="2"/>
  <c r="BM82" i="2" s="1"/>
  <c r="S81" i="2"/>
  <c r="BM81" i="2" s="1"/>
  <c r="S80" i="2"/>
  <c r="BM80" i="2" s="1"/>
  <c r="S14" i="2"/>
  <c r="BM14" i="2" s="1"/>
  <c r="S13" i="2"/>
  <c r="BM13" i="2" s="1"/>
  <c r="S12" i="2"/>
  <c r="BM12" i="2" s="1"/>
  <c r="S11" i="2"/>
  <c r="S10" i="2"/>
  <c r="BM10" i="2" s="1"/>
  <c r="BA11" i="2" l="1"/>
  <c r="BM11" i="2"/>
  <c r="S21" i="2"/>
  <c r="BM21" i="2" s="1"/>
  <c r="S20" i="2"/>
  <c r="BM20" i="2" s="1"/>
  <c r="S19" i="2"/>
  <c r="BM19" i="2" s="1"/>
  <c r="S18" i="2"/>
  <c r="BM18" i="2" s="1"/>
  <c r="S17" i="2"/>
  <c r="BM17" i="2" s="1"/>
  <c r="S69" i="3" l="1"/>
  <c r="S66" i="3"/>
  <c r="S70" i="3"/>
  <c r="S68" i="3"/>
  <c r="S67" i="3"/>
  <c r="S113" i="3"/>
  <c r="S14" i="3"/>
  <c r="S15" i="3" s="1"/>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CG56" i="2" l="1"/>
  <c r="CH56" i="2" s="1"/>
  <c r="CI56" i="2" s="1"/>
  <c r="CG55" i="2"/>
  <c r="CF55" i="2"/>
  <c r="CF51" i="2"/>
  <c r="R73" i="2"/>
  <c r="BL73" i="2" s="1"/>
  <c r="R77" i="2"/>
  <c r="BL77" i="2" s="1"/>
  <c r="R76" i="2"/>
  <c r="BL76" i="2" s="1"/>
  <c r="R75" i="2"/>
  <c r="BL75" i="2" s="1"/>
  <c r="R74" i="2"/>
  <c r="BL74" i="2" s="1"/>
  <c r="CH55" i="2" l="1"/>
  <c r="CI55" i="2" s="1"/>
  <c r="R84" i="2"/>
  <c r="BL84" i="2" s="1"/>
  <c r="R83" i="2"/>
  <c r="BL83" i="2" s="1"/>
  <c r="R82" i="2"/>
  <c r="BL82" i="2" s="1"/>
  <c r="R81" i="2"/>
  <c r="BL81" i="2" s="1"/>
  <c r="R80" i="2"/>
  <c r="BL80" i="2" s="1"/>
  <c r="R14" i="2"/>
  <c r="BL14" i="2" s="1"/>
  <c r="R13" i="2"/>
  <c r="BL13" i="2" s="1"/>
  <c r="R12" i="2"/>
  <c r="BL12" i="2" s="1"/>
  <c r="R11" i="2"/>
  <c r="R10" i="2"/>
  <c r="BL10" i="2" s="1"/>
  <c r="AZ11" i="2" l="1"/>
  <c r="BL11" i="2"/>
  <c r="R21" i="2"/>
  <c r="BL21" i="2" s="1"/>
  <c r="R20" i="2"/>
  <c r="BL20" i="2" s="1"/>
  <c r="R19" i="2"/>
  <c r="BL19" i="2" s="1"/>
  <c r="R18" i="2"/>
  <c r="BL18" i="2" s="1"/>
  <c r="R17" i="2"/>
  <c r="BL17" i="2" s="1"/>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CG52" i="2" l="1"/>
  <c r="CF52" i="2"/>
  <c r="CG51" i="2"/>
  <c r="CH51" i="2" s="1"/>
  <c r="CI51" i="2" s="1"/>
  <c r="CH52" i="2" l="1"/>
  <c r="CI52" i="2" s="1"/>
  <c r="J68" i="3" l="1"/>
  <c r="J67" i="3"/>
  <c r="J66" i="3"/>
  <c r="J70" i="3"/>
  <c r="J69" i="3"/>
  <c r="J14" i="3"/>
  <c r="J13" i="3"/>
  <c r="J12" i="3"/>
  <c r="J11" i="3"/>
  <c r="J10" i="3"/>
  <c r="Q14" i="2" l="1"/>
  <c r="BK14" i="2" s="1"/>
  <c r="Q13" i="2"/>
  <c r="BK13" i="2" s="1"/>
  <c r="Q12" i="2"/>
  <c r="BK12" i="2" s="1"/>
  <c r="Q11" i="2"/>
  <c r="Q10" i="2"/>
  <c r="BK10" i="2" s="1"/>
  <c r="AY11" i="2" l="1"/>
  <c r="BK11" i="2"/>
  <c r="Q21" i="2"/>
  <c r="BK21" i="2" s="1"/>
  <c r="Q20" i="2"/>
  <c r="BK20" i="2" s="1"/>
  <c r="Q19" i="2"/>
  <c r="BK19" i="2" s="1"/>
  <c r="Q18" i="2"/>
  <c r="BK18" i="2" s="1"/>
  <c r="Q17" i="2"/>
  <c r="BK17" i="2" s="1"/>
  <c r="Q77" i="2"/>
  <c r="BK77" i="2" s="1"/>
  <c r="Q76" i="2"/>
  <c r="BK76" i="2" s="1"/>
  <c r="Q75" i="2"/>
  <c r="BK75" i="2" s="1"/>
  <c r="Q74" i="2"/>
  <c r="BK74" i="2" s="1"/>
  <c r="Q73" i="2"/>
  <c r="BK73" i="2" s="1"/>
  <c r="Q84" i="2" l="1"/>
  <c r="BK84" i="2" s="1"/>
  <c r="Q83" i="2"/>
  <c r="BK83" i="2" s="1"/>
  <c r="Q82" i="2"/>
  <c r="BK82" i="2" s="1"/>
  <c r="Q81" i="2"/>
  <c r="BK81" i="2" s="1"/>
  <c r="Q80" i="2"/>
  <c r="BK80" i="2" s="1"/>
  <c r="I69" i="3" l="1"/>
  <c r="I68" i="3" l="1"/>
  <c r="I70" i="3"/>
  <c r="I67" i="3"/>
  <c r="I66" i="3"/>
  <c r="I71" i="3" s="1"/>
  <c r="I13" i="3"/>
  <c r="I12" i="3"/>
  <c r="I11" i="3"/>
  <c r="I10" i="3"/>
  <c r="I14" i="3"/>
  <c r="H70" i="3" l="1"/>
  <c r="H69" i="3"/>
  <c r="H68" i="3"/>
  <c r="H67" i="3"/>
  <c r="H66" i="3"/>
  <c r="H13" i="3" l="1"/>
  <c r="H14" i="3"/>
  <c r="H12" i="3"/>
  <c r="H11" i="3"/>
  <c r="H10" i="3"/>
  <c r="I50" i="3"/>
  <c r="H50" i="3"/>
  <c r="G69" i="3" l="1"/>
  <c r="G68" i="3"/>
  <c r="G67" i="3"/>
  <c r="G66" i="3"/>
  <c r="G13" i="3"/>
  <c r="G12" i="3"/>
  <c r="G11" i="3"/>
  <c r="G10" i="3"/>
  <c r="G14" i="3"/>
  <c r="P84" i="2" l="1"/>
  <c r="BJ84" i="2" s="1"/>
  <c r="P83" i="2"/>
  <c r="BJ83" i="2" s="1"/>
  <c r="P82" i="2"/>
  <c r="BJ82" i="2" s="1"/>
  <c r="P81" i="2"/>
  <c r="BJ81" i="2" s="1"/>
  <c r="P80" i="2"/>
  <c r="BJ80" i="2" s="1"/>
  <c r="P77" i="2" l="1"/>
  <c r="BJ77" i="2" s="1"/>
  <c r="P76" i="2"/>
  <c r="BJ76" i="2" s="1"/>
  <c r="P75" i="2"/>
  <c r="BJ75" i="2" s="1"/>
  <c r="P74" i="2"/>
  <c r="BJ74" i="2" s="1"/>
  <c r="P73" i="2"/>
  <c r="BJ73" i="2" s="1"/>
  <c r="P20" i="2" l="1"/>
  <c r="BJ20" i="2" s="1"/>
  <c r="P19" i="2"/>
  <c r="BJ19" i="2" s="1"/>
  <c r="P18" i="2"/>
  <c r="BJ18" i="2" s="1"/>
  <c r="P17" i="2"/>
  <c r="BJ17" i="2" s="1"/>
  <c r="P21" i="2"/>
  <c r="BJ21" i="2" s="1"/>
  <c r="P10" i="2"/>
  <c r="BJ10" i="2" s="1"/>
  <c r="P12" i="2"/>
  <c r="BJ12" i="2" s="1"/>
  <c r="P14" i="2"/>
  <c r="BJ14" i="2" s="1"/>
  <c r="P13" i="2"/>
  <c r="BJ13" i="2" s="1"/>
  <c r="P11" i="2"/>
  <c r="AX11" i="2" l="1"/>
  <c r="BJ11" i="2"/>
  <c r="F13" i="3"/>
  <c r="F12" i="3"/>
  <c r="F11" i="3"/>
  <c r="F10" i="3"/>
  <c r="F14" i="3"/>
  <c r="F68" i="3"/>
  <c r="F66" i="3"/>
  <c r="F69" i="3"/>
  <c r="F70" i="3"/>
  <c r="F67" i="3"/>
  <c r="E69" i="3" l="1"/>
  <c r="E68" i="3"/>
  <c r="E67" i="3"/>
  <c r="E66" i="3"/>
  <c r="E13" i="3"/>
  <c r="E12" i="3"/>
  <c r="E11" i="3"/>
  <c r="E10" i="3"/>
  <c r="E14" i="3"/>
  <c r="D106" i="3" l="1"/>
  <c r="D92" i="3"/>
  <c r="D68" i="3"/>
  <c r="D67" i="3"/>
  <c r="D66" i="3"/>
  <c r="D70" i="3"/>
  <c r="D69" i="3"/>
  <c r="D10" i="3"/>
  <c r="D11" i="3"/>
  <c r="D12" i="3"/>
  <c r="D13" i="3"/>
  <c r="D14" i="3"/>
  <c r="D71" i="3" l="1"/>
  <c r="C29" i="2"/>
  <c r="L15" i="2"/>
  <c r="K15" i="2"/>
  <c r="J15" i="2"/>
  <c r="I15" i="2"/>
  <c r="H15" i="2"/>
  <c r="G15" i="2"/>
  <c r="F15" i="2"/>
  <c r="E15" i="2"/>
  <c r="D15" i="2"/>
  <c r="C15" i="2"/>
  <c r="C127" i="3" l="1"/>
  <c r="C120" i="3"/>
  <c r="C113" i="3"/>
  <c r="C106" i="3"/>
  <c r="C92" i="3"/>
  <c r="C85" i="3"/>
  <c r="C78" i="3"/>
  <c r="C57" i="3"/>
  <c r="C50" i="3"/>
  <c r="C43" i="3"/>
  <c r="C36" i="3"/>
  <c r="C29" i="3"/>
  <c r="C22" i="3"/>
  <c r="D106" i="2" l="1"/>
  <c r="C60" i="3" l="1"/>
  <c r="C61" i="3"/>
  <c r="C62" i="3"/>
  <c r="C63" i="3"/>
  <c r="C59" i="3"/>
  <c r="C14" i="3"/>
  <c r="C13" i="3"/>
  <c r="C12" i="3"/>
  <c r="C11" i="3"/>
  <c r="C10" i="3"/>
  <c r="C64" i="3" l="1"/>
  <c r="C15" i="3"/>
  <c r="C129" i="3"/>
  <c r="C134" i="3" s="1"/>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1" i="2"/>
  <c r="BF21" i="2" s="1"/>
  <c r="L20" i="2"/>
  <c r="BF20" i="2" s="1"/>
  <c r="L19" i="2"/>
  <c r="BF19" i="2" s="1"/>
  <c r="L18" i="2"/>
  <c r="BF18" i="2" s="1"/>
  <c r="L17" i="2"/>
  <c r="BF17" i="2" s="1"/>
  <c r="K21" i="2"/>
  <c r="BE21" i="2" s="1"/>
  <c r="K20" i="2"/>
  <c r="BE20" i="2" s="1"/>
  <c r="K19" i="2"/>
  <c r="BE19" i="2" s="1"/>
  <c r="K18" i="2"/>
  <c r="BE18" i="2" s="1"/>
  <c r="K17" i="2"/>
  <c r="BE17" i="2" s="1"/>
  <c r="J21" i="2"/>
  <c r="BD21" i="2" s="1"/>
  <c r="J20" i="2"/>
  <c r="BD20" i="2" s="1"/>
  <c r="J19" i="2"/>
  <c r="BD19" i="2" s="1"/>
  <c r="J18" i="2"/>
  <c r="BD18" i="2" s="1"/>
  <c r="J17" i="2"/>
  <c r="BD17" i="2" s="1"/>
  <c r="I21" i="2"/>
  <c r="I20" i="2"/>
  <c r="I19" i="2"/>
  <c r="I18" i="2"/>
  <c r="BC18" i="2" s="1"/>
  <c r="I17" i="2"/>
  <c r="H21" i="2"/>
  <c r="H20" i="2"/>
  <c r="H19" i="2"/>
  <c r="H18" i="2"/>
  <c r="BB18" i="2" s="1"/>
  <c r="H17" i="2"/>
  <c r="G21" i="2"/>
  <c r="G20" i="2"/>
  <c r="G19" i="2"/>
  <c r="G18" i="2"/>
  <c r="BA18" i="2" s="1"/>
  <c r="G17" i="2"/>
  <c r="F21" i="2"/>
  <c r="F20" i="2"/>
  <c r="F19" i="2"/>
  <c r="F18" i="2"/>
  <c r="AZ18" i="2" s="1"/>
  <c r="F17" i="2"/>
  <c r="E20" i="2"/>
  <c r="E19" i="2"/>
  <c r="E18" i="2"/>
  <c r="AY18" i="2" s="1"/>
  <c r="E17" i="2"/>
  <c r="E21" i="2"/>
  <c r="D21" i="2"/>
  <c r="D20" i="2"/>
  <c r="D19" i="2"/>
  <c r="D18" i="2"/>
  <c r="AX18" i="2" s="1"/>
  <c r="D17" i="2"/>
  <c r="C21" i="2"/>
  <c r="C20" i="2"/>
  <c r="C19" i="2"/>
  <c r="C18" i="2"/>
  <c r="C17" i="2"/>
  <c r="BF22" i="2" l="1"/>
  <c r="BE22" i="2"/>
  <c r="BD22"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1" i="2"/>
  <c r="O20" i="2"/>
  <c r="BI20" i="2" s="1"/>
  <c r="O19" i="2"/>
  <c r="O18" i="2"/>
  <c r="O17" i="2"/>
  <c r="N21" i="2"/>
  <c r="BH21" i="2" s="1"/>
  <c r="N20" i="2"/>
  <c r="BH20" i="2" s="1"/>
  <c r="N19" i="2"/>
  <c r="BH19" i="2" s="1"/>
  <c r="N18" i="2"/>
  <c r="BH18" i="2" s="1"/>
  <c r="N17" i="2"/>
  <c r="BH17" i="2" s="1"/>
  <c r="M21" i="2"/>
  <c r="BG21" i="2" s="1"/>
  <c r="M20" i="2"/>
  <c r="BG20" i="2" s="1"/>
  <c r="M19" i="2"/>
  <c r="BG19" i="2" s="1"/>
  <c r="M18" i="2"/>
  <c r="BG18" i="2" s="1"/>
  <c r="M17" i="2"/>
  <c r="BG17" i="2" s="1"/>
  <c r="AW21" i="2" l="1"/>
  <c r="BI21" i="2"/>
  <c r="AW20" i="2"/>
  <c r="AW17" i="2"/>
  <c r="BI17" i="2"/>
  <c r="AW18" i="2"/>
  <c r="BI18" i="2"/>
  <c r="AW19" i="2"/>
  <c r="BI19" i="2"/>
  <c r="G99" i="3"/>
  <c r="R99" i="3"/>
  <c r="E99" i="3"/>
  <c r="P99" i="3"/>
  <c r="F99" i="3"/>
  <c r="D99" i="3"/>
  <c r="H99" i="3"/>
  <c r="H67" i="2"/>
  <c r="G67" i="2"/>
  <c r="H66" i="2"/>
  <c r="AW22" i="2" l="1"/>
  <c r="U70" i="2"/>
  <c r="BO70" i="2" s="1"/>
  <c r="D70" i="2"/>
  <c r="E70" i="2"/>
  <c r="F70" i="2"/>
  <c r="G70" i="2"/>
  <c r="H70" i="2"/>
  <c r="I70" i="2"/>
  <c r="J70" i="2"/>
  <c r="BD70" i="2" s="1"/>
  <c r="K70" i="2"/>
  <c r="BE70" i="2" s="1"/>
  <c r="L70" i="2"/>
  <c r="BF70" i="2" s="1"/>
  <c r="M70" i="2"/>
  <c r="BG70" i="2" s="1"/>
  <c r="N70" i="2"/>
  <c r="BH70" i="2" s="1"/>
  <c r="O70" i="2"/>
  <c r="BI70" i="2" s="1"/>
  <c r="P70" i="2"/>
  <c r="BJ70" i="2" s="1"/>
  <c r="Q70" i="2"/>
  <c r="BK70" i="2" s="1"/>
  <c r="R70" i="2"/>
  <c r="BL70" i="2" s="1"/>
  <c r="S70" i="2"/>
  <c r="BM70" i="2" s="1"/>
  <c r="T70" i="2"/>
  <c r="BN70" i="2" s="1"/>
  <c r="D69" i="2"/>
  <c r="E69" i="2"/>
  <c r="F69" i="2"/>
  <c r="G69" i="2"/>
  <c r="H69" i="2"/>
  <c r="I69" i="2"/>
  <c r="J69" i="2"/>
  <c r="BD69" i="2" s="1"/>
  <c r="K69" i="2"/>
  <c r="BE69" i="2" s="1"/>
  <c r="L69" i="2"/>
  <c r="BF69" i="2" s="1"/>
  <c r="M69" i="2"/>
  <c r="BG69" i="2" s="1"/>
  <c r="N69" i="2"/>
  <c r="BH69" i="2" s="1"/>
  <c r="O69" i="2"/>
  <c r="BI69" i="2" s="1"/>
  <c r="P69" i="2"/>
  <c r="BJ69" i="2" s="1"/>
  <c r="Q69" i="2"/>
  <c r="BK69" i="2" s="1"/>
  <c r="R69" i="2"/>
  <c r="BL69" i="2" s="1"/>
  <c r="S69" i="2"/>
  <c r="BM69" i="2" s="1"/>
  <c r="T69" i="2"/>
  <c r="BN69" i="2" s="1"/>
  <c r="U69" i="2"/>
  <c r="BO69" i="2" s="1"/>
  <c r="D68" i="2"/>
  <c r="E68" i="2"/>
  <c r="F68" i="2"/>
  <c r="G68" i="2"/>
  <c r="H68" i="2"/>
  <c r="I68" i="2"/>
  <c r="J68" i="2"/>
  <c r="BD68" i="2" s="1"/>
  <c r="K68" i="2"/>
  <c r="BE68" i="2" s="1"/>
  <c r="L68" i="2"/>
  <c r="BF68" i="2" s="1"/>
  <c r="M68" i="2"/>
  <c r="BG68" i="2" s="1"/>
  <c r="N68" i="2"/>
  <c r="BH68" i="2" s="1"/>
  <c r="O68" i="2"/>
  <c r="P68" i="2"/>
  <c r="BJ68" i="2" s="1"/>
  <c r="Q68" i="2"/>
  <c r="BK68" i="2" s="1"/>
  <c r="R68" i="2"/>
  <c r="BL68" i="2" s="1"/>
  <c r="S68" i="2"/>
  <c r="BM68" i="2" s="1"/>
  <c r="T68" i="2"/>
  <c r="BN68" i="2" s="1"/>
  <c r="U68" i="2"/>
  <c r="BO68" i="2" s="1"/>
  <c r="C70" i="2"/>
  <c r="C69" i="2"/>
  <c r="C68" i="2"/>
  <c r="D67" i="2"/>
  <c r="E67" i="2"/>
  <c r="F67" i="2"/>
  <c r="I67" i="2"/>
  <c r="J67" i="2"/>
  <c r="BD67" i="2" s="1"/>
  <c r="K67" i="2"/>
  <c r="BE67" i="2" s="1"/>
  <c r="L67" i="2"/>
  <c r="BF67" i="2" s="1"/>
  <c r="M67" i="2"/>
  <c r="BG67" i="2" s="1"/>
  <c r="N67" i="2"/>
  <c r="BH67" i="2" s="1"/>
  <c r="O67" i="2"/>
  <c r="P67" i="2"/>
  <c r="BJ67" i="2" s="1"/>
  <c r="Q67" i="2"/>
  <c r="BK67" i="2" s="1"/>
  <c r="R67" i="2"/>
  <c r="BL67" i="2" s="1"/>
  <c r="S67" i="2"/>
  <c r="T67" i="2"/>
  <c r="U67" i="2"/>
  <c r="BO67" i="2" s="1"/>
  <c r="C67" i="2"/>
  <c r="D66" i="2"/>
  <c r="C66" i="2"/>
  <c r="F66" i="2"/>
  <c r="G66" i="2"/>
  <c r="I66" i="2"/>
  <c r="J66" i="2"/>
  <c r="BD66" i="2" s="1"/>
  <c r="K66" i="2"/>
  <c r="BE66" i="2" s="1"/>
  <c r="L66" i="2"/>
  <c r="BF66" i="2" s="1"/>
  <c r="M66" i="2"/>
  <c r="BG66" i="2" s="1"/>
  <c r="N66" i="2"/>
  <c r="BH66" i="2" s="1"/>
  <c r="O66" i="2"/>
  <c r="P66" i="2"/>
  <c r="BJ66" i="2" s="1"/>
  <c r="Q66" i="2"/>
  <c r="BK66" i="2" s="1"/>
  <c r="R66" i="2"/>
  <c r="BL66" i="2" s="1"/>
  <c r="S66" i="2"/>
  <c r="BM66" i="2" s="1"/>
  <c r="T66" i="2"/>
  <c r="BN66" i="2" s="1"/>
  <c r="U66" i="2"/>
  <c r="BO66" i="2" s="1"/>
  <c r="E66" i="2"/>
  <c r="BC67" i="2" l="1"/>
  <c r="BB67" i="2"/>
  <c r="BN67" i="2"/>
  <c r="BA67" i="2"/>
  <c r="BM67" i="2"/>
  <c r="BD71" i="2"/>
  <c r="AW68" i="2"/>
  <c r="BI68" i="2"/>
  <c r="AW66" i="2"/>
  <c r="BI66" i="2"/>
  <c r="AW67" i="2"/>
  <c r="BI67" i="2"/>
  <c r="BF71" i="2"/>
  <c r="AZ67" i="2"/>
  <c r="AY67" i="2"/>
  <c r="AX67" i="2"/>
  <c r="BE71" i="2"/>
  <c r="AW70" i="2"/>
  <c r="AW69" i="2"/>
  <c r="N78" i="2"/>
  <c r="BH78" i="2" s="1"/>
  <c r="M78" i="2"/>
  <c r="BG78" i="2" s="1"/>
  <c r="AW71" i="2" l="1"/>
  <c r="I78" i="2"/>
  <c r="D78" i="2" l="1"/>
  <c r="AX88" i="2" l="1"/>
  <c r="AY88" i="2"/>
  <c r="AZ88" i="2"/>
  <c r="BA88" i="2"/>
  <c r="BB88" i="2"/>
  <c r="BC88" i="2"/>
  <c r="AX89" i="2"/>
  <c r="AY89" i="2"/>
  <c r="AZ89" i="2"/>
  <c r="BA89" i="2"/>
  <c r="BB89" i="2"/>
  <c r="BC89" i="2"/>
  <c r="AX90" i="2"/>
  <c r="AY90" i="2"/>
  <c r="AZ90" i="2"/>
  <c r="BA90" i="2"/>
  <c r="BB90" i="2"/>
  <c r="BC90" i="2"/>
  <c r="AX91" i="2"/>
  <c r="AY91" i="2"/>
  <c r="AZ91" i="2"/>
  <c r="BA91" i="2"/>
  <c r="BB91" i="2"/>
  <c r="BC91" i="2"/>
  <c r="BC87" i="2"/>
  <c r="BB87" i="2"/>
  <c r="BA87" i="2"/>
  <c r="AZ87" i="2"/>
  <c r="AY87" i="2"/>
  <c r="AX87" i="2"/>
  <c r="AX81" i="2"/>
  <c r="AY81" i="2"/>
  <c r="AZ81" i="2"/>
  <c r="BA81" i="2"/>
  <c r="BB81" i="2"/>
  <c r="AX82" i="2"/>
  <c r="AY82" i="2"/>
  <c r="AZ82" i="2"/>
  <c r="BA82" i="2"/>
  <c r="BB82" i="2"/>
  <c r="AX83" i="2"/>
  <c r="AY83" i="2"/>
  <c r="AZ83" i="2"/>
  <c r="BA83" i="2"/>
  <c r="BB83" i="2"/>
  <c r="AX84" i="2"/>
  <c r="AY84" i="2"/>
  <c r="AZ84" i="2"/>
  <c r="BA84" i="2"/>
  <c r="BB84" i="2"/>
  <c r="BB80" i="2"/>
  <c r="BA80" i="2"/>
  <c r="AZ80" i="2"/>
  <c r="AY80" i="2"/>
  <c r="AX80" i="2"/>
  <c r="AX74" i="2"/>
  <c r="AY74" i="2"/>
  <c r="AZ74" i="2"/>
  <c r="BA74" i="2"/>
  <c r="BB74" i="2"/>
  <c r="BC74" i="2"/>
  <c r="AX75" i="2"/>
  <c r="AY75" i="2"/>
  <c r="AZ75" i="2"/>
  <c r="BA75" i="2"/>
  <c r="BB75" i="2"/>
  <c r="BC75" i="2"/>
  <c r="AX76" i="2"/>
  <c r="AY76" i="2"/>
  <c r="AZ76" i="2"/>
  <c r="BA76" i="2"/>
  <c r="BB76" i="2"/>
  <c r="BC76" i="2"/>
  <c r="AX77" i="2"/>
  <c r="AY77" i="2"/>
  <c r="AZ77" i="2"/>
  <c r="BA77" i="2"/>
  <c r="BB77" i="2"/>
  <c r="BC77" i="2"/>
  <c r="BC73" i="2"/>
  <c r="BB73" i="2"/>
  <c r="BA73" i="2"/>
  <c r="AZ73" i="2"/>
  <c r="AY73" i="2"/>
  <c r="AX73" i="2"/>
  <c r="AX68" i="2"/>
  <c r="AY68" i="2"/>
  <c r="AZ68" i="2"/>
  <c r="BA68" i="2"/>
  <c r="BB68" i="2"/>
  <c r="BC68" i="2"/>
  <c r="AX69" i="2"/>
  <c r="AY69" i="2"/>
  <c r="AZ69" i="2"/>
  <c r="BA69" i="2"/>
  <c r="BB69" i="2"/>
  <c r="BC69" i="2"/>
  <c r="AX70" i="2"/>
  <c r="AY70" i="2"/>
  <c r="AZ70" i="2"/>
  <c r="BA70" i="2"/>
  <c r="BB70" i="2"/>
  <c r="BC70" i="2"/>
  <c r="BC66" i="2"/>
  <c r="BB66" i="2"/>
  <c r="BA66" i="2"/>
  <c r="AZ66" i="2"/>
  <c r="AY66" i="2"/>
  <c r="AX66" i="2"/>
  <c r="AX61" i="2"/>
  <c r="AY61" i="2"/>
  <c r="AZ61" i="2"/>
  <c r="BA61" i="2"/>
  <c r="BB61" i="2"/>
  <c r="BC61" i="2"/>
  <c r="AX62" i="2"/>
  <c r="AY62" i="2"/>
  <c r="AZ62" i="2"/>
  <c r="BA62" i="2"/>
  <c r="BB62" i="2"/>
  <c r="BC62" i="2"/>
  <c r="AX63" i="2"/>
  <c r="AY63" i="2"/>
  <c r="AZ63" i="2"/>
  <c r="BA63" i="2"/>
  <c r="BB63" i="2"/>
  <c r="BC63" i="2"/>
  <c r="BC59" i="2"/>
  <c r="BB59" i="2"/>
  <c r="BA59" i="2"/>
  <c r="AZ59" i="2"/>
  <c r="AY59" i="2"/>
  <c r="AX59" i="2"/>
  <c r="AX54" i="2"/>
  <c r="AY54" i="2"/>
  <c r="AZ54" i="2"/>
  <c r="BA54" i="2"/>
  <c r="BB54" i="2"/>
  <c r="BC54" i="2"/>
  <c r="AX55" i="2"/>
  <c r="AY55" i="2"/>
  <c r="AZ55" i="2"/>
  <c r="BA55" i="2"/>
  <c r="BB55" i="2"/>
  <c r="BC55" i="2"/>
  <c r="AX56" i="2"/>
  <c r="AY56" i="2"/>
  <c r="AZ56" i="2"/>
  <c r="BA56" i="2"/>
  <c r="BB56" i="2"/>
  <c r="BC56" i="2"/>
  <c r="BC52" i="2"/>
  <c r="BB52" i="2"/>
  <c r="BA52" i="2"/>
  <c r="AZ52" i="2"/>
  <c r="AY52" i="2"/>
  <c r="AX52" i="2"/>
  <c r="AX47" i="2"/>
  <c r="AY47" i="2"/>
  <c r="AZ47" i="2"/>
  <c r="BA47" i="2"/>
  <c r="BB47" i="2"/>
  <c r="BC47" i="2"/>
  <c r="AX48" i="2"/>
  <c r="AY48" i="2"/>
  <c r="AZ48" i="2"/>
  <c r="BA48" i="2"/>
  <c r="BB48" i="2"/>
  <c r="BC48" i="2"/>
  <c r="AX49" i="2"/>
  <c r="AY49" i="2"/>
  <c r="AZ49" i="2"/>
  <c r="BA49" i="2"/>
  <c r="BB49" i="2"/>
  <c r="BC49" i="2"/>
  <c r="BC45" i="2"/>
  <c r="BA45" i="2"/>
  <c r="AZ45" i="2"/>
  <c r="AY45" i="2"/>
  <c r="AX45" i="2"/>
  <c r="AX40" i="2"/>
  <c r="AY40" i="2"/>
  <c r="AZ40" i="2"/>
  <c r="BA40" i="2"/>
  <c r="BB40" i="2"/>
  <c r="BC40" i="2"/>
  <c r="AX41" i="2"/>
  <c r="AY41" i="2"/>
  <c r="AZ41" i="2"/>
  <c r="BA41" i="2"/>
  <c r="BB41" i="2"/>
  <c r="BC41" i="2"/>
  <c r="AX42" i="2"/>
  <c r="AY42" i="2"/>
  <c r="AZ42" i="2"/>
  <c r="BA42" i="2"/>
  <c r="BB42" i="2"/>
  <c r="BC42" i="2"/>
  <c r="BC38" i="2"/>
  <c r="BB38" i="2"/>
  <c r="BA38" i="2"/>
  <c r="AZ38" i="2"/>
  <c r="AY38" i="2"/>
  <c r="AX38" i="2"/>
  <c r="AX33" i="2"/>
  <c r="AY33" i="2"/>
  <c r="AZ33" i="2"/>
  <c r="BA33" i="2"/>
  <c r="BB33" i="2"/>
  <c r="BC33" i="2"/>
  <c r="AX34" i="2"/>
  <c r="AY34" i="2"/>
  <c r="AZ34" i="2"/>
  <c r="BA34" i="2"/>
  <c r="BB34" i="2"/>
  <c r="BC34" i="2"/>
  <c r="AX35" i="2"/>
  <c r="AY35" i="2"/>
  <c r="AZ35" i="2"/>
  <c r="BA35" i="2"/>
  <c r="BB35" i="2"/>
  <c r="BC35" i="2"/>
  <c r="BC31" i="2"/>
  <c r="BB31" i="2"/>
  <c r="BA31" i="2"/>
  <c r="AZ31" i="2"/>
  <c r="AY31" i="2"/>
  <c r="AX31" i="2"/>
  <c r="AX26" i="2"/>
  <c r="AY26" i="2"/>
  <c r="AZ26" i="2"/>
  <c r="BA26" i="2"/>
  <c r="BB26" i="2"/>
  <c r="BC26" i="2"/>
  <c r="AX27" i="2"/>
  <c r="AY27" i="2"/>
  <c r="AZ27" i="2"/>
  <c r="BA27" i="2"/>
  <c r="BB27" i="2"/>
  <c r="BC27" i="2"/>
  <c r="AX28" i="2"/>
  <c r="AY28" i="2"/>
  <c r="AZ28" i="2"/>
  <c r="BA28" i="2"/>
  <c r="BB28" i="2"/>
  <c r="BC28" i="2"/>
  <c r="BC24" i="2"/>
  <c r="BB24" i="2"/>
  <c r="BA24" i="2"/>
  <c r="AZ24" i="2"/>
  <c r="AY24" i="2"/>
  <c r="AX24" i="2"/>
  <c r="E29" i="2"/>
  <c r="F29" i="2"/>
  <c r="G29" i="2"/>
  <c r="H29" i="2"/>
  <c r="I29" i="2"/>
  <c r="J29" i="2"/>
  <c r="K29" i="2"/>
  <c r="L29" i="2"/>
  <c r="M29" i="2"/>
  <c r="BG29" i="2" s="1"/>
  <c r="N29" i="2"/>
  <c r="BH29" i="2" s="1"/>
  <c r="O29" i="2"/>
  <c r="BI29" i="2" s="1"/>
  <c r="P29" i="2"/>
  <c r="BJ29" i="2" s="1"/>
  <c r="Q29" i="2"/>
  <c r="BK29" i="2" s="1"/>
  <c r="R29" i="2"/>
  <c r="BL29" i="2" s="1"/>
  <c r="S29" i="2"/>
  <c r="BM29" i="2" s="1"/>
  <c r="T29" i="2"/>
  <c r="BN29" i="2" s="1"/>
  <c r="U29" i="2"/>
  <c r="BO29" i="2" s="1"/>
  <c r="E36" i="2"/>
  <c r="F36" i="2"/>
  <c r="G36" i="2"/>
  <c r="H36" i="2"/>
  <c r="I36" i="2"/>
  <c r="J36" i="2"/>
  <c r="K36" i="2"/>
  <c r="L36" i="2"/>
  <c r="M36" i="2"/>
  <c r="BG36" i="2" s="1"/>
  <c r="N36" i="2"/>
  <c r="BH36" i="2" s="1"/>
  <c r="O36" i="2"/>
  <c r="BI36" i="2" s="1"/>
  <c r="P36" i="2"/>
  <c r="BJ36" i="2" s="1"/>
  <c r="Q36" i="2"/>
  <c r="BK36" i="2" s="1"/>
  <c r="R36" i="2"/>
  <c r="BL36" i="2" s="1"/>
  <c r="S36" i="2"/>
  <c r="BM36" i="2" s="1"/>
  <c r="T36" i="2"/>
  <c r="BN36" i="2" s="1"/>
  <c r="U36" i="2"/>
  <c r="BO36" i="2" s="1"/>
  <c r="E43" i="2"/>
  <c r="F43" i="2"/>
  <c r="G43" i="2"/>
  <c r="H43" i="2"/>
  <c r="I43" i="2"/>
  <c r="J43" i="2"/>
  <c r="K43" i="2"/>
  <c r="L43" i="2"/>
  <c r="M43" i="2"/>
  <c r="BG43" i="2" s="1"/>
  <c r="N43" i="2"/>
  <c r="BH43" i="2" s="1"/>
  <c r="O43" i="2"/>
  <c r="BI43" i="2" s="1"/>
  <c r="P43" i="2"/>
  <c r="BJ43" i="2" s="1"/>
  <c r="Q43" i="2"/>
  <c r="BK43" i="2" s="1"/>
  <c r="R43" i="2"/>
  <c r="BL43" i="2" s="1"/>
  <c r="S43" i="2"/>
  <c r="BM43" i="2" s="1"/>
  <c r="T43" i="2"/>
  <c r="BN43" i="2" s="1"/>
  <c r="U43" i="2"/>
  <c r="BO43" i="2" s="1"/>
  <c r="E50" i="2"/>
  <c r="F50" i="2"/>
  <c r="G50" i="2"/>
  <c r="H50" i="2"/>
  <c r="H57" i="2" s="1"/>
  <c r="I50" i="2"/>
  <c r="J50" i="2"/>
  <c r="K50" i="2"/>
  <c r="L50" i="2"/>
  <c r="M50" i="2"/>
  <c r="BG50" i="2" s="1"/>
  <c r="N50" i="2"/>
  <c r="BH50" i="2" s="1"/>
  <c r="O50" i="2"/>
  <c r="BI50" i="2" s="1"/>
  <c r="P50" i="2"/>
  <c r="BJ50" i="2" s="1"/>
  <c r="Q50" i="2"/>
  <c r="BK50" i="2" s="1"/>
  <c r="R50" i="2"/>
  <c r="BL50" i="2" s="1"/>
  <c r="S50" i="2"/>
  <c r="BM50" i="2" s="1"/>
  <c r="T50" i="2"/>
  <c r="BN50" i="2" s="1"/>
  <c r="U50" i="2"/>
  <c r="BO50" i="2" s="1"/>
  <c r="E57" i="2"/>
  <c r="F57" i="2"/>
  <c r="G57" i="2"/>
  <c r="I57" i="2"/>
  <c r="J57" i="2"/>
  <c r="K57" i="2"/>
  <c r="L57" i="2"/>
  <c r="M57" i="2"/>
  <c r="BG57" i="2" s="1"/>
  <c r="N57" i="2"/>
  <c r="BH57" i="2" s="1"/>
  <c r="O57" i="2"/>
  <c r="BI57" i="2" s="1"/>
  <c r="P57" i="2"/>
  <c r="BJ57" i="2" s="1"/>
  <c r="Q57" i="2"/>
  <c r="BK57" i="2" s="1"/>
  <c r="R57" i="2"/>
  <c r="BL57" i="2" s="1"/>
  <c r="S57" i="2"/>
  <c r="BM57" i="2" s="1"/>
  <c r="T57" i="2"/>
  <c r="BN57" i="2" s="1"/>
  <c r="U57" i="2"/>
  <c r="BO57" i="2" s="1"/>
  <c r="E64" i="2"/>
  <c r="F64" i="2"/>
  <c r="G64" i="2"/>
  <c r="H64" i="2"/>
  <c r="I64" i="2"/>
  <c r="J64" i="2"/>
  <c r="K64" i="2"/>
  <c r="L64" i="2"/>
  <c r="M64" i="2"/>
  <c r="BG64" i="2" s="1"/>
  <c r="N64" i="2"/>
  <c r="BH64" i="2" s="1"/>
  <c r="O64" i="2"/>
  <c r="BI64" i="2" s="1"/>
  <c r="P64" i="2"/>
  <c r="BJ64" i="2" s="1"/>
  <c r="Q64" i="2"/>
  <c r="BK64" i="2" s="1"/>
  <c r="R64" i="2"/>
  <c r="BL64" i="2" s="1"/>
  <c r="S64" i="2"/>
  <c r="BM64" i="2" s="1"/>
  <c r="T64" i="2"/>
  <c r="BN64" i="2" s="1"/>
  <c r="U64" i="2"/>
  <c r="BO64" i="2" s="1"/>
  <c r="E71" i="2"/>
  <c r="F71" i="2"/>
  <c r="G71" i="2"/>
  <c r="H71" i="2"/>
  <c r="I71" i="2"/>
  <c r="J71" i="2"/>
  <c r="K71" i="2"/>
  <c r="L71" i="2"/>
  <c r="M71" i="2"/>
  <c r="BG71" i="2" s="1"/>
  <c r="N71" i="2"/>
  <c r="BH71" i="2" s="1"/>
  <c r="O71" i="2"/>
  <c r="BI71" i="2" s="1"/>
  <c r="P71" i="2"/>
  <c r="BJ71" i="2" s="1"/>
  <c r="Q71" i="2"/>
  <c r="BK71" i="2" s="1"/>
  <c r="R71" i="2"/>
  <c r="BL71" i="2" s="1"/>
  <c r="S71" i="2"/>
  <c r="BM71" i="2" s="1"/>
  <c r="T71" i="2"/>
  <c r="BN71" i="2" s="1"/>
  <c r="U71" i="2"/>
  <c r="BO71" i="2" s="1"/>
  <c r="E78" i="2"/>
  <c r="F78" i="2"/>
  <c r="G78" i="2"/>
  <c r="H78" i="2"/>
  <c r="J78" i="2"/>
  <c r="K78" i="2"/>
  <c r="L78" i="2"/>
  <c r="O78" i="2"/>
  <c r="BI78" i="2" s="1"/>
  <c r="P78" i="2"/>
  <c r="BJ78" i="2" s="1"/>
  <c r="Q78" i="2"/>
  <c r="BK78" i="2" s="1"/>
  <c r="R78" i="2"/>
  <c r="BL78" i="2" s="1"/>
  <c r="S78" i="2"/>
  <c r="BM78" i="2" s="1"/>
  <c r="T78" i="2"/>
  <c r="BN78" i="2" s="1"/>
  <c r="U78" i="2"/>
  <c r="BO78" i="2" s="1"/>
  <c r="E85" i="2"/>
  <c r="F85" i="2"/>
  <c r="G85" i="2"/>
  <c r="H85" i="2"/>
  <c r="I85" i="2"/>
  <c r="J85" i="2"/>
  <c r="K85" i="2"/>
  <c r="L85" i="2"/>
  <c r="M85" i="2"/>
  <c r="BG85" i="2" s="1"/>
  <c r="N85" i="2"/>
  <c r="BH85" i="2" s="1"/>
  <c r="O85" i="2"/>
  <c r="BI85" i="2" s="1"/>
  <c r="P85" i="2"/>
  <c r="BJ85" i="2" s="1"/>
  <c r="Q85" i="2"/>
  <c r="BK85" i="2" s="1"/>
  <c r="R85" i="2"/>
  <c r="BL85" i="2" s="1"/>
  <c r="S85" i="2"/>
  <c r="BM85" i="2" s="1"/>
  <c r="T85" i="2"/>
  <c r="BN85" i="2" s="1"/>
  <c r="E92" i="2"/>
  <c r="F92" i="2"/>
  <c r="G92" i="2"/>
  <c r="H92" i="2"/>
  <c r="I92" i="2"/>
  <c r="J92" i="2"/>
  <c r="BD92" i="2" s="1"/>
  <c r="K92" i="2"/>
  <c r="BE92" i="2" s="1"/>
  <c r="L92" i="2"/>
  <c r="BF92" i="2" s="1"/>
  <c r="M92" i="2"/>
  <c r="BG92" i="2" s="1"/>
  <c r="N92" i="2"/>
  <c r="BH92" i="2" s="1"/>
  <c r="O92" i="2"/>
  <c r="BI92" i="2" s="1"/>
  <c r="P92" i="2"/>
  <c r="BJ92" i="2" s="1"/>
  <c r="Q92" i="2"/>
  <c r="BK92" i="2" s="1"/>
  <c r="R92" i="2"/>
  <c r="BL92" i="2" s="1"/>
  <c r="S92" i="2"/>
  <c r="BM92" i="2" s="1"/>
  <c r="T92" i="2"/>
  <c r="BN92" i="2" s="1"/>
  <c r="U92" i="2"/>
  <c r="BO92" i="2" s="1"/>
  <c r="D29" i="2"/>
  <c r="D36" i="2"/>
  <c r="D43" i="2"/>
  <c r="D50" i="2"/>
  <c r="D57" i="2"/>
  <c r="D64" i="2"/>
  <c r="D71" i="2"/>
  <c r="D85" i="2"/>
  <c r="D92" i="2"/>
  <c r="C92" i="2"/>
  <c r="C85" i="2"/>
  <c r="C78" i="2"/>
  <c r="C71" i="2"/>
  <c r="C64" i="2"/>
  <c r="C57" i="2"/>
  <c r="C50" i="2"/>
  <c r="C43" i="2"/>
  <c r="C36" i="2"/>
  <c r="AY17" i="2"/>
  <c r="AZ17" i="2"/>
  <c r="BA17" i="2"/>
  <c r="BB17" i="2"/>
  <c r="BC17" i="2"/>
  <c r="AY19" i="2"/>
  <c r="AZ19" i="2"/>
  <c r="BA19" i="2"/>
  <c r="BB19" i="2"/>
  <c r="BC19" i="2"/>
  <c r="AY20" i="2"/>
  <c r="AZ20" i="2"/>
  <c r="BA20" i="2"/>
  <c r="BB20" i="2"/>
  <c r="BC20" i="2"/>
  <c r="AY21" i="2"/>
  <c r="AZ21" i="2"/>
  <c r="BA21" i="2"/>
  <c r="BB21" i="2"/>
  <c r="BC21" i="2"/>
  <c r="AX17" i="2"/>
  <c r="AX19" i="2"/>
  <c r="AX20" i="2"/>
  <c r="AX21" i="2"/>
  <c r="E22" i="2"/>
  <c r="F22" i="2"/>
  <c r="G22" i="2"/>
  <c r="H22" i="2"/>
  <c r="I22" i="2"/>
  <c r="J22" i="2"/>
  <c r="K22" i="2"/>
  <c r="L22" i="2"/>
  <c r="M22" i="2"/>
  <c r="BG22" i="2" s="1"/>
  <c r="N22" i="2"/>
  <c r="BH22" i="2" s="1"/>
  <c r="O22" i="2"/>
  <c r="BI22" i="2" s="1"/>
  <c r="P22" i="2"/>
  <c r="BJ22" i="2" s="1"/>
  <c r="Q22" i="2"/>
  <c r="BK22" i="2" s="1"/>
  <c r="R22" i="2"/>
  <c r="BL22" i="2" s="1"/>
  <c r="S22" i="2"/>
  <c r="BM22" i="2" s="1"/>
  <c r="T22" i="2"/>
  <c r="BN22" i="2" s="1"/>
  <c r="U22" i="2"/>
  <c r="BO22" i="2" s="1"/>
  <c r="D22" i="2"/>
  <c r="C22" i="2"/>
  <c r="AY10" i="2"/>
  <c r="AZ10" i="2"/>
  <c r="BA10" i="2"/>
  <c r="BB10" i="2"/>
  <c r="BC10" i="2"/>
  <c r="AY12" i="2"/>
  <c r="AZ12" i="2"/>
  <c r="BA12" i="2"/>
  <c r="BB12" i="2"/>
  <c r="BC12" i="2"/>
  <c r="AY13" i="2"/>
  <c r="AZ13" i="2"/>
  <c r="BA13" i="2"/>
  <c r="BB13" i="2"/>
  <c r="BC13" i="2"/>
  <c r="AY14" i="2"/>
  <c r="AZ14" i="2"/>
  <c r="BA14" i="2"/>
  <c r="BB14" i="2"/>
  <c r="BC14" i="2"/>
  <c r="AX10" i="2"/>
  <c r="AX12" i="2"/>
  <c r="AX13" i="2"/>
  <c r="AX14" i="2"/>
  <c r="M15" i="2"/>
  <c r="BG15" i="2" s="1"/>
  <c r="N15" i="2"/>
  <c r="BH15" i="2" s="1"/>
  <c r="O15" i="2"/>
  <c r="BI15" i="2" s="1"/>
  <c r="P15" i="2"/>
  <c r="BJ15" i="2" s="1"/>
  <c r="Q15" i="2"/>
  <c r="BK15" i="2" s="1"/>
  <c r="R15" i="2"/>
  <c r="BL15" i="2" s="1"/>
  <c r="S15" i="2"/>
  <c r="BM15" i="2" s="1"/>
  <c r="T15" i="2"/>
  <c r="BN15" i="2" s="1"/>
  <c r="U15" i="2"/>
  <c r="BO15" i="2" s="1"/>
  <c r="AY136" i="2"/>
  <c r="AZ136" i="2"/>
  <c r="BA136" i="2"/>
  <c r="BB136" i="2"/>
  <c r="BC136" i="2"/>
  <c r="AY138" i="2"/>
  <c r="AZ138" i="2"/>
  <c r="BA138" i="2"/>
  <c r="BB138" i="2"/>
  <c r="BC138" i="2"/>
  <c r="AY139" i="2"/>
  <c r="AZ139" i="2"/>
  <c r="BA139" i="2"/>
  <c r="BB139" i="2"/>
  <c r="BC139" i="2"/>
  <c r="AY140" i="2"/>
  <c r="AZ140" i="2"/>
  <c r="BA140" i="2"/>
  <c r="BB140" i="2"/>
  <c r="BC140" i="2"/>
  <c r="AX136" i="2"/>
  <c r="AX138" i="2"/>
  <c r="AX139" i="2"/>
  <c r="AX140" i="2"/>
  <c r="E141" i="2"/>
  <c r="F141" i="2"/>
  <c r="G141" i="2"/>
  <c r="H141" i="2"/>
  <c r="I141" i="2"/>
  <c r="J141" i="2"/>
  <c r="K141" i="2"/>
  <c r="L141" i="2"/>
  <c r="M141" i="2"/>
  <c r="BG141" i="2" s="1"/>
  <c r="N141" i="2"/>
  <c r="BH141" i="2" s="1"/>
  <c r="O141" i="2"/>
  <c r="BI141" i="2" s="1"/>
  <c r="P141" i="2"/>
  <c r="BJ141" i="2" s="1"/>
  <c r="Q141" i="2"/>
  <c r="BK141" i="2" s="1"/>
  <c r="R141" i="2"/>
  <c r="BL141" i="2" s="1"/>
  <c r="S141" i="2"/>
  <c r="BM141" i="2" s="1"/>
  <c r="T141" i="2"/>
  <c r="BN141" i="2" s="1"/>
  <c r="U141" i="2"/>
  <c r="BO141" i="2" s="1"/>
  <c r="D141" i="2"/>
  <c r="C141" i="2"/>
  <c r="AY129" i="2"/>
  <c r="AZ129" i="2"/>
  <c r="BA129" i="2"/>
  <c r="BB129" i="2"/>
  <c r="BC129" i="2"/>
  <c r="AY131" i="2"/>
  <c r="AZ131" i="2"/>
  <c r="BA131" i="2"/>
  <c r="BB131" i="2"/>
  <c r="BC131" i="2"/>
  <c r="AY132" i="2"/>
  <c r="AZ132" i="2"/>
  <c r="BA132" i="2"/>
  <c r="BB132" i="2"/>
  <c r="BC132" i="2"/>
  <c r="AY133" i="2"/>
  <c r="AZ133" i="2"/>
  <c r="BA133" i="2"/>
  <c r="BB133" i="2"/>
  <c r="BC133" i="2"/>
  <c r="AX129" i="2"/>
  <c r="AX131" i="2"/>
  <c r="AX132" i="2"/>
  <c r="AX133" i="2"/>
  <c r="E134" i="2"/>
  <c r="F134" i="2"/>
  <c r="G134" i="2"/>
  <c r="H134" i="2"/>
  <c r="I134" i="2"/>
  <c r="J134" i="2"/>
  <c r="K134" i="2"/>
  <c r="L134" i="2"/>
  <c r="M134" i="2"/>
  <c r="BG134" i="2" s="1"/>
  <c r="N134" i="2"/>
  <c r="BH134" i="2" s="1"/>
  <c r="O134" i="2"/>
  <c r="BI134" i="2" s="1"/>
  <c r="P134" i="2"/>
  <c r="BJ134" i="2" s="1"/>
  <c r="Q134" i="2"/>
  <c r="BK134" i="2" s="1"/>
  <c r="R134" i="2"/>
  <c r="BL134" i="2" s="1"/>
  <c r="S134" i="2"/>
  <c r="BM134" i="2" s="1"/>
  <c r="T134" i="2"/>
  <c r="BN134" i="2" s="1"/>
  <c r="U134" i="2"/>
  <c r="BO134" i="2" s="1"/>
  <c r="D134" i="2"/>
  <c r="C134" i="2"/>
  <c r="AY122" i="2"/>
  <c r="AZ122" i="2"/>
  <c r="BA122" i="2"/>
  <c r="BB122" i="2"/>
  <c r="BC122" i="2"/>
  <c r="AY124" i="2"/>
  <c r="AZ124" i="2"/>
  <c r="BA124" i="2"/>
  <c r="BB124" i="2"/>
  <c r="BC124" i="2"/>
  <c r="AY125" i="2"/>
  <c r="AZ125" i="2"/>
  <c r="BA125" i="2"/>
  <c r="BB125" i="2"/>
  <c r="BC125" i="2"/>
  <c r="AY126" i="2"/>
  <c r="AZ126" i="2"/>
  <c r="BA126" i="2"/>
  <c r="BB126" i="2"/>
  <c r="BC126" i="2"/>
  <c r="AX122" i="2"/>
  <c r="AX124" i="2"/>
  <c r="AX125" i="2"/>
  <c r="AX126" i="2"/>
  <c r="G127" i="2"/>
  <c r="H127" i="2"/>
  <c r="I127" i="2"/>
  <c r="J127" i="2"/>
  <c r="K127" i="2"/>
  <c r="L127" i="2"/>
  <c r="M127" i="2"/>
  <c r="BG127" i="2" s="1"/>
  <c r="N127" i="2"/>
  <c r="BH127" i="2" s="1"/>
  <c r="O127" i="2"/>
  <c r="BI127" i="2" s="1"/>
  <c r="P127" i="2"/>
  <c r="BJ127" i="2" s="1"/>
  <c r="Q127" i="2"/>
  <c r="BK127" i="2" s="1"/>
  <c r="R127" i="2"/>
  <c r="BL127" i="2" s="1"/>
  <c r="S127" i="2"/>
  <c r="BM127" i="2" s="1"/>
  <c r="T127" i="2"/>
  <c r="BN127" i="2" s="1"/>
  <c r="U127" i="2"/>
  <c r="BO127" i="2" s="1"/>
  <c r="E127" i="2"/>
  <c r="F127" i="2"/>
  <c r="D127" i="2"/>
  <c r="C127" i="2"/>
  <c r="AY108" i="2"/>
  <c r="AZ108" i="2"/>
  <c r="BA108" i="2"/>
  <c r="BB108" i="2"/>
  <c r="BC108" i="2"/>
  <c r="AY109" i="2"/>
  <c r="AZ109" i="2"/>
  <c r="BA109" i="2"/>
  <c r="BB109" i="2"/>
  <c r="BC109" i="2"/>
  <c r="AY110" i="2"/>
  <c r="AZ110" i="2"/>
  <c r="BA110" i="2"/>
  <c r="BB110" i="2"/>
  <c r="BC110" i="2"/>
  <c r="AY111" i="2"/>
  <c r="AZ111" i="2"/>
  <c r="BA111" i="2"/>
  <c r="BB111" i="2"/>
  <c r="BC111" i="2"/>
  <c r="AY112" i="2"/>
  <c r="AZ112" i="2"/>
  <c r="BA112" i="2"/>
  <c r="BB112" i="2"/>
  <c r="BC112" i="2"/>
  <c r="AX108" i="2"/>
  <c r="AX109" i="2"/>
  <c r="AX110" i="2"/>
  <c r="AX111" i="2"/>
  <c r="AX112" i="2"/>
  <c r="E113" i="2"/>
  <c r="F113" i="2"/>
  <c r="G113" i="2"/>
  <c r="H113" i="2"/>
  <c r="I113" i="2"/>
  <c r="J113" i="2"/>
  <c r="K113" i="2"/>
  <c r="L113" i="2"/>
  <c r="M113" i="2"/>
  <c r="BG113" i="2" s="1"/>
  <c r="N113" i="2"/>
  <c r="BH113" i="2" s="1"/>
  <c r="O113" i="2"/>
  <c r="BI113" i="2" s="1"/>
  <c r="P113" i="2"/>
  <c r="BJ113" i="2" s="1"/>
  <c r="Q113" i="2"/>
  <c r="BK113" i="2" s="1"/>
  <c r="R113" i="2"/>
  <c r="BL113" i="2" s="1"/>
  <c r="S113" i="2"/>
  <c r="BM113" i="2" s="1"/>
  <c r="T113" i="2"/>
  <c r="BN113" i="2" s="1"/>
  <c r="U113" i="2"/>
  <c r="BO113" i="2" s="1"/>
  <c r="D113" i="2"/>
  <c r="C113" i="2"/>
  <c r="AX101" i="2"/>
  <c r="AY101" i="2"/>
  <c r="AZ101" i="2"/>
  <c r="BA101" i="2"/>
  <c r="BB101" i="2"/>
  <c r="BC101" i="2"/>
  <c r="AX102" i="2"/>
  <c r="AY102" i="2"/>
  <c r="AZ102" i="2"/>
  <c r="BA102" i="2"/>
  <c r="BB102" i="2"/>
  <c r="BC102" i="2"/>
  <c r="AX103" i="2"/>
  <c r="AY103" i="2"/>
  <c r="AZ103" i="2"/>
  <c r="BA103" i="2"/>
  <c r="BB103" i="2"/>
  <c r="BC103" i="2"/>
  <c r="AX104" i="2"/>
  <c r="AY104" i="2"/>
  <c r="AZ104" i="2"/>
  <c r="BA104" i="2"/>
  <c r="BB104" i="2"/>
  <c r="BC104" i="2"/>
  <c r="AX105" i="2"/>
  <c r="AY105" i="2"/>
  <c r="AZ105" i="2"/>
  <c r="BA105" i="2"/>
  <c r="BB105" i="2"/>
  <c r="BC105" i="2"/>
  <c r="E106" i="2"/>
  <c r="F106" i="2"/>
  <c r="G106" i="2"/>
  <c r="H106" i="2"/>
  <c r="I106" i="2"/>
  <c r="J106" i="2"/>
  <c r="K106" i="2"/>
  <c r="L106" i="2"/>
  <c r="M106" i="2"/>
  <c r="BG106" i="2" s="1"/>
  <c r="N106" i="2"/>
  <c r="BH106" i="2" s="1"/>
  <c r="O106" i="2"/>
  <c r="BI106" i="2" s="1"/>
  <c r="P106" i="2"/>
  <c r="BJ106" i="2" s="1"/>
  <c r="Q106" i="2"/>
  <c r="BK106" i="2" s="1"/>
  <c r="R106" i="2"/>
  <c r="BL106" i="2" s="1"/>
  <c r="S106" i="2"/>
  <c r="BM106" i="2" s="1"/>
  <c r="T106" i="2"/>
  <c r="BN106" i="2" s="1"/>
  <c r="U106" i="2"/>
  <c r="BO106" i="2" s="1"/>
  <c r="C106" i="2"/>
  <c r="D94" i="2"/>
  <c r="D115" i="2" s="1"/>
  <c r="E94" i="2"/>
  <c r="E115" i="2" s="1"/>
  <c r="F94" i="2"/>
  <c r="F115" i="2" s="1"/>
  <c r="G94" i="2"/>
  <c r="G115" i="2" s="1"/>
  <c r="H94" i="2"/>
  <c r="I94" i="2"/>
  <c r="I115" i="2" s="1"/>
  <c r="J94" i="2"/>
  <c r="BD94" i="2" s="1"/>
  <c r="K94" i="2"/>
  <c r="L94" i="2"/>
  <c r="M94" i="2"/>
  <c r="N94" i="2"/>
  <c r="O94" i="2"/>
  <c r="BI94" i="2" s="1"/>
  <c r="P94" i="2"/>
  <c r="Q94" i="2"/>
  <c r="R94" i="2"/>
  <c r="BL94" i="2" s="1"/>
  <c r="S94" i="2"/>
  <c r="T94" i="2"/>
  <c r="U115" i="2"/>
  <c r="BO115" i="2" s="1"/>
  <c r="D95" i="2"/>
  <c r="E95" i="2"/>
  <c r="E116" i="2" s="1"/>
  <c r="F95" i="2"/>
  <c r="G95" i="2"/>
  <c r="H95" i="2"/>
  <c r="H116" i="2" s="1"/>
  <c r="I95" i="2"/>
  <c r="I116" i="2" s="1"/>
  <c r="J95" i="2"/>
  <c r="K95" i="2"/>
  <c r="L95" i="2"/>
  <c r="M95" i="2"/>
  <c r="N95" i="2"/>
  <c r="O95" i="2"/>
  <c r="BI95" i="2" s="1"/>
  <c r="P95" i="2"/>
  <c r="Q95" i="2"/>
  <c r="R95" i="2"/>
  <c r="S95" i="2"/>
  <c r="T95" i="2"/>
  <c r="U116" i="2"/>
  <c r="BO116" i="2" s="1"/>
  <c r="D96" i="2"/>
  <c r="D117" i="2" s="1"/>
  <c r="E96" i="2"/>
  <c r="E117" i="2" s="1"/>
  <c r="F96" i="2"/>
  <c r="G96" i="2"/>
  <c r="G117" i="2" s="1"/>
  <c r="H96" i="2"/>
  <c r="H117" i="2" s="1"/>
  <c r="I96" i="2"/>
  <c r="BC96" i="2" s="1"/>
  <c r="J96" i="2"/>
  <c r="K96" i="2"/>
  <c r="L96" i="2"/>
  <c r="BF96" i="2" s="1"/>
  <c r="M96" i="2"/>
  <c r="N96" i="2"/>
  <c r="O96" i="2"/>
  <c r="BI96" i="2" s="1"/>
  <c r="P96" i="2"/>
  <c r="Q96" i="2"/>
  <c r="R96" i="2"/>
  <c r="S96" i="2"/>
  <c r="T96" i="2"/>
  <c r="BN96" i="2" s="1"/>
  <c r="U117" i="2"/>
  <c r="BO117" i="2" s="1"/>
  <c r="D97" i="2"/>
  <c r="D118" i="2" s="1"/>
  <c r="E97" i="2"/>
  <c r="E118" i="2" s="1"/>
  <c r="F97" i="2"/>
  <c r="F118" i="2" s="1"/>
  <c r="G97" i="2"/>
  <c r="G118" i="2" s="1"/>
  <c r="H97" i="2"/>
  <c r="H118" i="2" s="1"/>
  <c r="I97" i="2"/>
  <c r="J97" i="2"/>
  <c r="K97" i="2"/>
  <c r="L97" i="2"/>
  <c r="M97" i="2"/>
  <c r="N97" i="2"/>
  <c r="O97" i="2"/>
  <c r="BI97" i="2" s="1"/>
  <c r="P97" i="2"/>
  <c r="Q97" i="2"/>
  <c r="R97" i="2"/>
  <c r="S97" i="2"/>
  <c r="T97" i="2"/>
  <c r="U118" i="2"/>
  <c r="BO118" i="2" s="1"/>
  <c r="D98" i="2"/>
  <c r="D119" i="2" s="1"/>
  <c r="E98" i="2"/>
  <c r="E119" i="2" s="1"/>
  <c r="F98" i="2"/>
  <c r="F119" i="2" s="1"/>
  <c r="G98" i="2"/>
  <c r="G119" i="2" s="1"/>
  <c r="H98" i="2"/>
  <c r="I98" i="2"/>
  <c r="I119" i="2" s="1"/>
  <c r="J98" i="2"/>
  <c r="K98" i="2"/>
  <c r="L98" i="2"/>
  <c r="M98" i="2"/>
  <c r="N98" i="2"/>
  <c r="O98" i="2"/>
  <c r="BI98" i="2" s="1"/>
  <c r="P98" i="2"/>
  <c r="BJ98" i="2" s="1"/>
  <c r="Q98" i="2"/>
  <c r="R98" i="2"/>
  <c r="S98" i="2"/>
  <c r="T98" i="2"/>
  <c r="U119" i="2"/>
  <c r="BO119" i="2" s="1"/>
  <c r="C95" i="2"/>
  <c r="C116" i="2" s="1"/>
  <c r="C96" i="2"/>
  <c r="C97" i="2"/>
  <c r="C118" i="2" s="1"/>
  <c r="C98" i="2"/>
  <c r="C119" i="2" s="1"/>
  <c r="C94" i="2"/>
  <c r="C115" i="2" s="1"/>
  <c r="T118" i="2" l="1"/>
  <c r="BN118" i="2" s="1"/>
  <c r="BN97" i="2"/>
  <c r="T116" i="2"/>
  <c r="BN116" i="2" s="1"/>
  <c r="BN95" i="2"/>
  <c r="T119" i="2"/>
  <c r="BN119" i="2" s="1"/>
  <c r="BN98" i="2"/>
  <c r="T115" i="2"/>
  <c r="BN115" i="2" s="1"/>
  <c r="BN94" i="2"/>
  <c r="R119" i="2"/>
  <c r="BL119" i="2" s="1"/>
  <c r="BL98" i="2"/>
  <c r="Q115" i="2"/>
  <c r="BK115" i="2" s="1"/>
  <c r="BK94" i="2"/>
  <c r="Q119" i="2"/>
  <c r="BK119" i="2" s="1"/>
  <c r="BK98" i="2"/>
  <c r="R118" i="2"/>
  <c r="BL118" i="2" s="1"/>
  <c r="BL97" i="2"/>
  <c r="S118" i="2"/>
  <c r="BM118" i="2" s="1"/>
  <c r="BM97" i="2"/>
  <c r="Q118" i="2"/>
  <c r="BK118" i="2" s="1"/>
  <c r="BK97" i="2"/>
  <c r="S117" i="2"/>
  <c r="BM117" i="2" s="1"/>
  <c r="BM96" i="2"/>
  <c r="R117" i="2"/>
  <c r="BL117" i="2" s="1"/>
  <c r="BL96" i="2"/>
  <c r="Q117" i="2"/>
  <c r="BK117" i="2" s="1"/>
  <c r="BK96" i="2"/>
  <c r="S116" i="2"/>
  <c r="BM116" i="2" s="1"/>
  <c r="BM95" i="2"/>
  <c r="R116" i="2"/>
  <c r="BL116" i="2" s="1"/>
  <c r="BL95" i="2"/>
  <c r="S119" i="2"/>
  <c r="BM119" i="2" s="1"/>
  <c r="BM98" i="2"/>
  <c r="Q116" i="2"/>
  <c r="BK116" i="2" s="1"/>
  <c r="BK95" i="2"/>
  <c r="S115" i="2"/>
  <c r="BM115" i="2" s="1"/>
  <c r="BM94" i="2"/>
  <c r="P118" i="2"/>
  <c r="BJ118" i="2" s="1"/>
  <c r="BJ97" i="2"/>
  <c r="P116" i="2"/>
  <c r="BJ116" i="2" s="1"/>
  <c r="BJ95" i="2"/>
  <c r="P115" i="2"/>
  <c r="BJ115" i="2" s="1"/>
  <c r="BJ94" i="2"/>
  <c r="P117" i="2"/>
  <c r="BJ117" i="2" s="1"/>
  <c r="BJ96" i="2"/>
  <c r="N117" i="2"/>
  <c r="BH117" i="2" s="1"/>
  <c r="BH96" i="2"/>
  <c r="M117" i="2"/>
  <c r="BG117" i="2" s="1"/>
  <c r="BG96" i="2"/>
  <c r="N116" i="2"/>
  <c r="BH116" i="2" s="1"/>
  <c r="BH95" i="2"/>
  <c r="M118" i="2"/>
  <c r="BG118" i="2" s="1"/>
  <c r="BG97" i="2"/>
  <c r="M116" i="2"/>
  <c r="BG116" i="2" s="1"/>
  <c r="BG95" i="2"/>
  <c r="N119" i="2"/>
  <c r="BH119" i="2" s="1"/>
  <c r="BH98" i="2"/>
  <c r="N115" i="2"/>
  <c r="BH115" i="2" s="1"/>
  <c r="BH94" i="2"/>
  <c r="M115" i="2"/>
  <c r="BG115" i="2" s="1"/>
  <c r="BG94" i="2"/>
  <c r="M119" i="2"/>
  <c r="BG119" i="2" s="1"/>
  <c r="BG98" i="2"/>
  <c r="N118" i="2"/>
  <c r="BH118" i="2" s="1"/>
  <c r="BH97" i="2"/>
  <c r="AW96" i="2"/>
  <c r="L116" i="2"/>
  <c r="BF116" i="2" s="1"/>
  <c r="BF95" i="2"/>
  <c r="L119" i="2"/>
  <c r="BF119" i="2" s="1"/>
  <c r="BF98" i="2"/>
  <c r="L115" i="2"/>
  <c r="BF115" i="2" s="1"/>
  <c r="BF94" i="2"/>
  <c r="L118" i="2"/>
  <c r="BF118" i="2" s="1"/>
  <c r="BF97" i="2"/>
  <c r="K116" i="2"/>
  <c r="BE116" i="2" s="1"/>
  <c r="BE95" i="2"/>
  <c r="K118" i="2"/>
  <c r="BE118" i="2" s="1"/>
  <c r="BE97" i="2"/>
  <c r="K115" i="2"/>
  <c r="BE115" i="2" s="1"/>
  <c r="BE94" i="2"/>
  <c r="K117" i="2"/>
  <c r="BE117" i="2" s="1"/>
  <c r="BE96" i="2"/>
  <c r="K119" i="2"/>
  <c r="BE119" i="2" s="1"/>
  <c r="BE98" i="2"/>
  <c r="AW95" i="2"/>
  <c r="AW94" i="2"/>
  <c r="J118" i="2"/>
  <c r="BD118" i="2" s="1"/>
  <c r="BD97" i="2"/>
  <c r="AZ95" i="2"/>
  <c r="O119" i="2"/>
  <c r="AW98" i="2"/>
  <c r="J117" i="2"/>
  <c r="BD117" i="2" s="1"/>
  <c r="BD96" i="2"/>
  <c r="AX92" i="2"/>
  <c r="O118" i="2"/>
  <c r="AW97" i="2"/>
  <c r="AZ92" i="2"/>
  <c r="AY92" i="2"/>
  <c r="BC92" i="2"/>
  <c r="BA92" i="2"/>
  <c r="BB92" i="2"/>
  <c r="J116" i="2"/>
  <c r="BD116" i="2" s="1"/>
  <c r="BD95" i="2"/>
  <c r="J119" i="2"/>
  <c r="BD119" i="2" s="1"/>
  <c r="BD98" i="2"/>
  <c r="BA78" i="2"/>
  <c r="AZ36" i="2"/>
  <c r="BC29" i="2"/>
  <c r="AX94" i="2"/>
  <c r="AZ96" i="2"/>
  <c r="AZ118" i="2"/>
  <c r="BC97" i="2"/>
  <c r="BB94" i="2"/>
  <c r="BB97" i="2"/>
  <c r="BB85" i="2"/>
  <c r="T99" i="2"/>
  <c r="BN99" i="2" s="1"/>
  <c r="BB78" i="2"/>
  <c r="BB57" i="2"/>
  <c r="BA134" i="2"/>
  <c r="BA119" i="2"/>
  <c r="BA118" i="2"/>
  <c r="BA95" i="2"/>
  <c r="BA36" i="2"/>
  <c r="BA29" i="2"/>
  <c r="AZ85" i="2"/>
  <c r="AZ71" i="2"/>
  <c r="AZ29" i="2"/>
  <c r="AY71" i="2"/>
  <c r="AY78" i="2"/>
  <c r="AY118" i="2"/>
  <c r="AY115" i="2"/>
  <c r="AX85" i="2"/>
  <c r="P99" i="2"/>
  <c r="BJ99" i="2" s="1"/>
  <c r="BB113" i="2"/>
  <c r="BC22" i="2"/>
  <c r="AY22" i="2"/>
  <c r="AZ22" i="2"/>
  <c r="AX22" i="2"/>
  <c r="BB22" i="2"/>
  <c r="BA22" i="2"/>
  <c r="AZ141" i="2"/>
  <c r="BA141" i="2"/>
  <c r="BB141" i="2"/>
  <c r="AY141" i="2"/>
  <c r="BC64" i="2"/>
  <c r="BC43" i="2"/>
  <c r="BC71" i="2"/>
  <c r="BC36" i="2"/>
  <c r="BC57" i="2"/>
  <c r="BC50" i="2"/>
  <c r="BB64" i="2"/>
  <c r="BB43" i="2"/>
  <c r="BB36" i="2"/>
  <c r="BB29" i="2"/>
  <c r="BB50" i="2"/>
  <c r="BA64" i="2"/>
  <c r="BA43" i="2"/>
  <c r="BA57" i="2"/>
  <c r="BA50" i="2"/>
  <c r="BA71" i="2"/>
  <c r="BB71" i="2"/>
  <c r="AX71" i="2"/>
  <c r="AZ64" i="2"/>
  <c r="AZ43" i="2"/>
  <c r="AZ57" i="2"/>
  <c r="AZ50" i="2"/>
  <c r="AY43" i="2"/>
  <c r="AY64" i="2"/>
  <c r="AY57" i="2"/>
  <c r="AX64" i="2"/>
  <c r="AX43" i="2"/>
  <c r="AX36" i="2"/>
  <c r="AX57" i="2"/>
  <c r="AX50" i="2"/>
  <c r="BC113" i="2"/>
  <c r="BC106" i="2"/>
  <c r="BB106" i="2"/>
  <c r="BA106" i="2"/>
  <c r="BA113" i="2"/>
  <c r="AZ113" i="2"/>
  <c r="AZ106" i="2"/>
  <c r="AY106" i="2"/>
  <c r="AY113" i="2"/>
  <c r="AX113" i="2"/>
  <c r="AX106" i="2"/>
  <c r="BC141" i="2"/>
  <c r="AX141" i="2"/>
  <c r="BC134" i="2"/>
  <c r="BB134" i="2"/>
  <c r="AZ134" i="2"/>
  <c r="AY134" i="2"/>
  <c r="AX134" i="2"/>
  <c r="BB127" i="2"/>
  <c r="BA127" i="2"/>
  <c r="BC127" i="2"/>
  <c r="AX127" i="2"/>
  <c r="AZ127" i="2"/>
  <c r="AY127" i="2"/>
  <c r="BC78" i="2"/>
  <c r="AZ78" i="2"/>
  <c r="AX78" i="2"/>
  <c r="N99" i="2"/>
  <c r="BH99" i="2" s="1"/>
  <c r="L99" i="2"/>
  <c r="I118" i="2"/>
  <c r="BC118" i="2" s="1"/>
  <c r="BC15" i="2"/>
  <c r="H99" i="2"/>
  <c r="H115" i="2"/>
  <c r="BB115" i="2" s="1"/>
  <c r="BB15" i="2"/>
  <c r="BA98" i="2"/>
  <c r="BA85" i="2"/>
  <c r="BA94" i="2"/>
  <c r="BA15" i="2"/>
  <c r="AZ98" i="2"/>
  <c r="F117" i="2"/>
  <c r="AZ117" i="2" s="1"/>
  <c r="F99" i="2"/>
  <c r="AZ15" i="2"/>
  <c r="AY95" i="2"/>
  <c r="AY85" i="2"/>
  <c r="AY15" i="2"/>
  <c r="AX15" i="2"/>
  <c r="C99" i="2"/>
  <c r="C117" i="2"/>
  <c r="AY50" i="2"/>
  <c r="AY36" i="2"/>
  <c r="AX29" i="2"/>
  <c r="AY29" i="2"/>
  <c r="BA115" i="2"/>
  <c r="U120" i="2"/>
  <c r="BO120" i="2" s="1"/>
  <c r="BB116" i="2"/>
  <c r="BC116" i="2"/>
  <c r="BC119" i="2"/>
  <c r="AY96" i="2"/>
  <c r="BA97" i="2"/>
  <c r="BC95" i="2"/>
  <c r="AZ94" i="2"/>
  <c r="F116" i="2"/>
  <c r="O115" i="2"/>
  <c r="M99" i="2"/>
  <c r="BG99" i="2" s="1"/>
  <c r="E99" i="2"/>
  <c r="O99" i="2"/>
  <c r="BI99" i="2" s="1"/>
  <c r="S99" i="2"/>
  <c r="BM99" i="2" s="1"/>
  <c r="K99" i="2"/>
  <c r="BC98" i="2"/>
  <c r="AZ97" i="2"/>
  <c r="BB95" i="2"/>
  <c r="AY94" i="2"/>
  <c r="AX117" i="2"/>
  <c r="T117" i="2"/>
  <c r="L117" i="2"/>
  <c r="O116" i="2"/>
  <c r="G116" i="2"/>
  <c r="BA116" i="2" s="1"/>
  <c r="R99" i="2"/>
  <c r="BL99" i="2" s="1"/>
  <c r="J99" i="2"/>
  <c r="BB98" i="2"/>
  <c r="AY97" i="2"/>
  <c r="Q99" i="2"/>
  <c r="BK99" i="2" s="1"/>
  <c r="P119" i="2"/>
  <c r="H119" i="2"/>
  <c r="I117" i="2"/>
  <c r="BC117" i="2" s="1"/>
  <c r="BB96" i="2"/>
  <c r="G99" i="2"/>
  <c r="AY98" i="2"/>
  <c r="BA96" i="2"/>
  <c r="BC94" i="2"/>
  <c r="R115" i="2"/>
  <c r="J115" i="2"/>
  <c r="I99" i="2"/>
  <c r="AX95" i="2"/>
  <c r="O117" i="2"/>
  <c r="BI117" i="2" s="1"/>
  <c r="D99" i="2"/>
  <c r="D116" i="2"/>
  <c r="AX98" i="2"/>
  <c r="AX97" i="2"/>
  <c r="AX96" i="2"/>
  <c r="BC115" i="2"/>
  <c r="E120" i="2"/>
  <c r="A16" i="2"/>
  <c r="AZ116" i="2" l="1"/>
  <c r="Q120" i="2"/>
  <c r="BK120" i="2" s="1"/>
  <c r="BB119" i="2"/>
  <c r="AX118" i="2"/>
  <c r="S120" i="2"/>
  <c r="BM120" i="2" s="1"/>
  <c r="AX115" i="2"/>
  <c r="BB118" i="2"/>
  <c r="AZ119" i="2"/>
  <c r="AY117" i="2"/>
  <c r="AY116" i="2"/>
  <c r="BA117" i="2"/>
  <c r="AY119" i="2"/>
  <c r="T120" i="2"/>
  <c r="BN120" i="2" s="1"/>
  <c r="BN117" i="2"/>
  <c r="R120" i="2"/>
  <c r="BL120" i="2" s="1"/>
  <c r="BL115" i="2"/>
  <c r="AX116" i="2"/>
  <c r="AX119" i="2"/>
  <c r="BJ119" i="2"/>
  <c r="N120" i="2"/>
  <c r="BH120" i="2" s="1"/>
  <c r="AW119" i="2"/>
  <c r="BI119" i="2"/>
  <c r="AW115" i="2"/>
  <c r="BI115" i="2"/>
  <c r="AW118" i="2"/>
  <c r="BI118" i="2"/>
  <c r="AW116" i="2"/>
  <c r="BI116" i="2"/>
  <c r="M120" i="2"/>
  <c r="BG120" i="2" s="1"/>
  <c r="BF99" i="2"/>
  <c r="L120" i="2"/>
  <c r="BF117" i="2"/>
  <c r="BF120" i="2" s="1"/>
  <c r="AW99" i="2"/>
  <c r="BD99" i="2"/>
  <c r="BE120" i="2"/>
  <c r="BE99" i="2"/>
  <c r="K120" i="2"/>
  <c r="J120" i="2"/>
  <c r="BD115" i="2"/>
  <c r="BD120" i="2" s="1"/>
  <c r="C120" i="2"/>
  <c r="AW117" i="2"/>
  <c r="BB117" i="2"/>
  <c r="BA120" i="2"/>
  <c r="D120" i="2"/>
  <c r="BC99" i="2"/>
  <c r="BB99" i="2"/>
  <c r="BA99" i="2"/>
  <c r="AZ99" i="2"/>
  <c r="AX99" i="2"/>
  <c r="F120" i="2"/>
  <c r="O120" i="2"/>
  <c r="BI120" i="2" s="1"/>
  <c r="AZ115" i="2"/>
  <c r="P120" i="2"/>
  <c r="BJ120" i="2" s="1"/>
  <c r="BC120" i="2"/>
  <c r="H120" i="2"/>
  <c r="I120" i="2"/>
  <c r="AY99" i="2"/>
  <c r="G120" i="2"/>
  <c r="A23" i="2"/>
  <c r="A30" i="2" s="1"/>
  <c r="A37" i="2" s="1"/>
  <c r="A44" i="2" s="1"/>
  <c r="A51" i="2" s="1"/>
  <c r="A58" i="2" s="1"/>
  <c r="A65" i="2" s="1"/>
  <c r="A72" i="2" s="1"/>
  <c r="A79" i="2" s="1"/>
  <c r="A86" i="2" s="1"/>
  <c r="A93" i="2" s="1"/>
  <c r="A100" i="2" s="1"/>
  <c r="A107" i="2" s="1"/>
  <c r="AY120" i="2" l="1"/>
  <c r="BB120" i="2"/>
  <c r="AZ120" i="2"/>
  <c r="AX120" i="2"/>
  <c r="AW120" i="2"/>
  <c r="A114" i="2"/>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C8" authorId="0" shapeId="0" xr:uid="{00000000-0006-0000-0100-000001000000}">
      <text>
        <r>
          <rPr>
            <b/>
            <sz val="9"/>
            <color indexed="81"/>
            <rFont val="Tahoma"/>
            <family val="2"/>
          </rPr>
          <t>Alisha Camara:</t>
        </r>
        <r>
          <rPr>
            <sz val="9"/>
            <color indexed="81"/>
            <rFont val="Tahoma"/>
            <family val="2"/>
          </rPr>
          <t xml:space="preserve">
From April 1</t>
        </r>
      </text>
    </comment>
    <comment ref="BG8" authorId="0" shapeId="0" xr:uid="{00000000-0006-0000-0100-000002000000}">
      <text>
        <r>
          <rPr>
            <b/>
            <sz val="9"/>
            <color indexed="81"/>
            <rFont val="Tahoma"/>
            <family val="2"/>
          </rPr>
          <t>Alisha Camara:</t>
        </r>
        <r>
          <rPr>
            <sz val="9"/>
            <color indexed="81"/>
            <rFont val="Tahoma"/>
            <family val="2"/>
          </rPr>
          <t xml:space="preserve">
Data not provided due to first week of conversion.</t>
        </r>
      </text>
    </comment>
    <comment ref="BH17" authorId="0" shapeId="0" xr:uid="{00000000-0006-0000-0100-000003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I17" authorId="0" shapeId="0" xr:uid="{00000000-0006-0000-0100-000004000000}">
      <text>
        <r>
          <rPr>
            <b/>
            <sz val="9"/>
            <color indexed="81"/>
            <rFont val="Tahoma"/>
            <family val="2"/>
          </rPr>
          <t>Alisha Camara:</t>
        </r>
        <r>
          <rPr>
            <sz val="9"/>
            <color indexed="81"/>
            <rFont val="Tahoma"/>
            <family val="2"/>
          </rPr>
          <t xml:space="preserve">
Current arrears reporting subcategorizes by residential &amp; commercial only.  We are working on different views of the reports in order to break down by rate code.</t>
        </r>
      </text>
    </comment>
    <comment ref="BN31" authorId="0" shapeId="0" xr:uid="{00000000-0006-0000-0100-000005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O31" authorId="0" shapeId="0" xr:uid="{00000000-0006-0000-0100-000006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P31" authorId="0" shapeId="0" xr:uid="{00000000-0006-0000-0100-000007000000}">
      <text>
        <r>
          <rPr>
            <b/>
            <sz val="9"/>
            <color indexed="81"/>
            <rFont val="Tahoma"/>
            <family val="2"/>
          </rPr>
          <t>Alisha Camara:</t>
        </r>
        <r>
          <rPr>
            <sz val="9"/>
            <color indexed="81"/>
            <rFont val="Tahoma"/>
            <family val="2"/>
          </rPr>
          <t xml:space="preserve">
Lookiing into why these numbers are so high.  May have duplicates.  Working with IBM
</t>
        </r>
      </text>
    </comment>
    <comment ref="BQ31" authorId="0" shapeId="0" xr:uid="{881522C7-3A93-4060-AE69-01D065E260F6}">
      <text>
        <r>
          <rPr>
            <b/>
            <sz val="9"/>
            <color indexed="81"/>
            <rFont val="Tahoma"/>
            <family val="2"/>
          </rPr>
          <t>Alisha Camara:</t>
        </r>
        <r>
          <rPr>
            <sz val="9"/>
            <color indexed="81"/>
            <rFont val="Tahoma"/>
            <family val="2"/>
          </rPr>
          <t xml:space="preserve">
Lookiing into why these numbers are so high.  May have duplicates.  Working with IBM
</t>
        </r>
      </text>
    </comment>
    <comment ref="BF66" authorId="0" shapeId="0" xr:uid="{00000000-0006-0000-0100-000008000000}">
      <text>
        <r>
          <rPr>
            <b/>
            <sz val="9"/>
            <color indexed="81"/>
            <rFont val="Tahoma"/>
            <family val="2"/>
          </rPr>
          <t>Alisha Camara:</t>
        </r>
        <r>
          <rPr>
            <sz val="9"/>
            <color indexed="81"/>
            <rFont val="Tahoma"/>
            <family val="2"/>
          </rPr>
          <t xml:space="preserve">
Due to the SAP conversion no cycles have been processed for the month of May</t>
        </r>
      </text>
    </comment>
    <comment ref="BH66" authorId="0" shapeId="0" xr:uid="{00000000-0006-0000-0100-000009000000}">
      <text>
        <r>
          <rPr>
            <b/>
            <sz val="9"/>
            <color indexed="81"/>
            <rFont val="Tahoma"/>
            <family val="2"/>
          </rPr>
          <t>Alisha Camara:</t>
        </r>
        <r>
          <rPr>
            <sz val="9"/>
            <color indexed="81"/>
            <rFont val="Tahoma"/>
            <family val="2"/>
          </rPr>
          <t xml:space="preserve">
These numbers represent all billed therms from May 10th to May 26th.  Billing began on May 10th with cycle 1, we billed multiple cycles daily in order to catch up to our regular billing schedule.</t>
        </r>
      </text>
    </comment>
    <comment ref="BG80" authorId="0" shapeId="0" xr:uid="{00000000-0006-0000-0100-00000A000000}">
      <text>
        <r>
          <rPr>
            <b/>
            <sz val="9"/>
            <color indexed="81"/>
            <rFont val="Tahoma"/>
            <family val="2"/>
          </rPr>
          <t>Alisha Camara:</t>
        </r>
        <r>
          <rPr>
            <sz val="9"/>
            <color indexed="81"/>
            <rFont val="Tahoma"/>
            <family val="2"/>
          </rPr>
          <t xml:space="preserve">
Total of all rate categories.  Working on report to get breakout
</t>
        </r>
      </text>
    </comment>
    <comment ref="BH80" authorId="0" shapeId="0" xr:uid="{00000000-0006-0000-0100-00000B000000}">
      <text>
        <r>
          <rPr>
            <b/>
            <sz val="9"/>
            <color indexed="81"/>
            <rFont val="Tahoma"/>
            <family val="2"/>
          </rPr>
          <t>Alisha Camara:</t>
        </r>
        <r>
          <rPr>
            <sz val="9"/>
            <color indexed="81"/>
            <rFont val="Tahoma"/>
            <family val="2"/>
          </rPr>
          <t xml:space="preserve">
Total of all rate categories.  Working on report to get breakout</t>
        </r>
      </text>
    </comment>
    <comment ref="BI80" authorId="0" shapeId="0" xr:uid="{00000000-0006-0000-0100-00000C000000}">
      <text>
        <r>
          <rPr>
            <b/>
            <sz val="9"/>
            <color indexed="81"/>
            <rFont val="Tahoma"/>
            <family val="2"/>
          </rPr>
          <t>Alisha Camara:</t>
        </r>
        <r>
          <rPr>
            <sz val="9"/>
            <color indexed="81"/>
            <rFont val="Tahoma"/>
            <family val="2"/>
          </rPr>
          <t xml:space="preserve">
Total of all rate categories.  Working on report to get breakout</t>
        </r>
      </text>
    </comment>
    <comment ref="BJ80" authorId="0" shapeId="0" xr:uid="{00000000-0006-0000-0100-00000D000000}">
      <text>
        <r>
          <rPr>
            <b/>
            <sz val="9"/>
            <color indexed="81"/>
            <rFont val="Tahoma"/>
            <family val="2"/>
          </rPr>
          <t>Alisha Camara:</t>
        </r>
        <r>
          <rPr>
            <sz val="9"/>
            <color indexed="81"/>
            <rFont val="Tahoma"/>
            <family val="2"/>
          </rPr>
          <t xml:space="preserve">
Total of all rate categories.  Working on report to get breakout</t>
        </r>
      </text>
    </comment>
    <comment ref="BK80" authorId="0" shapeId="0" xr:uid="{00000000-0006-0000-0100-00000E000000}">
      <text>
        <r>
          <rPr>
            <b/>
            <sz val="9"/>
            <color indexed="81"/>
            <rFont val="Tahoma"/>
            <family val="2"/>
          </rPr>
          <t>Alisha Camara:</t>
        </r>
        <r>
          <rPr>
            <sz val="9"/>
            <color indexed="81"/>
            <rFont val="Tahoma"/>
            <family val="2"/>
          </rPr>
          <t xml:space="preserve">
Total of all rate categories.  Working on report to get breakout</t>
        </r>
      </text>
    </comment>
    <comment ref="BL80" authorId="0" shapeId="0" xr:uid="{00000000-0006-0000-0100-00000F000000}">
      <text>
        <r>
          <rPr>
            <b/>
            <sz val="9"/>
            <color indexed="81"/>
            <rFont val="Tahoma"/>
            <family val="2"/>
          </rPr>
          <t>Alisha Camara:</t>
        </r>
        <r>
          <rPr>
            <sz val="9"/>
            <color indexed="81"/>
            <rFont val="Tahoma"/>
            <family val="2"/>
          </rPr>
          <t xml:space="preserve">
Total of all rate categories.  Working on report to get breakout</t>
        </r>
      </text>
    </comment>
    <comment ref="BM80" authorId="0" shapeId="0" xr:uid="{00000000-0006-0000-0100-000010000000}">
      <text>
        <r>
          <rPr>
            <b/>
            <sz val="9"/>
            <color indexed="81"/>
            <rFont val="Tahoma"/>
            <family val="2"/>
          </rPr>
          <t>Alisha Camara:</t>
        </r>
        <r>
          <rPr>
            <sz val="9"/>
            <color indexed="81"/>
            <rFont val="Tahoma"/>
            <family val="2"/>
          </rPr>
          <t xml:space="preserve">
Total of all rate categories.  Working on report to get breakout</t>
        </r>
      </text>
    </comment>
    <comment ref="BN80" authorId="0" shapeId="0" xr:uid="{00000000-0006-0000-0100-000011000000}">
      <text>
        <r>
          <rPr>
            <b/>
            <sz val="9"/>
            <color indexed="81"/>
            <rFont val="Tahoma"/>
            <family val="2"/>
          </rPr>
          <t>Alisha Camara:</t>
        </r>
        <r>
          <rPr>
            <sz val="9"/>
            <color indexed="81"/>
            <rFont val="Tahoma"/>
            <family val="2"/>
          </rPr>
          <t xml:space="preserve">
Total of all rate categories.  Working on report to get breakout</t>
        </r>
      </text>
    </comment>
    <comment ref="BO80" authorId="0" shapeId="0" xr:uid="{00000000-0006-0000-0100-000012000000}">
      <text>
        <r>
          <rPr>
            <b/>
            <sz val="9"/>
            <color indexed="81"/>
            <rFont val="Tahoma"/>
            <family val="2"/>
          </rPr>
          <t>Alisha Camara:</t>
        </r>
        <r>
          <rPr>
            <sz val="9"/>
            <color indexed="81"/>
            <rFont val="Tahoma"/>
            <family val="2"/>
          </rPr>
          <t xml:space="preserve">
Total of all rate categories.  Working on report to get breakout</t>
        </r>
      </text>
    </comment>
    <comment ref="BP80" authorId="0" shapeId="0" xr:uid="{00000000-0006-0000-0100-000013000000}">
      <text>
        <r>
          <rPr>
            <b/>
            <sz val="9"/>
            <color indexed="81"/>
            <rFont val="Tahoma"/>
            <family val="2"/>
          </rPr>
          <t>Alisha Camara:</t>
        </r>
        <r>
          <rPr>
            <sz val="9"/>
            <color indexed="81"/>
            <rFont val="Tahoma"/>
            <family val="2"/>
          </rPr>
          <t xml:space="preserve">
Total of all rate categories.  Working on report to get breakout</t>
        </r>
      </text>
    </comment>
    <comment ref="BQ80" authorId="0" shapeId="0" xr:uid="{0A183EF7-7310-4C31-9F51-DD2C3847A758}">
      <text>
        <r>
          <rPr>
            <b/>
            <sz val="9"/>
            <color indexed="81"/>
            <rFont val="Tahoma"/>
            <family val="2"/>
          </rPr>
          <t>Alisha Camara:</t>
        </r>
        <r>
          <rPr>
            <sz val="9"/>
            <color indexed="81"/>
            <rFont val="Tahoma"/>
            <family val="2"/>
          </rPr>
          <t xml:space="preserve">
Total of all rate categories.  Working on report to get breakout</t>
        </r>
      </text>
    </comment>
    <comment ref="BR80" authorId="0" shapeId="0" xr:uid="{72191BCB-1C7E-449B-95BF-F1BDEABD9DFC}">
      <text>
        <r>
          <rPr>
            <b/>
            <sz val="9"/>
            <color indexed="81"/>
            <rFont val="Tahoma"/>
            <family val="2"/>
          </rPr>
          <t>Alisha Camara:</t>
        </r>
        <r>
          <rPr>
            <sz val="9"/>
            <color indexed="81"/>
            <rFont val="Tahoma"/>
            <family val="2"/>
          </rPr>
          <t xml:space="preserve">
Total of all rate categories.  Working on report to get breakout</t>
        </r>
      </text>
    </comment>
    <comment ref="BS80" authorId="0" shapeId="0" xr:uid="{A353AD91-5090-4517-9AFB-8BE75EBF689E}">
      <text>
        <r>
          <rPr>
            <b/>
            <sz val="9"/>
            <color indexed="81"/>
            <rFont val="Tahoma"/>
            <family val="2"/>
          </rPr>
          <t>Alisha Camara:</t>
        </r>
        <r>
          <rPr>
            <sz val="9"/>
            <color indexed="81"/>
            <rFont val="Tahoma"/>
            <family val="2"/>
          </rPr>
          <t xml:space="preserve">
Total of all rate categories.  Working on report to get breakout</t>
        </r>
      </text>
    </comment>
    <comment ref="BT80" authorId="0" shapeId="0" xr:uid="{190D10B5-6682-4AD2-9815-01F937CC5403}">
      <text>
        <r>
          <rPr>
            <b/>
            <sz val="9"/>
            <color indexed="81"/>
            <rFont val="Tahoma"/>
            <family val="2"/>
          </rPr>
          <t>Alisha Camara:</t>
        </r>
        <r>
          <rPr>
            <sz val="9"/>
            <color indexed="81"/>
            <rFont val="Tahoma"/>
            <family val="2"/>
          </rPr>
          <t xml:space="preserve">
Total of all rate categories.  Working on report to get breakout</t>
        </r>
      </text>
    </comment>
    <comment ref="BU80" authorId="0" shapeId="0" xr:uid="{D8CAE51A-DCD8-49A8-8083-2642A5A19E1C}">
      <text>
        <r>
          <rPr>
            <b/>
            <sz val="9"/>
            <color indexed="81"/>
            <rFont val="Tahoma"/>
            <family val="2"/>
          </rPr>
          <t>Alisha Camara:</t>
        </r>
        <r>
          <rPr>
            <sz val="9"/>
            <color indexed="81"/>
            <rFont val="Tahoma"/>
            <family val="2"/>
          </rPr>
          <t xml:space="preserve">
Total of all rate categories.  Working on report to get breakout</t>
        </r>
      </text>
    </comment>
    <comment ref="BV80" authorId="0" shapeId="0" xr:uid="{B388828C-B15F-4425-9568-DADA5632AF6C}">
      <text>
        <r>
          <rPr>
            <b/>
            <sz val="9"/>
            <color indexed="81"/>
            <rFont val="Tahoma"/>
            <family val="2"/>
          </rPr>
          <t>Alisha Camara:</t>
        </r>
        <r>
          <rPr>
            <sz val="9"/>
            <color indexed="81"/>
            <rFont val="Tahoma"/>
            <family val="2"/>
          </rPr>
          <t xml:space="preserve">
Total of all rate categories.  Working on report to get breakout</t>
        </r>
      </text>
    </comment>
    <comment ref="BG87" authorId="0" shapeId="0" xr:uid="{00000000-0006-0000-0100-000014000000}">
      <text>
        <r>
          <rPr>
            <b/>
            <sz val="9"/>
            <color indexed="81"/>
            <rFont val="Tahoma"/>
            <family val="2"/>
          </rPr>
          <t>Alisha Camara:</t>
        </r>
        <r>
          <rPr>
            <sz val="9"/>
            <color indexed="81"/>
            <rFont val="Tahoma"/>
            <family val="2"/>
          </rPr>
          <t xml:space="preserve">
Total of all rate categories.  Working on report to get breakout</t>
        </r>
      </text>
    </comment>
    <comment ref="BH87" authorId="0" shapeId="0" xr:uid="{00000000-0006-0000-0100-000015000000}">
      <text>
        <r>
          <rPr>
            <b/>
            <sz val="9"/>
            <color indexed="81"/>
            <rFont val="Tahoma"/>
            <family val="2"/>
          </rPr>
          <t>Alisha Camara:</t>
        </r>
        <r>
          <rPr>
            <sz val="9"/>
            <color indexed="81"/>
            <rFont val="Tahoma"/>
            <family val="2"/>
          </rPr>
          <t xml:space="preserve">
Total of all rate categories.  Working on report to get breakout</t>
        </r>
      </text>
    </comment>
    <comment ref="BI87" authorId="0" shapeId="0" xr:uid="{00000000-0006-0000-0100-000016000000}">
      <text>
        <r>
          <rPr>
            <b/>
            <sz val="9"/>
            <color indexed="81"/>
            <rFont val="Tahoma"/>
            <family val="2"/>
          </rPr>
          <t>Alisha Camara:</t>
        </r>
        <r>
          <rPr>
            <sz val="9"/>
            <color indexed="81"/>
            <rFont val="Tahoma"/>
            <family val="2"/>
          </rPr>
          <t xml:space="preserve">
Total of all rate categories.  Working on report to get breakout</t>
        </r>
      </text>
    </comment>
    <comment ref="BJ87" authorId="0" shapeId="0" xr:uid="{00000000-0006-0000-0100-000017000000}">
      <text>
        <r>
          <rPr>
            <b/>
            <sz val="9"/>
            <color indexed="81"/>
            <rFont val="Tahoma"/>
            <family val="2"/>
          </rPr>
          <t>Alisha Camara:</t>
        </r>
        <r>
          <rPr>
            <sz val="9"/>
            <color indexed="81"/>
            <rFont val="Tahoma"/>
            <family val="2"/>
          </rPr>
          <t xml:space="preserve">
Total of all rate categories.  Working on report to get breakout</t>
        </r>
      </text>
    </comment>
    <comment ref="BK87" authorId="0" shapeId="0" xr:uid="{00000000-0006-0000-0100-000018000000}">
      <text>
        <r>
          <rPr>
            <b/>
            <sz val="9"/>
            <color indexed="81"/>
            <rFont val="Tahoma"/>
            <family val="2"/>
          </rPr>
          <t>Alisha Camara:</t>
        </r>
        <r>
          <rPr>
            <sz val="9"/>
            <color indexed="81"/>
            <rFont val="Tahoma"/>
            <family val="2"/>
          </rPr>
          <t xml:space="preserve">
Total of all rate categories.  Working on report to get breakout</t>
        </r>
      </text>
    </comment>
    <comment ref="BL87" authorId="0" shapeId="0" xr:uid="{00000000-0006-0000-0100-000019000000}">
      <text>
        <r>
          <rPr>
            <b/>
            <sz val="9"/>
            <color indexed="81"/>
            <rFont val="Tahoma"/>
            <family val="2"/>
          </rPr>
          <t>Alisha Camara:</t>
        </r>
        <r>
          <rPr>
            <sz val="9"/>
            <color indexed="81"/>
            <rFont val="Tahoma"/>
            <family val="2"/>
          </rPr>
          <t xml:space="preserve">
Total of all rate categories.  Working on report to get breakout</t>
        </r>
      </text>
    </comment>
    <comment ref="BM87" authorId="0" shapeId="0" xr:uid="{00000000-0006-0000-0100-00001A000000}">
      <text>
        <r>
          <rPr>
            <b/>
            <sz val="9"/>
            <color indexed="81"/>
            <rFont val="Tahoma"/>
            <family val="2"/>
          </rPr>
          <t>Alisha Camara:</t>
        </r>
        <r>
          <rPr>
            <sz val="9"/>
            <color indexed="81"/>
            <rFont val="Tahoma"/>
            <family val="2"/>
          </rPr>
          <t xml:space="preserve">
Total of all rate categories.  Working on report to get breakout</t>
        </r>
      </text>
    </comment>
    <comment ref="BN87" authorId="0" shapeId="0" xr:uid="{00000000-0006-0000-0100-00001B000000}">
      <text>
        <r>
          <rPr>
            <b/>
            <sz val="9"/>
            <color indexed="81"/>
            <rFont val="Tahoma"/>
            <family val="2"/>
          </rPr>
          <t>Alisha Camara:</t>
        </r>
        <r>
          <rPr>
            <sz val="9"/>
            <color indexed="81"/>
            <rFont val="Tahoma"/>
            <family val="2"/>
          </rPr>
          <t xml:space="preserve">
Total of all rate categories.  Working on report to get breakout</t>
        </r>
      </text>
    </comment>
    <comment ref="BO87" authorId="0" shapeId="0" xr:uid="{00000000-0006-0000-0100-00001C000000}">
      <text>
        <r>
          <rPr>
            <b/>
            <sz val="9"/>
            <color indexed="81"/>
            <rFont val="Tahoma"/>
            <family val="2"/>
          </rPr>
          <t>Alisha Camara:</t>
        </r>
        <r>
          <rPr>
            <sz val="9"/>
            <color indexed="81"/>
            <rFont val="Tahoma"/>
            <family val="2"/>
          </rPr>
          <t xml:space="preserve">
Total of all rate categories.  Working on report to get breakout</t>
        </r>
      </text>
    </comment>
    <comment ref="BP87" authorId="0" shapeId="0" xr:uid="{00000000-0006-0000-0100-00001D000000}">
      <text>
        <r>
          <rPr>
            <b/>
            <sz val="9"/>
            <color indexed="81"/>
            <rFont val="Tahoma"/>
            <family val="2"/>
          </rPr>
          <t>Alisha Camara:</t>
        </r>
        <r>
          <rPr>
            <sz val="9"/>
            <color indexed="81"/>
            <rFont val="Tahoma"/>
            <family val="2"/>
          </rPr>
          <t xml:space="preserve">
Total of all rate categories.  Working on report to get breakout</t>
        </r>
      </text>
    </comment>
    <comment ref="BQ87" authorId="0" shapeId="0" xr:uid="{51904159-C8C7-4861-88C4-935D10615A74}">
      <text>
        <r>
          <rPr>
            <b/>
            <sz val="9"/>
            <color indexed="81"/>
            <rFont val="Tahoma"/>
            <family val="2"/>
          </rPr>
          <t>Alisha Camara:</t>
        </r>
        <r>
          <rPr>
            <sz val="9"/>
            <color indexed="81"/>
            <rFont val="Tahoma"/>
            <family val="2"/>
          </rPr>
          <t xml:space="preserve">
Total of all rate categories.  Working on report to get breakout</t>
        </r>
      </text>
    </comment>
    <comment ref="BR87" authorId="0" shapeId="0" xr:uid="{619EE061-282A-4A0E-9B0F-9C22D5E27753}">
      <text>
        <r>
          <rPr>
            <b/>
            <sz val="9"/>
            <color indexed="81"/>
            <rFont val="Tahoma"/>
            <family val="2"/>
          </rPr>
          <t>Alisha Camara:</t>
        </r>
        <r>
          <rPr>
            <sz val="9"/>
            <color indexed="81"/>
            <rFont val="Tahoma"/>
            <family val="2"/>
          </rPr>
          <t xml:space="preserve">
Total of all rate categories.  Working on report to get breakout</t>
        </r>
      </text>
    </comment>
    <comment ref="BS87" authorId="0" shapeId="0" xr:uid="{4C3F8E42-0D6D-46CD-9B14-0B6EFB228D4D}">
      <text>
        <r>
          <rPr>
            <b/>
            <sz val="9"/>
            <color indexed="81"/>
            <rFont val="Tahoma"/>
            <family val="2"/>
          </rPr>
          <t>Alisha Camara:</t>
        </r>
        <r>
          <rPr>
            <sz val="9"/>
            <color indexed="81"/>
            <rFont val="Tahoma"/>
            <family val="2"/>
          </rPr>
          <t xml:space="preserve">
Total of all rate categories.  Working on report to get breakout</t>
        </r>
      </text>
    </comment>
    <comment ref="BT87" authorId="0" shapeId="0" xr:uid="{ED222BFF-C601-4DCF-9BA4-E1110B272190}">
      <text>
        <r>
          <rPr>
            <b/>
            <sz val="9"/>
            <color indexed="81"/>
            <rFont val="Tahoma"/>
            <family val="2"/>
          </rPr>
          <t>Alisha Camara:</t>
        </r>
        <r>
          <rPr>
            <sz val="9"/>
            <color indexed="81"/>
            <rFont val="Tahoma"/>
            <family val="2"/>
          </rPr>
          <t xml:space="preserve">
Total of all rate categories.  Working on report to get breakout</t>
        </r>
      </text>
    </comment>
    <comment ref="BU87" authorId="0" shapeId="0" xr:uid="{3D3A015C-AA39-4098-954B-1CFF5CAA6347}">
      <text>
        <r>
          <rPr>
            <b/>
            <sz val="9"/>
            <color indexed="81"/>
            <rFont val="Tahoma"/>
            <family val="2"/>
          </rPr>
          <t>Alisha Camara:</t>
        </r>
        <r>
          <rPr>
            <sz val="9"/>
            <color indexed="81"/>
            <rFont val="Tahoma"/>
            <family val="2"/>
          </rPr>
          <t xml:space="preserve">
Total of all rate categories.  Working on report to get breakout</t>
        </r>
      </text>
    </comment>
    <comment ref="BV87" authorId="0" shapeId="0" xr:uid="{7A7C5BC7-5715-4A3F-951F-383F27B4DE40}">
      <text>
        <r>
          <rPr>
            <b/>
            <sz val="9"/>
            <color indexed="81"/>
            <rFont val="Tahoma"/>
            <family val="2"/>
          </rPr>
          <t>Alisha Camara:</t>
        </r>
        <r>
          <rPr>
            <sz val="9"/>
            <color indexed="81"/>
            <rFont val="Tahoma"/>
            <family val="2"/>
          </rPr>
          <t xml:space="preserve">
Total of all rate categories.  Working on report to get breakout</t>
        </r>
      </text>
    </comment>
    <comment ref="BM102" authorId="0" shapeId="0" xr:uid="{00000000-0006-0000-0100-00001E000000}">
      <text>
        <r>
          <rPr>
            <b/>
            <sz val="9"/>
            <color indexed="81"/>
            <rFont val="Tahoma"/>
            <family val="2"/>
          </rPr>
          <t>Alisha Camara:</t>
        </r>
        <r>
          <rPr>
            <sz val="9"/>
            <color indexed="81"/>
            <rFont val="Tahoma"/>
            <family val="2"/>
          </rPr>
          <t xml:space="preserve">
Ran the auto-enrollment after conversion</t>
        </r>
      </text>
    </comment>
    <comment ref="BN102" authorId="0" shapeId="0" xr:uid="{00000000-0006-0000-0100-00001F000000}">
      <text>
        <r>
          <rPr>
            <b/>
            <sz val="9"/>
            <color indexed="81"/>
            <rFont val="Tahoma"/>
            <family val="2"/>
          </rPr>
          <t>Alisha Camara:</t>
        </r>
        <r>
          <rPr>
            <sz val="9"/>
            <color indexed="81"/>
            <rFont val="Tahoma"/>
            <family val="2"/>
          </rPr>
          <t xml:space="preserve">
Ran the auto-enrollment after conversion</t>
        </r>
      </text>
    </comment>
    <comment ref="BO102" authorId="0" shapeId="0" xr:uid="{00000000-0006-0000-0100-000020000000}">
      <text>
        <r>
          <rPr>
            <b/>
            <sz val="9"/>
            <color indexed="81"/>
            <rFont val="Tahoma"/>
            <family val="2"/>
          </rPr>
          <t>Alisha Camara:</t>
        </r>
        <r>
          <rPr>
            <sz val="9"/>
            <color indexed="81"/>
            <rFont val="Tahoma"/>
            <family val="2"/>
          </rPr>
          <t xml:space="preserve">
Ran the auto-enrollment after conversion</t>
        </r>
      </text>
    </comment>
    <comment ref="BP102" authorId="0" shapeId="0" xr:uid="{00000000-0006-0000-0100-000021000000}">
      <text>
        <r>
          <rPr>
            <b/>
            <sz val="9"/>
            <color indexed="81"/>
            <rFont val="Tahoma"/>
            <family val="2"/>
          </rPr>
          <t>Alisha Camara:</t>
        </r>
        <r>
          <rPr>
            <sz val="9"/>
            <color indexed="81"/>
            <rFont val="Tahoma"/>
            <family val="2"/>
          </rPr>
          <t xml:space="preserve">
Ran the auto-enrollment after conversion</t>
        </r>
      </text>
    </comment>
    <comment ref="BQ102" authorId="0" shapeId="0" xr:uid="{7FD187E3-B51F-401E-98F9-7C32DA83F8A2}">
      <text>
        <r>
          <rPr>
            <b/>
            <sz val="9"/>
            <color indexed="81"/>
            <rFont val="Tahoma"/>
            <family val="2"/>
          </rPr>
          <t>Alisha Camara:</t>
        </r>
        <r>
          <rPr>
            <sz val="9"/>
            <color indexed="81"/>
            <rFont val="Tahoma"/>
            <family val="2"/>
          </rPr>
          <t xml:space="preserve">
Ran the auto-enrollment after conversion</t>
        </r>
      </text>
    </comment>
    <comment ref="B110" authorId="0" shapeId="0" xr:uid="{00000000-0006-0000-0100-000022000000}">
      <text>
        <r>
          <rPr>
            <b/>
            <sz val="9"/>
            <color indexed="81"/>
            <rFont val="Tahoma"/>
            <family val="2"/>
          </rPr>
          <t>Alisha Camara:</t>
        </r>
        <r>
          <rPr>
            <sz val="9"/>
            <color indexed="81"/>
            <rFont val="Tahoma"/>
            <family val="2"/>
          </rPr>
          <t xml:space="preserve">
Commercial all in one bucket</t>
        </r>
      </text>
    </comment>
    <comment ref="BH115" authorId="0" shapeId="0" xr:uid="{00000000-0006-0000-0100-000023000000}">
      <text>
        <r>
          <rPr>
            <b/>
            <sz val="9"/>
            <color indexed="81"/>
            <rFont val="Tahoma"/>
            <family val="2"/>
          </rPr>
          <t>Alisha Camara:</t>
        </r>
        <r>
          <rPr>
            <sz val="9"/>
            <color indexed="81"/>
            <rFont val="Tahoma"/>
            <family val="2"/>
          </rPr>
          <t xml:space="preserve">
Total of all rate categories.  Working on report to get breakout</t>
        </r>
      </text>
    </comment>
    <comment ref="BI115" authorId="0" shapeId="0" xr:uid="{00000000-0006-0000-0100-000024000000}">
      <text>
        <r>
          <rPr>
            <b/>
            <sz val="9"/>
            <color indexed="81"/>
            <rFont val="Tahoma"/>
            <family val="2"/>
          </rPr>
          <t>Alisha Camara:</t>
        </r>
        <r>
          <rPr>
            <sz val="9"/>
            <color indexed="81"/>
            <rFont val="Tahoma"/>
            <family val="2"/>
          </rPr>
          <t xml:space="preserve">
Total of all rate categories.  Working on report to get breakout</t>
        </r>
      </text>
    </comment>
    <comment ref="BJ115" authorId="0" shapeId="0" xr:uid="{00000000-0006-0000-0100-000025000000}">
      <text>
        <r>
          <rPr>
            <b/>
            <sz val="9"/>
            <color indexed="81"/>
            <rFont val="Tahoma"/>
            <family val="2"/>
          </rPr>
          <t>Alisha Camara:</t>
        </r>
        <r>
          <rPr>
            <sz val="9"/>
            <color indexed="81"/>
            <rFont val="Tahoma"/>
            <family val="2"/>
          </rPr>
          <t xml:space="preserve">
Total of all rate categories.  Working on report to get breakout</t>
        </r>
      </text>
    </comment>
    <comment ref="BK115" authorId="0" shapeId="0" xr:uid="{00000000-0006-0000-0100-000026000000}">
      <text>
        <r>
          <rPr>
            <b/>
            <sz val="9"/>
            <color indexed="81"/>
            <rFont val="Tahoma"/>
            <family val="2"/>
          </rPr>
          <t>Alisha Camara:</t>
        </r>
        <r>
          <rPr>
            <sz val="9"/>
            <color indexed="81"/>
            <rFont val="Tahoma"/>
            <family val="2"/>
          </rPr>
          <t xml:space="preserve">
Total of all rate categories.  Working on report to get breakout</t>
        </r>
      </text>
    </comment>
    <comment ref="BL115" authorId="0" shapeId="0" xr:uid="{00000000-0006-0000-0100-000027000000}">
      <text>
        <r>
          <rPr>
            <b/>
            <sz val="9"/>
            <color indexed="81"/>
            <rFont val="Tahoma"/>
            <family val="2"/>
          </rPr>
          <t>Alisha Camara:</t>
        </r>
        <r>
          <rPr>
            <sz val="9"/>
            <color indexed="81"/>
            <rFont val="Tahoma"/>
            <family val="2"/>
          </rPr>
          <t xml:space="preserve">
Total of all rate categories.  Working on report to get breakout</t>
        </r>
      </text>
    </comment>
    <comment ref="BM115" authorId="0" shapeId="0" xr:uid="{00000000-0006-0000-0100-000028000000}">
      <text>
        <r>
          <rPr>
            <b/>
            <sz val="9"/>
            <color indexed="81"/>
            <rFont val="Tahoma"/>
            <family val="2"/>
          </rPr>
          <t>Alisha Camara:</t>
        </r>
        <r>
          <rPr>
            <sz val="9"/>
            <color indexed="81"/>
            <rFont val="Tahoma"/>
            <family val="2"/>
          </rPr>
          <t xml:space="preserve">
Total of all rate categories.  Working on report to get breakout</t>
        </r>
      </text>
    </comment>
    <comment ref="BN115" authorId="0" shapeId="0" xr:uid="{00000000-0006-0000-0100-000029000000}">
      <text>
        <r>
          <rPr>
            <b/>
            <sz val="9"/>
            <color indexed="81"/>
            <rFont val="Tahoma"/>
            <family val="2"/>
          </rPr>
          <t>Alisha Camara:</t>
        </r>
        <r>
          <rPr>
            <sz val="9"/>
            <color indexed="81"/>
            <rFont val="Tahoma"/>
            <family val="2"/>
          </rPr>
          <t xml:space="preserve">
Total of all rate categories.  Working on report to get breakout</t>
        </r>
      </text>
    </comment>
    <comment ref="BO115" authorId="0" shapeId="0" xr:uid="{00000000-0006-0000-0100-00002A000000}">
      <text>
        <r>
          <rPr>
            <b/>
            <sz val="9"/>
            <color indexed="81"/>
            <rFont val="Tahoma"/>
            <family val="2"/>
          </rPr>
          <t>Alisha Camara:</t>
        </r>
        <r>
          <rPr>
            <sz val="9"/>
            <color indexed="81"/>
            <rFont val="Tahoma"/>
            <family val="2"/>
          </rPr>
          <t xml:space="preserve">
Total of all rate categories.  Working on report to get breakout</t>
        </r>
      </text>
    </comment>
    <comment ref="BP115" authorId="0" shapeId="0" xr:uid="{00000000-0006-0000-0100-00002B000000}">
      <text>
        <r>
          <rPr>
            <b/>
            <sz val="9"/>
            <color indexed="81"/>
            <rFont val="Tahoma"/>
            <family val="2"/>
          </rPr>
          <t>Alisha Camara:</t>
        </r>
        <r>
          <rPr>
            <sz val="9"/>
            <color indexed="81"/>
            <rFont val="Tahoma"/>
            <family val="2"/>
          </rPr>
          <t xml:space="preserve">
Total of all rate categories.  Working on report to get breakout</t>
        </r>
      </text>
    </comment>
    <comment ref="M122" authorId="0" shapeId="0" xr:uid="{00000000-0006-0000-0100-00002C000000}">
      <text>
        <r>
          <rPr>
            <b/>
            <sz val="9"/>
            <color indexed="81"/>
            <rFont val="Tahoma"/>
            <family val="2"/>
          </rPr>
          <t>Alisha Camara:</t>
        </r>
        <r>
          <rPr>
            <sz val="9"/>
            <color indexed="81"/>
            <rFont val="Tahoma"/>
            <family val="2"/>
          </rPr>
          <t xml:space="preserve">
Changed parameters to over $250 from $300</t>
        </r>
      </text>
    </comment>
    <comment ref="P122" authorId="0" shapeId="0" xr:uid="{00000000-0006-0000-0100-00002D000000}">
      <text>
        <r>
          <rPr>
            <b/>
            <sz val="9"/>
            <color indexed="81"/>
            <rFont val="Tahoma"/>
            <family val="2"/>
          </rPr>
          <t>Alisha Camara:</t>
        </r>
        <r>
          <rPr>
            <sz val="9"/>
            <color indexed="81"/>
            <rFont val="Tahoma"/>
            <family val="2"/>
          </rPr>
          <t xml:space="preserve">
Changed parameters from $250 to $150
</t>
        </r>
      </text>
    </comment>
    <comment ref="U122" authorId="0" shapeId="0" xr:uid="{00000000-0006-0000-0100-00002E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BH122" authorId="0" shapeId="0" xr:uid="{00000000-0006-0000-0100-00002F000000}">
      <text>
        <r>
          <rPr>
            <b/>
            <sz val="9"/>
            <color indexed="81"/>
            <rFont val="Tahoma"/>
            <family val="2"/>
          </rPr>
          <t>Alisha Camara:</t>
        </r>
        <r>
          <rPr>
            <sz val="9"/>
            <color indexed="81"/>
            <rFont val="Tahoma"/>
            <family val="2"/>
          </rPr>
          <t xml:space="preserve">
Still working on the report to provide this information.</t>
        </r>
      </text>
    </comment>
    <comment ref="BI122" authorId="0" shapeId="0" xr:uid="{00000000-0006-0000-0100-000030000000}">
      <text>
        <r>
          <rPr>
            <b/>
            <sz val="9"/>
            <color indexed="81"/>
            <rFont val="Tahoma"/>
            <family val="2"/>
          </rPr>
          <t>Alisha Camara:</t>
        </r>
        <r>
          <rPr>
            <sz val="9"/>
            <color indexed="81"/>
            <rFont val="Tahoma"/>
            <family val="2"/>
          </rPr>
          <t xml:space="preserve">
Still working on the report to provide this information.</t>
        </r>
      </text>
    </comment>
    <comment ref="BJ122" authorId="0" shapeId="0" xr:uid="{00000000-0006-0000-0100-000031000000}">
      <text>
        <r>
          <rPr>
            <b/>
            <sz val="9"/>
            <color indexed="81"/>
            <rFont val="Tahoma"/>
            <family val="2"/>
          </rPr>
          <t>Alisha Camara:</t>
        </r>
        <r>
          <rPr>
            <sz val="9"/>
            <color indexed="81"/>
            <rFont val="Tahoma"/>
            <family val="2"/>
          </rPr>
          <t xml:space="preserve">
Still working on the report to provide this information.</t>
        </r>
      </text>
    </comment>
    <comment ref="BK122" authorId="0" shapeId="0" xr:uid="{00000000-0006-0000-0100-000032000000}">
      <text>
        <r>
          <rPr>
            <b/>
            <sz val="9"/>
            <color indexed="81"/>
            <rFont val="Tahoma"/>
            <family val="2"/>
          </rPr>
          <t>Alisha Camara:</t>
        </r>
        <r>
          <rPr>
            <sz val="9"/>
            <color indexed="81"/>
            <rFont val="Tahoma"/>
            <family val="2"/>
          </rPr>
          <t xml:space="preserve">
Still working on the report to provide this information.</t>
        </r>
      </text>
    </comment>
    <comment ref="BL122" authorId="0" shapeId="0" xr:uid="{00000000-0006-0000-0100-000033000000}">
      <text>
        <r>
          <rPr>
            <b/>
            <sz val="9"/>
            <color indexed="81"/>
            <rFont val="Tahoma"/>
            <family val="2"/>
          </rPr>
          <t>Alisha Camara:</t>
        </r>
        <r>
          <rPr>
            <sz val="9"/>
            <color indexed="81"/>
            <rFont val="Tahoma"/>
            <family val="2"/>
          </rPr>
          <t xml:space="preserve">
Still working on the report to provide this information.</t>
        </r>
      </text>
    </comment>
    <comment ref="BM122" authorId="0" shapeId="0" xr:uid="{00000000-0006-0000-0100-000034000000}">
      <text>
        <r>
          <rPr>
            <b/>
            <sz val="9"/>
            <color indexed="81"/>
            <rFont val="Tahoma"/>
            <family val="2"/>
          </rPr>
          <t>Alisha Camara:</t>
        </r>
        <r>
          <rPr>
            <sz val="9"/>
            <color indexed="81"/>
            <rFont val="Tahoma"/>
            <family val="2"/>
          </rPr>
          <t xml:space="preserve">
Still working on the report to provide this information.</t>
        </r>
      </text>
    </comment>
    <comment ref="BN122" authorId="0" shapeId="0" xr:uid="{00000000-0006-0000-0100-000035000000}">
      <text>
        <r>
          <rPr>
            <b/>
            <sz val="9"/>
            <color indexed="81"/>
            <rFont val="Tahoma"/>
            <family val="2"/>
          </rPr>
          <t>Alisha Camara:</t>
        </r>
        <r>
          <rPr>
            <sz val="9"/>
            <color indexed="81"/>
            <rFont val="Tahoma"/>
            <family val="2"/>
          </rPr>
          <t xml:space="preserve">
Still working on the report to provide this information.</t>
        </r>
      </text>
    </comment>
    <comment ref="BO122" authorId="0" shapeId="0" xr:uid="{00000000-0006-0000-0100-000036000000}">
      <text>
        <r>
          <rPr>
            <b/>
            <sz val="9"/>
            <color indexed="81"/>
            <rFont val="Tahoma"/>
            <family val="2"/>
          </rPr>
          <t>Alisha Camara:</t>
        </r>
        <r>
          <rPr>
            <sz val="9"/>
            <color indexed="81"/>
            <rFont val="Tahoma"/>
            <family val="2"/>
          </rPr>
          <t xml:space="preserve">
Still working on the report to provide this information.</t>
        </r>
      </text>
    </comment>
    <comment ref="BP122" authorId="0" shapeId="0" xr:uid="{00000000-0006-0000-0100-000037000000}">
      <text>
        <r>
          <rPr>
            <b/>
            <sz val="9"/>
            <color indexed="81"/>
            <rFont val="Tahoma"/>
            <family val="2"/>
          </rPr>
          <t>Alisha Camara:</t>
        </r>
        <r>
          <rPr>
            <sz val="9"/>
            <color indexed="81"/>
            <rFont val="Tahoma"/>
            <family val="2"/>
          </rPr>
          <t xml:space="preserve">
We have disagreggated residential and commercial.  Still looking to break it down further
***After further review realized there were duplications.  Numbers for this week is not an accurate representation.</t>
        </r>
      </text>
    </comment>
    <comment ref="AH123" authorId="0" shapeId="0" xr:uid="{00000000-0006-0000-0100-000038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00000000-0006-0000-0100-00003900000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00000000-0006-0000-0100-00003A00000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100-00003B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100-00003C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100-00003D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100-00003E00000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xr:uid="{00000000-0006-0000-0100-00003F000000}">
      <text>
        <r>
          <rPr>
            <b/>
            <sz val="9"/>
            <color indexed="81"/>
            <rFont val="Tahoma"/>
            <family val="2"/>
          </rPr>
          <t>Alisha Camara:</t>
        </r>
        <r>
          <rPr>
            <sz val="9"/>
            <color indexed="81"/>
            <rFont val="Tahoma"/>
            <family val="2"/>
          </rPr>
          <t xml:space="preserve">
Winter Moratorium has begun, all L/I customers are exempt from shut off</t>
        </r>
      </text>
    </comment>
    <comment ref="AP123" authorId="0" shapeId="0" xr:uid="{00000000-0006-0000-0100-000040000000}">
      <text>
        <r>
          <rPr>
            <b/>
            <sz val="9"/>
            <color indexed="81"/>
            <rFont val="Tahoma"/>
            <family val="2"/>
          </rPr>
          <t>Alisha Camara:</t>
        </r>
        <r>
          <rPr>
            <sz val="9"/>
            <color indexed="81"/>
            <rFont val="Tahoma"/>
            <family val="2"/>
          </rPr>
          <t xml:space="preserve">
Winter Moratorium has begun, all L/I customers are exempt from shut off</t>
        </r>
      </text>
    </comment>
    <comment ref="AQ123" authorId="0" shapeId="0" xr:uid="{00000000-0006-0000-0100-000041000000}">
      <text>
        <r>
          <rPr>
            <b/>
            <sz val="9"/>
            <color indexed="81"/>
            <rFont val="Tahoma"/>
            <family val="2"/>
          </rPr>
          <t>Alisha Camara:</t>
        </r>
        <r>
          <rPr>
            <sz val="9"/>
            <color indexed="81"/>
            <rFont val="Tahoma"/>
            <family val="2"/>
          </rPr>
          <t xml:space="preserve">
Winter Moratorium has begun, all L/I customers are exempt from shut off</t>
        </r>
      </text>
    </comment>
    <comment ref="AR123" authorId="0" shapeId="0" xr:uid="{00000000-0006-0000-0100-000042000000}">
      <text>
        <r>
          <rPr>
            <b/>
            <sz val="9"/>
            <color indexed="81"/>
            <rFont val="Tahoma"/>
            <family val="2"/>
          </rPr>
          <t>Alisha Camara:</t>
        </r>
        <r>
          <rPr>
            <sz val="9"/>
            <color indexed="81"/>
            <rFont val="Tahoma"/>
            <family val="2"/>
          </rPr>
          <t xml:space="preserve">
Winter Moratorium has begun, all L/I customers are exempt from shut off</t>
        </r>
      </text>
    </comment>
    <comment ref="AS123" authorId="0" shapeId="0" xr:uid="{00000000-0006-0000-0100-000043000000}">
      <text>
        <r>
          <rPr>
            <b/>
            <sz val="9"/>
            <color indexed="81"/>
            <rFont val="Tahoma"/>
            <family val="2"/>
          </rPr>
          <t>Alisha Camara:</t>
        </r>
        <r>
          <rPr>
            <sz val="9"/>
            <color indexed="81"/>
            <rFont val="Tahoma"/>
            <family val="2"/>
          </rPr>
          <t xml:space="preserve">
Winter Moratorium has begun, all L/I customers are exempt from shut off</t>
        </r>
      </text>
    </comment>
    <comment ref="AT123" authorId="0" shapeId="0" xr:uid="{00000000-0006-0000-0100-000044000000}">
      <text>
        <r>
          <rPr>
            <b/>
            <sz val="9"/>
            <color indexed="81"/>
            <rFont val="Tahoma"/>
            <family val="2"/>
          </rPr>
          <t>Alisha Camara:</t>
        </r>
        <r>
          <rPr>
            <sz val="9"/>
            <color indexed="81"/>
            <rFont val="Tahoma"/>
            <family val="2"/>
          </rPr>
          <t xml:space="preserve">
Winter Moratorium has begun, all L/I customers are exempt from shut off</t>
        </r>
      </text>
    </comment>
    <comment ref="AU123" authorId="0" shapeId="0" xr:uid="{00000000-0006-0000-0100-000045000000}">
      <text>
        <r>
          <rPr>
            <b/>
            <sz val="9"/>
            <color indexed="81"/>
            <rFont val="Tahoma"/>
            <family val="2"/>
          </rPr>
          <t>Alisha Camara:</t>
        </r>
        <r>
          <rPr>
            <sz val="9"/>
            <color indexed="81"/>
            <rFont val="Tahoma"/>
            <family val="2"/>
          </rPr>
          <t xml:space="preserve">
Winter Moratorium has begun, all L/I customers are exempt from shut off</t>
        </r>
      </text>
    </comment>
    <comment ref="AV123" authorId="0" shapeId="0" xr:uid="{00000000-0006-0000-0100-000046000000}">
      <text>
        <r>
          <rPr>
            <b/>
            <sz val="9"/>
            <color indexed="81"/>
            <rFont val="Tahoma"/>
            <family val="2"/>
          </rPr>
          <t>Alisha Camara:</t>
        </r>
        <r>
          <rPr>
            <sz val="9"/>
            <color indexed="81"/>
            <rFont val="Tahoma"/>
            <family val="2"/>
          </rPr>
          <t xml:space="preserve">
Winter Moratorium has begun, all L/I customers are exempt from shut off</t>
        </r>
      </text>
    </comment>
    <comment ref="AW123" authorId="0" shapeId="0" xr:uid="{00000000-0006-0000-0100-000047000000}">
      <text>
        <r>
          <rPr>
            <b/>
            <sz val="9"/>
            <color indexed="81"/>
            <rFont val="Tahoma"/>
            <family val="2"/>
          </rPr>
          <t>Alisha Camara:</t>
        </r>
        <r>
          <rPr>
            <sz val="9"/>
            <color indexed="81"/>
            <rFont val="Tahoma"/>
            <family val="2"/>
          </rPr>
          <t xml:space="preserve">
Winter Moratorium has begun, all L/I customers are exempt from shut off</t>
        </r>
      </text>
    </comment>
    <comment ref="AX123" authorId="0" shapeId="0" xr:uid="{00000000-0006-0000-0100-000048000000}">
      <text>
        <r>
          <rPr>
            <b/>
            <sz val="9"/>
            <color indexed="81"/>
            <rFont val="Tahoma"/>
            <family val="2"/>
          </rPr>
          <t>Alisha Camara:</t>
        </r>
        <r>
          <rPr>
            <sz val="9"/>
            <color indexed="81"/>
            <rFont val="Tahoma"/>
            <family val="2"/>
          </rPr>
          <t xml:space="preserve">
Winter Moratorium has begun, all L/I customers are exempt from shut off</t>
        </r>
      </text>
    </comment>
    <comment ref="AY123" authorId="0" shapeId="0" xr:uid="{00000000-0006-0000-0100-000049000000}">
      <text>
        <r>
          <rPr>
            <b/>
            <sz val="9"/>
            <color indexed="81"/>
            <rFont val="Tahoma"/>
            <family val="2"/>
          </rPr>
          <t>Alisha Camara:</t>
        </r>
        <r>
          <rPr>
            <sz val="9"/>
            <color indexed="81"/>
            <rFont val="Tahoma"/>
            <family val="2"/>
          </rPr>
          <t xml:space="preserve">
Winter Moratorium has begun, all L/I customers are exempt from shut off</t>
        </r>
      </text>
    </comment>
    <comment ref="AZ123" authorId="0" shapeId="0" xr:uid="{00000000-0006-0000-0100-00004A000000}">
      <text>
        <r>
          <rPr>
            <b/>
            <sz val="9"/>
            <color indexed="81"/>
            <rFont val="Tahoma"/>
            <family val="2"/>
          </rPr>
          <t>Alisha Camara:</t>
        </r>
        <r>
          <rPr>
            <sz val="9"/>
            <color indexed="81"/>
            <rFont val="Tahoma"/>
            <family val="2"/>
          </rPr>
          <t xml:space="preserve">
Winter Moratorium has begun, all L/I customers are exempt from shut off</t>
        </r>
      </text>
    </comment>
    <comment ref="BA123" authorId="0" shapeId="0" xr:uid="{00000000-0006-0000-0100-00004B000000}">
      <text>
        <r>
          <rPr>
            <b/>
            <sz val="9"/>
            <color indexed="81"/>
            <rFont val="Tahoma"/>
            <family val="2"/>
          </rPr>
          <t>Alisha Camara:</t>
        </r>
        <r>
          <rPr>
            <sz val="9"/>
            <color indexed="81"/>
            <rFont val="Tahoma"/>
            <family val="2"/>
          </rPr>
          <t xml:space="preserve">
Winter Moratorium has begun, all L/I customers are exempt from shut off</t>
        </r>
      </text>
    </comment>
    <comment ref="BB123" authorId="0" shapeId="0" xr:uid="{00000000-0006-0000-0100-00004C000000}">
      <text>
        <r>
          <rPr>
            <b/>
            <sz val="9"/>
            <color indexed="81"/>
            <rFont val="Tahoma"/>
            <family val="2"/>
          </rPr>
          <t>Alisha Camara:</t>
        </r>
        <r>
          <rPr>
            <sz val="9"/>
            <color indexed="81"/>
            <rFont val="Tahoma"/>
            <family val="2"/>
          </rPr>
          <t xml:space="preserve">
Winter Moratorium has begun, all L/I customers are exempt from shut off</t>
        </r>
      </text>
    </comment>
    <comment ref="BC123" authorId="0" shapeId="0" xr:uid="{00000000-0006-0000-0100-00004D000000}">
      <text>
        <r>
          <rPr>
            <b/>
            <sz val="9"/>
            <color indexed="81"/>
            <rFont val="Tahoma"/>
            <family val="2"/>
          </rPr>
          <t>Alisha Camara:</t>
        </r>
        <r>
          <rPr>
            <sz val="9"/>
            <color indexed="81"/>
            <rFont val="Tahoma"/>
            <family val="2"/>
          </rPr>
          <t xml:space="preserve">
Winter Moratorium has begun, all L/I customers are exempt from shut off</t>
        </r>
      </text>
    </comment>
    <comment ref="BD123" authorId="0" shapeId="0" xr:uid="{00000000-0006-0000-0100-00004E00000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xr:uid="{00000000-0006-0000-0100-00004F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xr:uid="{00000000-0006-0000-0100-000050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xr:uid="{00000000-0006-0000-0100-000051000000}">
      <text>
        <r>
          <rPr>
            <b/>
            <sz val="9"/>
            <color indexed="81"/>
            <rFont val="Tahoma"/>
            <family val="2"/>
          </rPr>
          <t>Alisha Camara:</t>
        </r>
        <r>
          <rPr>
            <sz val="9"/>
            <color indexed="81"/>
            <rFont val="Tahoma"/>
            <family val="2"/>
          </rPr>
          <t xml:space="preserve">
As of 10/20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B8" authorId="0" shapeId="0" xr:uid="{00000000-0006-0000-0200-000001000000}">
      <text>
        <r>
          <rPr>
            <b/>
            <sz val="9"/>
            <color indexed="81"/>
            <rFont val="Tahoma"/>
            <family val="2"/>
          </rPr>
          <t>Alisha Camara:</t>
        </r>
        <r>
          <rPr>
            <sz val="9"/>
            <color indexed="81"/>
            <rFont val="Tahoma"/>
            <family val="2"/>
          </rPr>
          <t xml:space="preserve">
From April 1</t>
        </r>
      </text>
    </comment>
    <comment ref="A110" authorId="0" shapeId="0" xr:uid="{00000000-0006-0000-0200-000002000000}">
      <text>
        <r>
          <rPr>
            <b/>
            <sz val="9"/>
            <color indexed="81"/>
            <rFont val="Tahoma"/>
            <family val="2"/>
          </rPr>
          <t>Alisha Camara:</t>
        </r>
        <r>
          <rPr>
            <sz val="9"/>
            <color indexed="81"/>
            <rFont val="Tahoma"/>
            <family val="2"/>
          </rPr>
          <t xml:space="preserve">
Commercial all in one bucket</t>
        </r>
      </text>
    </comment>
    <comment ref="L122" authorId="0" shapeId="0" xr:uid="{00000000-0006-0000-0200-000003000000}">
      <text>
        <r>
          <rPr>
            <b/>
            <sz val="9"/>
            <color indexed="81"/>
            <rFont val="Tahoma"/>
            <family val="2"/>
          </rPr>
          <t>Alisha Camara:</t>
        </r>
        <r>
          <rPr>
            <sz val="9"/>
            <color indexed="81"/>
            <rFont val="Tahoma"/>
            <family val="2"/>
          </rPr>
          <t xml:space="preserve">
Changed parameters to over $250 from $300</t>
        </r>
      </text>
    </comment>
    <comment ref="O122" authorId="0" shapeId="0" xr:uid="{00000000-0006-0000-0200-000004000000}">
      <text>
        <r>
          <rPr>
            <b/>
            <sz val="9"/>
            <color indexed="81"/>
            <rFont val="Tahoma"/>
            <family val="2"/>
          </rPr>
          <t>Alisha Camara:</t>
        </r>
        <r>
          <rPr>
            <sz val="9"/>
            <color indexed="81"/>
            <rFont val="Tahoma"/>
            <family val="2"/>
          </rPr>
          <t xml:space="preserve">
Changed parameters from $250 to $150
</t>
        </r>
      </text>
    </comment>
    <comment ref="T122" authorId="0" shapeId="0" xr:uid="{00000000-0006-0000-0200-00000500000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G123" authorId="0" shapeId="0" xr:uid="{BB0D9D4D-262E-459E-91A6-757B45E83732}">
      <text>
        <r>
          <rPr>
            <b/>
            <sz val="9"/>
            <color indexed="81"/>
            <rFont val="Tahoma"/>
            <family val="2"/>
          </rPr>
          <t>Alisha Camara:</t>
        </r>
        <r>
          <rPr>
            <sz val="9"/>
            <color indexed="81"/>
            <rFont val="Tahoma"/>
            <family val="2"/>
          </rPr>
          <t xml:space="preserve">
Winter Moratorium has begun, all L/I customers are exempt from shut off</t>
        </r>
      </text>
    </comment>
    <comment ref="AH123" authorId="0" shapeId="0" xr:uid="{00000000-0006-0000-0200-00000700000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xr:uid="{DD0B6CDB-780A-40D8-B326-6C8F6D2ADCB7}">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xr:uid="{67DDE2AD-06A9-47EA-A78B-FDA8320CF8D4}">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xr:uid="{00000000-0006-0000-0200-00000A00000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xr:uid="{00000000-0006-0000-0200-00000B00000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xr:uid="{00000000-0006-0000-0200-00000C00000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xr:uid="{00000000-0006-0000-0200-00000D000000}">
      <text>
        <r>
          <rPr>
            <b/>
            <sz val="9"/>
            <color indexed="81"/>
            <rFont val="Tahoma"/>
            <family val="2"/>
          </rPr>
          <t>Alisha Camara:</t>
        </r>
        <r>
          <rPr>
            <sz val="9"/>
            <color indexed="81"/>
            <rFont val="Tahoma"/>
            <family val="2"/>
          </rPr>
          <t xml:space="preserve">
Winter Moratorium has begun, all L/I customers are exempt from shut off</t>
        </r>
      </text>
    </comment>
    <comment ref="A129" authorId="0" shapeId="0" xr:uid="{00000000-0006-0000-0200-00000E00000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A129" authorId="0" shapeId="0" xr:uid="{00000000-0006-0000-0200-00000F00000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C129" authorId="0" shapeId="0" xr:uid="{00000000-0006-0000-0200-000010000000}">
      <text>
        <r>
          <rPr>
            <b/>
            <sz val="9"/>
            <color indexed="81"/>
            <rFont val="Tahoma"/>
            <family val="2"/>
          </rPr>
          <t>Alisha Camara:</t>
        </r>
        <r>
          <rPr>
            <sz val="9"/>
            <color indexed="81"/>
            <rFont val="Tahoma"/>
            <family val="2"/>
          </rPr>
          <t xml:space="preserve">
As of 10/20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 ref="A131" authorId="0" shapeId="0" xr:uid="{00000000-0006-0000-0300-000003000000}">
      <text>
        <r>
          <rPr>
            <b/>
            <sz val="9"/>
            <color indexed="81"/>
            <rFont val="Tahoma"/>
            <family val="2"/>
          </rPr>
          <t>Alisha Camara:</t>
        </r>
        <r>
          <rPr>
            <sz val="9"/>
            <color indexed="81"/>
            <rFont val="Tahoma"/>
            <family val="2"/>
          </rPr>
          <t xml:space="preserve">
Commercial all in one bucket</t>
        </r>
      </text>
    </comment>
  </commentList>
</comments>
</file>

<file path=xl/sharedStrings.xml><?xml version="1.0" encoding="utf-8"?>
<sst xmlns="http://schemas.openxmlformats.org/spreadsheetml/2006/main" count="711" uniqueCount="79">
  <si>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</si>
  <si>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</si>
  <si>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</si>
  <si>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</si>
  <si>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</si>
  <si>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</si>
  <si>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</si>
  <si>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</si>
  <si>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</si>
  <si>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</si>
  <si>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</si>
  <si>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</si>
  <si>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</si>
  <si>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</si>
  <si>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</si>
  <si>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</si>
  <si>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</si>
  <si>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</si>
  <si>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</si>
  <si>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</si>
  <si>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</si>
  <si>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</si>
  <si>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</si>
  <si>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</si>
  <si>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</si>
  <si>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</si>
  <si>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</si>
  <si>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</si>
  <si>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</si>
  <si>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</si>
  <si>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</si>
  <si>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</si>
  <si>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</si>
  <si>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</si>
  <si>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</si>
  <si>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</si>
  <si>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</si>
  <si>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</si>
  <si>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</si>
  <si>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</si>
  <si>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</si>
  <si>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</si>
  <si>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</si>
  <si>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</si>
  <si>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</si>
  <si>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</si>
  <si>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</si>
  <si>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</si>
  <si>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</si>
  <si>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</si>
  <si>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</si>
  <si>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</si>
  <si>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</si>
  <si>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</si>
  <si>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</si>
  <si>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</si>
  <si>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</si>
  <si>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</si>
  <si>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</si>
  <si>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</si>
  <si>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</si>
  <si>
    <t>Large C&amp;I - SCHOOLS</t>
  </si>
  <si>
    <t>Large C&amp;I - School</t>
  </si>
  <si>
    <t>2020-2021 Variance</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</si>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</sst>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 numFmtId="168" formatCode="0.000"/>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57">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style="thick">
        <color auto="1"/>
      </right>
      <top style="dotted">
        <color indexed="64"/>
      </top>
      <bottom style="dotted">
        <color indexed="64"/>
      </bottom>
      <diagonal/>
    </border>
    <border>
      <left/>
      <right style="thick">
        <color auto="1"/>
      </right>
      <top style="dotted">
        <color indexed="64"/>
      </top>
      <bottom style="thick">
        <color indexed="64"/>
      </bottom>
      <diagonal/>
    </border>
    <border>
      <left/>
      <right/>
      <top style="thick">
        <color auto="1"/>
      </top>
      <bottom/>
      <diagonal/>
    </border>
    <border>
      <left/>
      <right/>
      <top/>
      <bottom style="thin">
        <color indexed="64"/>
      </bottom>
      <diagonal/>
    </border>
    <border>
      <left style="dotted">
        <color indexed="64"/>
      </left>
      <right/>
      <top/>
      <bottom style="thick">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ck">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diagonal/>
    </border>
    <border>
      <left style="thick">
        <color indexed="64"/>
      </left>
      <right style="thick">
        <color indexed="64"/>
      </right>
      <top style="dotted">
        <color indexed="64"/>
      </top>
      <bottom/>
      <diagonal/>
    </border>
    <border>
      <left style="medium">
        <color indexed="64"/>
      </left>
      <right style="medium">
        <color indexed="64"/>
      </right>
      <top style="dotted">
        <color indexed="64"/>
      </top>
      <bottom/>
      <diagonal/>
    </border>
    <border>
      <left style="thick">
        <color indexed="64"/>
      </left>
      <right style="thick">
        <color indexed="64"/>
      </right>
      <top style="medium">
        <color indexed="64"/>
      </top>
      <bottom/>
      <diagonal/>
    </border>
    <border>
      <left style="dashed">
        <color indexed="64"/>
      </left>
      <right style="dashed">
        <color indexed="64"/>
      </right>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style="dashed">
        <color auto="1"/>
      </bottom>
      <diagonal/>
    </border>
    <border>
      <left style="thick">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style="thick">
        <color indexed="64"/>
      </left>
      <right style="medium">
        <color indexed="64"/>
      </right>
      <top style="dotted">
        <color indexed="64"/>
      </top>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bottom style="thick">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style="thick">
        <color indexed="64"/>
      </bottom>
      <diagonal/>
    </border>
  </borders>
  <cellStyleXfs count="2">
    <xf numFmtId="0" fontId="0" fillId="0" borderId="0"/>
    <xf numFmtId="44" fontId="11" fillId="0" borderId="0" applyFont="0" applyFill="0" applyBorder="0" applyAlignment="0" applyProtection="0"/>
  </cellStyleXfs>
  <cellXfs count="918">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167" fontId="4" fillId="0" borderId="26" xfId="0" applyNumberFormat="1" applyFont="1" applyBorder="1" applyAlignment="1">
      <alignment horizontal="center"/>
    </xf>
    <xf numFmtId="167" fontId="4" fillId="0" borderId="16" xfId="0" applyNumberFormat="1" applyFont="1" applyBorder="1" applyAlignment="1">
      <alignment horizontal="center"/>
    </xf>
    <xf numFmtId="167" fontId="12" fillId="0" borderId="16" xfId="0" applyNumberFormat="1" applyFont="1" applyBorder="1" applyAlignment="1">
      <alignment horizontal="center"/>
    </xf>
    <xf numFmtId="167" fontId="4" fillId="0" borderId="57" xfId="0" applyNumberFormat="1" applyFont="1" applyBorder="1" applyAlignment="1">
      <alignment horizontal="center"/>
    </xf>
    <xf numFmtId="167" fontId="12" fillId="0" borderId="26" xfId="0" applyNumberFormat="1" applyFont="1" applyBorder="1" applyAlignment="1">
      <alignment horizontal="center"/>
    </xf>
    <xf numFmtId="167" fontId="4" fillId="0" borderId="58" xfId="0" applyNumberFormat="1" applyFont="1" applyBorder="1" applyAlignment="1">
      <alignment horizontal="center"/>
    </xf>
    <xf numFmtId="167" fontId="12" fillId="0" borderId="57" xfId="0" applyNumberFormat="1" applyFont="1" applyBorder="1" applyAlignment="1">
      <alignment horizontal="center"/>
    </xf>
    <xf numFmtId="167" fontId="4" fillId="0" borderId="12" xfId="0" applyNumberFormat="1" applyFont="1" applyBorder="1" applyAlignment="1">
      <alignment horizontal="center"/>
    </xf>
    <xf numFmtId="167" fontId="4" fillId="0" borderId="19" xfId="0" applyNumberFormat="1" applyFont="1" applyBorder="1" applyAlignment="1">
      <alignment horizontal="center"/>
    </xf>
    <xf numFmtId="167" fontId="12" fillId="0" borderId="12" xfId="0" applyNumberFormat="1" applyFont="1" applyBorder="1" applyAlignment="1">
      <alignment horizontal="center"/>
    </xf>
    <xf numFmtId="167" fontId="4" fillId="0" borderId="45" xfId="0" applyNumberFormat="1" applyFont="1" applyBorder="1" applyAlignment="1">
      <alignment horizontal="center"/>
    </xf>
    <xf numFmtId="167" fontId="12" fillId="0" borderId="45" xfId="0" applyNumberFormat="1" applyFont="1" applyBorder="1" applyAlignment="1">
      <alignment horizontal="center"/>
    </xf>
    <xf numFmtId="167" fontId="4" fillId="0" borderId="46" xfId="0" applyNumberFormat="1" applyFont="1" applyBorder="1" applyAlignment="1">
      <alignment horizontal="center"/>
    </xf>
    <xf numFmtId="167" fontId="4" fillId="0" borderId="27" xfId="0" applyNumberFormat="1" applyFont="1" applyBorder="1" applyAlignment="1">
      <alignment horizontal="center"/>
    </xf>
    <xf numFmtId="167" fontId="4" fillId="0" borderId="20" xfId="0" applyNumberFormat="1" applyFont="1" applyBorder="1" applyAlignment="1">
      <alignment horizontal="center"/>
    </xf>
    <xf numFmtId="167" fontId="4" fillId="0" borderId="51" xfId="0" applyNumberFormat="1" applyFont="1" applyBorder="1" applyAlignment="1">
      <alignment horizontal="center"/>
    </xf>
    <xf numFmtId="167" fontId="4" fillId="0" borderId="68" xfId="0" applyNumberFormat="1" applyFont="1" applyBorder="1" applyAlignment="1">
      <alignment horizontal="center"/>
    </xf>
    <xf numFmtId="167" fontId="4" fillId="0" borderId="38" xfId="0" applyNumberFormat="1" applyFont="1" applyBorder="1" applyAlignment="1">
      <alignment horizontal="left" indent="2"/>
    </xf>
    <xf numFmtId="167" fontId="4" fillId="0" borderId="31" xfId="0" applyNumberFormat="1" applyFont="1" applyBorder="1" applyAlignment="1">
      <alignment horizontal="center"/>
    </xf>
    <xf numFmtId="167" fontId="4" fillId="0" borderId="17" xfId="0" applyNumberFormat="1" applyFont="1" applyBorder="1" applyAlignment="1">
      <alignment horizontal="center"/>
    </xf>
    <xf numFmtId="167" fontId="4" fillId="0" borderId="28" xfId="0" applyNumberFormat="1" applyFont="1" applyBorder="1" applyAlignment="1">
      <alignment horizontal="center"/>
    </xf>
    <xf numFmtId="167" fontId="4" fillId="0" borderId="52" xfId="0" applyNumberFormat="1" applyFont="1" applyBorder="1" applyAlignment="1">
      <alignment horizontal="center"/>
    </xf>
    <xf numFmtId="14" fontId="7" fillId="0" borderId="6" xfId="0" applyNumberFormat="1" applyFont="1" applyBorder="1" applyAlignment="1" applyProtection="1">
      <alignment horizontal="center" vertical="center"/>
      <protection locked="0"/>
    </xf>
    <xf numFmtId="44" fontId="4" fillId="0" borderId="38" xfId="1" applyFont="1" applyBorder="1" applyAlignment="1">
      <alignment horizontal="center"/>
    </xf>
    <xf numFmtId="40" fontId="4" fillId="0" borderId="32" xfId="0" applyNumberFormat="1" applyFont="1" applyBorder="1" applyAlignment="1">
      <alignment horizontal="center"/>
    </xf>
    <xf numFmtId="167" fontId="4" fillId="0" borderId="26" xfId="1" applyNumberFormat="1" applyFont="1" applyBorder="1" applyAlignment="1">
      <alignment horizontal="center"/>
    </xf>
    <xf numFmtId="167" fontId="4" fillId="0" borderId="16" xfId="1" applyNumberFormat="1" applyFont="1" applyBorder="1" applyAlignment="1">
      <alignment horizontal="center"/>
    </xf>
    <xf numFmtId="167" fontId="12" fillId="0" borderId="26" xfId="1" applyNumberFormat="1" applyFont="1" applyBorder="1" applyAlignment="1">
      <alignment horizontal="center"/>
    </xf>
    <xf numFmtId="167" fontId="12" fillId="0" borderId="16" xfId="1" applyNumberFormat="1" applyFont="1" applyBorder="1" applyAlignment="1">
      <alignment horizontal="center"/>
    </xf>
    <xf numFmtId="167" fontId="4" fillId="0" borderId="12" xfId="1" applyNumberFormat="1" applyFont="1" applyBorder="1" applyAlignment="1">
      <alignment horizontal="center"/>
    </xf>
    <xf numFmtId="167" fontId="4" fillId="0" borderId="45" xfId="1" applyNumberFormat="1" applyFont="1" applyBorder="1" applyAlignment="1">
      <alignment horizontal="center"/>
    </xf>
    <xf numFmtId="167" fontId="4" fillId="0" borderId="38" xfId="0" applyNumberFormat="1" applyFont="1" applyBorder="1" applyAlignment="1">
      <alignment horizontal="center"/>
    </xf>
    <xf numFmtId="167" fontId="4" fillId="0" borderId="32" xfId="1" applyNumberFormat="1" applyFont="1" applyBorder="1" applyAlignment="1">
      <alignment horizontal="center"/>
    </xf>
    <xf numFmtId="167" fontId="4" fillId="0" borderId="32" xfId="0" applyNumberFormat="1" applyFont="1" applyBorder="1" applyAlignment="1">
      <alignment horizontal="center"/>
    </xf>
    <xf numFmtId="167" fontId="4" fillId="0" borderId="27" xfId="1" applyNumberFormat="1" applyFont="1" applyBorder="1" applyAlignment="1">
      <alignment horizontal="center"/>
    </xf>
    <xf numFmtId="167" fontId="4" fillId="0" borderId="20" xfId="1" applyNumberFormat="1" applyFont="1" applyBorder="1" applyAlignment="1">
      <alignment horizontal="center"/>
    </xf>
    <xf numFmtId="167" fontId="4" fillId="0" borderId="40" xfId="1" applyNumberFormat="1" applyFont="1" applyBorder="1" applyAlignment="1">
      <alignment horizontal="center"/>
    </xf>
    <xf numFmtId="167" fontId="4" fillId="0" borderId="41" xfId="1" applyNumberFormat="1" applyFont="1" applyBorder="1" applyAlignment="1">
      <alignment horizontal="center"/>
    </xf>
    <xf numFmtId="167" fontId="4" fillId="0" borderId="41" xfId="0" applyNumberFormat="1" applyFont="1" applyBorder="1" applyAlignment="1">
      <alignment horizontal="center"/>
    </xf>
    <xf numFmtId="167" fontId="4" fillId="0" borderId="31" xfId="1" applyNumberFormat="1" applyFont="1" applyBorder="1" applyAlignment="1">
      <alignment horizontal="center"/>
    </xf>
    <xf numFmtId="167" fontId="4" fillId="0" borderId="17" xfId="1" applyNumberFormat="1" applyFont="1" applyBorder="1" applyAlignment="1">
      <alignment horizontal="center"/>
    </xf>
    <xf numFmtId="1" fontId="4" fillId="0" borderId="45" xfId="0" applyNumberFormat="1" applyFont="1" applyBorder="1" applyAlignment="1">
      <alignment horizontal="center"/>
    </xf>
    <xf numFmtId="1" fontId="4" fillId="0" borderId="46" xfId="0" applyNumberFormat="1" applyFont="1" applyBorder="1" applyAlignment="1">
      <alignment horizontal="center"/>
    </xf>
    <xf numFmtId="167" fontId="4" fillId="0" borderId="40" xfId="0" applyNumberFormat="1" applyFont="1" applyBorder="1" applyAlignment="1">
      <alignment horizontal="center"/>
    </xf>
    <xf numFmtId="167" fontId="4" fillId="0" borderId="42" xfId="0" applyNumberFormat="1" applyFont="1" applyBorder="1" applyAlignment="1">
      <alignment horizontal="center"/>
    </xf>
    <xf numFmtId="167" fontId="4" fillId="0" borderId="35" xfId="0" applyNumberFormat="1" applyFont="1" applyBorder="1" applyAlignment="1">
      <alignment horizontal="center"/>
    </xf>
    <xf numFmtId="167" fontId="4" fillId="0" borderId="36" xfId="0" applyNumberFormat="1" applyFont="1" applyBorder="1" applyAlignment="1">
      <alignment horizontal="center"/>
    </xf>
    <xf numFmtId="0" fontId="7" fillId="0" borderId="115" xfId="0" applyFont="1" applyBorder="1" applyAlignment="1" applyProtection="1">
      <alignment horizontal="center" vertical="center"/>
      <protection locked="0"/>
    </xf>
    <xf numFmtId="38" fontId="4" fillId="0" borderId="116" xfId="0" applyNumberFormat="1" applyFont="1" applyBorder="1" applyAlignment="1">
      <alignment horizontal="center"/>
    </xf>
    <xf numFmtId="38" fontId="4" fillId="0" borderId="117" xfId="0" applyNumberFormat="1" applyFont="1" applyBorder="1" applyAlignment="1">
      <alignment horizontal="center"/>
    </xf>
    <xf numFmtId="6" fontId="4" fillId="0" borderId="118" xfId="0" applyNumberFormat="1" applyFont="1" applyBorder="1" applyAlignment="1">
      <alignment horizontal="center"/>
    </xf>
    <xf numFmtId="6" fontId="4" fillId="0" borderId="43" xfId="0" applyNumberFormat="1" applyFont="1" applyBorder="1" applyAlignment="1">
      <alignment horizontal="center"/>
    </xf>
    <xf numFmtId="165" fontId="4" fillId="0" borderId="51" xfId="0" applyNumberFormat="1" applyFont="1" applyBorder="1" applyAlignment="1">
      <alignment horizontal="center"/>
    </xf>
    <xf numFmtId="38" fontId="4" fillId="0" borderId="51" xfId="0" applyNumberFormat="1" applyFont="1" applyBorder="1" applyAlignment="1">
      <alignment horizontal="center"/>
    </xf>
    <xf numFmtId="0" fontId="4" fillId="0" borderId="43" xfId="0" applyFont="1" applyBorder="1" applyAlignment="1">
      <alignment horizontal="center"/>
    </xf>
    <xf numFmtId="3" fontId="0" fillId="0" borderId="43" xfId="0" applyNumberFormat="1" applyFont="1" applyBorder="1" applyAlignment="1">
      <alignment horizontal="center"/>
    </xf>
    <xf numFmtId="0" fontId="0" fillId="0" borderId="43" xfId="0" applyFont="1" applyBorder="1"/>
    <xf numFmtId="0" fontId="5" fillId="0" borderId="115" xfId="0" applyFont="1" applyBorder="1" applyAlignment="1" applyProtection="1">
      <alignment horizontal="centerContinuous"/>
    </xf>
    <xf numFmtId="0" fontId="4" fillId="0" borderId="0" xfId="0" applyFont="1" applyBorder="1"/>
    <xf numFmtId="38" fontId="0" fillId="0" borderId="52" xfId="0" applyNumberFormat="1" applyFont="1" applyBorder="1" applyAlignment="1">
      <alignment horizontal="center"/>
    </xf>
    <xf numFmtId="0" fontId="4" fillId="0" borderId="120" xfId="0" applyFont="1" applyBorder="1"/>
    <xf numFmtId="38" fontId="0" fillId="0" borderId="87" xfId="0" applyNumberFormat="1" applyFont="1" applyBorder="1" applyAlignment="1">
      <alignment horizontal="center"/>
    </xf>
    <xf numFmtId="3" fontId="0" fillId="0" borderId="121" xfId="0" applyNumberFormat="1" applyFont="1" applyBorder="1" applyAlignment="1">
      <alignment horizontal="center"/>
    </xf>
    <xf numFmtId="38" fontId="0" fillId="0" borderId="124" xfId="0" applyNumberFormat="1" applyFont="1" applyBorder="1" applyAlignment="1">
      <alignment horizontal="center"/>
    </xf>
    <xf numFmtId="38" fontId="4" fillId="0" borderId="124" xfId="0" applyNumberFormat="1" applyFont="1" applyBorder="1" applyAlignment="1">
      <alignment horizontal="center"/>
    </xf>
    <xf numFmtId="0" fontId="0" fillId="0" borderId="124" xfId="0" applyFont="1" applyBorder="1" applyAlignment="1">
      <alignment horizontal="center"/>
    </xf>
    <xf numFmtId="6" fontId="4" fillId="0" borderId="124" xfId="0" applyNumberFormat="1" applyFont="1" applyBorder="1" applyAlignment="1">
      <alignment horizontal="center"/>
    </xf>
    <xf numFmtId="0" fontId="4" fillId="0" borderId="124" xfId="0" applyFont="1" applyBorder="1" applyAlignment="1">
      <alignment horizontal="center"/>
    </xf>
    <xf numFmtId="6" fontId="0" fillId="0" borderId="124" xfId="0" applyNumberFormat="1" applyFont="1" applyBorder="1" applyAlignment="1">
      <alignment horizontal="center"/>
    </xf>
    <xf numFmtId="165" fontId="0" fillId="0" borderId="124" xfId="0" applyNumberFormat="1" applyFont="1" applyBorder="1" applyAlignment="1">
      <alignment horizontal="center"/>
    </xf>
    <xf numFmtId="38" fontId="0" fillId="0" borderId="64" xfId="0" applyNumberFormat="1" applyFont="1" applyBorder="1" applyAlignment="1">
      <alignment horizontal="center"/>
    </xf>
    <xf numFmtId="0" fontId="0" fillId="0" borderId="64" xfId="0" applyFont="1" applyBorder="1" applyAlignment="1">
      <alignment horizontal="center"/>
    </xf>
    <xf numFmtId="0" fontId="4" fillId="0" borderId="12" xfId="0" applyFont="1" applyBorder="1" applyAlignment="1">
      <alignment horizontal="center"/>
    </xf>
    <xf numFmtId="0" fontId="4" fillId="0" borderId="64" xfId="0" applyFont="1" applyBorder="1" applyAlignment="1">
      <alignment horizontal="center"/>
    </xf>
    <xf numFmtId="6" fontId="0" fillId="0" borderId="12" xfId="0" applyNumberFormat="1" applyFont="1" applyBorder="1" applyAlignment="1">
      <alignment horizontal="center"/>
    </xf>
    <xf numFmtId="6" fontId="0" fillId="0" borderId="64" xfId="0" applyNumberFormat="1" applyFont="1" applyBorder="1" applyAlignment="1">
      <alignment horizontal="center"/>
    </xf>
    <xf numFmtId="165" fontId="0" fillId="0" borderId="12" xfId="0" applyNumberFormat="1" applyFont="1" applyBorder="1" applyAlignment="1">
      <alignment horizontal="center"/>
    </xf>
    <xf numFmtId="165" fontId="0" fillId="0" borderId="64" xfId="0" applyNumberFormat="1" applyFont="1" applyBorder="1" applyAlignment="1">
      <alignment horizontal="center"/>
    </xf>
    <xf numFmtId="0" fontId="5" fillId="0" borderId="122" xfId="0" applyFont="1" applyBorder="1" applyAlignment="1" applyProtection="1">
      <alignment horizontal="centerContinuous"/>
    </xf>
    <xf numFmtId="0" fontId="5" fillId="0" borderId="123" xfId="0" applyFont="1" applyBorder="1" applyAlignment="1" applyProtection="1">
      <alignment horizontal="centerContinuous"/>
    </xf>
    <xf numFmtId="38" fontId="0" fillId="0" borderId="125" xfId="0" applyNumberFormat="1" applyFont="1" applyBorder="1" applyAlignment="1">
      <alignment horizontal="center"/>
    </xf>
    <xf numFmtId="38" fontId="0" fillId="0" borderId="36" xfId="0" applyNumberFormat="1" applyFont="1" applyBorder="1" applyAlignment="1">
      <alignment horizontal="center"/>
    </xf>
    <xf numFmtId="38" fontId="0" fillId="0" borderId="126" xfId="0" applyNumberFormat="1" applyFont="1" applyBorder="1" applyAlignment="1">
      <alignment horizontal="center"/>
    </xf>
    <xf numFmtId="0" fontId="7" fillId="0" borderId="127"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128" xfId="0" applyFont="1" applyBorder="1" applyAlignment="1" applyProtection="1">
      <alignment horizontal="center" vertical="center"/>
      <protection locked="0"/>
    </xf>
    <xf numFmtId="0" fontId="7" fillId="0" borderId="129" xfId="0" applyFont="1" applyBorder="1" applyAlignment="1" applyProtection="1">
      <alignment horizontal="center" vertical="center"/>
      <protection locked="0"/>
    </xf>
    <xf numFmtId="0" fontId="7" fillId="0" borderId="130" xfId="0" applyFont="1" applyBorder="1" applyAlignment="1" applyProtection="1">
      <alignment horizontal="center" vertical="center"/>
      <protection locked="0"/>
    </xf>
    <xf numFmtId="8" fontId="4" fillId="0" borderId="16" xfId="0" applyNumberFormat="1" applyFont="1" applyBorder="1" applyAlignment="1">
      <alignment horizontal="center"/>
    </xf>
    <xf numFmtId="8" fontId="4" fillId="0" borderId="12" xfId="0" applyNumberFormat="1" applyFont="1" applyBorder="1" applyAlignment="1">
      <alignment horizontal="center"/>
    </xf>
    <xf numFmtId="8" fontId="4" fillId="0" borderId="32" xfId="0" applyNumberFormat="1" applyFont="1" applyBorder="1" applyAlignment="1">
      <alignment horizontal="center"/>
    </xf>
    <xf numFmtId="8" fontId="4" fillId="0" borderId="20" xfId="0" applyNumberFormat="1" applyFont="1" applyBorder="1" applyAlignment="1">
      <alignment horizontal="center"/>
    </xf>
    <xf numFmtId="8" fontId="4" fillId="0" borderId="41" xfId="0" applyNumberFormat="1" applyFont="1" applyBorder="1" applyAlignment="1">
      <alignment horizontal="center"/>
    </xf>
    <xf numFmtId="8" fontId="4" fillId="0" borderId="17" xfId="0" applyNumberFormat="1" applyFont="1" applyBorder="1" applyAlignment="1">
      <alignment horizontal="center"/>
    </xf>
    <xf numFmtId="8" fontId="4" fillId="0" borderId="58" xfId="0" applyNumberFormat="1" applyFont="1" applyBorder="1" applyAlignment="1">
      <alignment horizontal="center"/>
    </xf>
    <xf numFmtId="167" fontId="12" fillId="0" borderId="0" xfId="0" applyNumberFormat="1" applyFont="1" applyAlignment="1">
      <alignment horizontal="center"/>
    </xf>
    <xf numFmtId="0" fontId="0" fillId="0" borderId="81" xfId="0" applyFont="1" applyBorder="1" applyAlignment="1">
      <alignment horizontal="center"/>
    </xf>
    <xf numFmtId="3" fontId="0" fillId="0" borderId="19" xfId="1" applyNumberFormat="1" applyFont="1" applyBorder="1" applyAlignment="1">
      <alignment horizontal="center"/>
    </xf>
    <xf numFmtId="167" fontId="4" fillId="0" borderId="33" xfId="0" applyNumberFormat="1" applyFont="1" applyBorder="1" applyAlignment="1">
      <alignment horizontal="center"/>
    </xf>
    <xf numFmtId="167" fontId="4" fillId="0" borderId="48" xfId="0" applyNumberFormat="1" applyFont="1" applyBorder="1" applyAlignment="1">
      <alignment horizontal="center"/>
    </xf>
    <xf numFmtId="14" fontId="7" fillId="0" borderId="22" xfId="0" applyNumberFormat="1" applyFont="1" applyBorder="1" applyAlignment="1" applyProtection="1">
      <alignment horizontal="center" vertical="center"/>
      <protection locked="0"/>
    </xf>
    <xf numFmtId="14" fontId="7" fillId="0" borderId="73" xfId="0" applyNumberFormat="1" applyFont="1" applyBorder="1" applyAlignment="1" applyProtection="1">
      <alignment horizontal="center" vertical="center"/>
      <protection locked="0"/>
    </xf>
    <xf numFmtId="14" fontId="7" fillId="0" borderId="14" xfId="0" applyNumberFormat="1" applyFont="1" applyBorder="1" applyAlignment="1" applyProtection="1">
      <alignment horizontal="center" vertical="center"/>
      <protection locked="0"/>
    </xf>
    <xf numFmtId="0" fontId="12" fillId="0" borderId="0" xfId="0" applyFont="1" applyAlignment="1">
      <alignment horizontal="center"/>
    </xf>
    <xf numFmtId="166" fontId="4" fillId="0" borderId="45" xfId="1" applyNumberFormat="1" applyFont="1" applyBorder="1" applyAlignment="1">
      <alignment horizontal="center"/>
    </xf>
    <xf numFmtId="38" fontId="4" fillId="0" borderId="42" xfId="0" applyNumberFormat="1" applyFont="1" applyBorder="1" applyAlignment="1">
      <alignment horizontal="center"/>
    </xf>
    <xf numFmtId="0" fontId="0" fillId="0" borderId="131" xfId="0" applyFont="1" applyBorder="1"/>
    <xf numFmtId="0" fontId="0" fillId="0" borderId="132" xfId="0" applyFont="1" applyBorder="1"/>
    <xf numFmtId="3" fontId="4" fillId="0" borderId="133" xfId="0" applyNumberFormat="1" applyFont="1" applyBorder="1" applyAlignment="1">
      <alignment horizontal="center"/>
    </xf>
    <xf numFmtId="3" fontId="0" fillId="0" borderId="134" xfId="0" applyNumberFormat="1" applyFont="1" applyBorder="1" applyAlignment="1">
      <alignment horizontal="center"/>
    </xf>
    <xf numFmtId="3" fontId="0" fillId="0" borderId="135" xfId="0" applyNumberFormat="1" applyFont="1" applyBorder="1" applyAlignment="1">
      <alignment horizontal="center"/>
    </xf>
    <xf numFmtId="3" fontId="0" fillId="0" borderId="57" xfId="1" applyNumberFormat="1" applyFont="1" applyBorder="1" applyAlignment="1">
      <alignment horizontal="center"/>
    </xf>
    <xf numFmtId="0" fontId="0" fillId="0" borderId="57" xfId="0" applyFont="1" applyBorder="1" applyAlignment="1">
      <alignment horizontal="center"/>
    </xf>
    <xf numFmtId="166" fontId="4" fillId="0" borderId="136" xfId="0" applyNumberFormat="1" applyFont="1" applyBorder="1" applyAlignment="1">
      <alignment horizontal="center"/>
    </xf>
    <xf numFmtId="166" fontId="4" fillId="0" borderId="117" xfId="0" applyNumberFormat="1" applyFont="1" applyBorder="1" applyAlignment="1">
      <alignment horizontal="center"/>
    </xf>
    <xf numFmtId="0" fontId="0" fillId="0" borderId="138" xfId="0" applyFont="1" applyBorder="1"/>
    <xf numFmtId="8" fontId="4" fillId="0" borderId="136" xfId="0" applyNumberFormat="1" applyFont="1" applyBorder="1" applyAlignment="1">
      <alignment horizontal="center"/>
    </xf>
    <xf numFmtId="8" fontId="4" fillId="0" borderId="117" xfId="0" applyNumberFormat="1" applyFont="1" applyBorder="1" applyAlignment="1">
      <alignment horizontal="center"/>
    </xf>
    <xf numFmtId="0" fontId="0" fillId="0" borderId="24" xfId="0" applyFont="1" applyBorder="1"/>
    <xf numFmtId="38" fontId="4" fillId="0" borderId="34" xfId="0" applyNumberFormat="1" applyFont="1" applyBorder="1" applyAlignment="1">
      <alignment horizontal="center"/>
    </xf>
    <xf numFmtId="6" fontId="4" fillId="0" borderId="136" xfId="0" applyNumberFormat="1" applyFont="1" applyBorder="1" applyAlignment="1">
      <alignment horizontal="center"/>
    </xf>
    <xf numFmtId="6" fontId="4" fillId="0" borderId="117" xfId="0" applyNumberFormat="1" applyFont="1" applyBorder="1" applyAlignment="1">
      <alignment horizontal="center"/>
    </xf>
    <xf numFmtId="0" fontId="0" fillId="0" borderId="136" xfId="0" applyFont="1" applyBorder="1"/>
    <xf numFmtId="38" fontId="4" fillId="0" borderId="136" xfId="0" applyNumberFormat="1" applyFont="1" applyBorder="1" applyAlignment="1">
      <alignment horizontal="center"/>
    </xf>
    <xf numFmtId="0" fontId="0" fillId="0" borderId="139" xfId="0" applyFont="1" applyBorder="1" applyAlignment="1">
      <alignment horizontal="center"/>
    </xf>
    <xf numFmtId="3" fontId="0" fillId="0" borderId="86" xfId="0" applyNumberFormat="1" applyFont="1" applyBorder="1" applyAlignment="1">
      <alignment horizontal="center"/>
    </xf>
    <xf numFmtId="0" fontId="0" fillId="0" borderId="137" xfId="0" applyFont="1" applyBorder="1" applyAlignment="1">
      <alignment horizontal="center"/>
    </xf>
    <xf numFmtId="0" fontId="0" fillId="0" borderId="140" xfId="0" applyFont="1" applyBorder="1" applyAlignment="1">
      <alignment horizontal="center"/>
    </xf>
    <xf numFmtId="0" fontId="0" fillId="0" borderId="135" xfId="0" applyFont="1" applyBorder="1" applyAlignment="1">
      <alignment horizontal="center"/>
    </xf>
    <xf numFmtId="0" fontId="0" fillId="0" borderId="141" xfId="0" applyFont="1" applyBorder="1" applyAlignment="1">
      <alignment horizontal="center"/>
    </xf>
    <xf numFmtId="0" fontId="0" fillId="0" borderId="142" xfId="0" applyFont="1" applyBorder="1" applyAlignment="1">
      <alignment horizontal="center"/>
    </xf>
    <xf numFmtId="0" fontId="0" fillId="0" borderId="121" xfId="0" applyFont="1" applyBorder="1" applyAlignment="1">
      <alignment horizontal="center"/>
    </xf>
    <xf numFmtId="0" fontId="0" fillId="0" borderId="75" xfId="0" applyFont="1" applyBorder="1" applyAlignment="1">
      <alignment horizontal="center"/>
    </xf>
    <xf numFmtId="0" fontId="0" fillId="0" borderId="143" xfId="0" applyFont="1" applyBorder="1" applyAlignment="1">
      <alignment horizontal="center"/>
    </xf>
    <xf numFmtId="0" fontId="0" fillId="0" borderId="144" xfId="0" applyFont="1" applyBorder="1"/>
    <xf numFmtId="0" fontId="0" fillId="0" borderId="145" xfId="0" applyFont="1" applyBorder="1" applyAlignment="1">
      <alignment horizontal="center"/>
    </xf>
    <xf numFmtId="0" fontId="0" fillId="0" borderId="133" xfId="0" applyFont="1" applyBorder="1" applyAlignment="1">
      <alignment horizontal="center"/>
    </xf>
    <xf numFmtId="0" fontId="0" fillId="0" borderId="146" xfId="0" applyFont="1" applyBorder="1" applyAlignment="1">
      <alignment horizontal="center"/>
    </xf>
    <xf numFmtId="8" fontId="4" fillId="3" borderId="26" xfId="1" applyNumberFormat="1" applyFont="1" applyFill="1" applyBorder="1" applyAlignment="1">
      <alignment horizontal="center"/>
    </xf>
    <xf numFmtId="8" fontId="4" fillId="3" borderId="45" xfId="1" applyNumberFormat="1" applyFont="1" applyFill="1" applyBorder="1" applyAlignment="1">
      <alignment horizontal="center"/>
    </xf>
    <xf numFmtId="44" fontId="12" fillId="0" borderId="0" xfId="0" applyNumberFormat="1" applyFont="1"/>
    <xf numFmtId="8" fontId="4" fillId="0" borderId="65" xfId="0" applyNumberFormat="1" applyFont="1" applyBorder="1" applyAlignment="1">
      <alignment horizontal="center"/>
    </xf>
    <xf numFmtId="8" fontId="4" fillId="0" borderId="64" xfId="0" applyNumberFormat="1" applyFont="1" applyBorder="1" applyAlignment="1">
      <alignment horizontal="center"/>
    </xf>
    <xf numFmtId="7" fontId="0" fillId="0" borderId="0" xfId="0" applyNumberFormat="1"/>
    <xf numFmtId="167" fontId="4" fillId="3" borderId="26" xfId="1" applyNumberFormat="1" applyFont="1" applyFill="1" applyBorder="1" applyAlignment="1">
      <alignment horizontal="center"/>
    </xf>
    <xf numFmtId="167" fontId="4" fillId="0" borderId="64" xfId="0" applyNumberFormat="1" applyFont="1" applyBorder="1" applyAlignment="1">
      <alignment horizontal="center"/>
    </xf>
    <xf numFmtId="167" fontId="4" fillId="3" borderId="45" xfId="1" applyNumberFormat="1" applyFont="1" applyFill="1" applyBorder="1" applyAlignment="1">
      <alignment horizontal="center"/>
    </xf>
    <xf numFmtId="167" fontId="4" fillId="0" borderId="65"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2" fillId="0" borderId="38" xfId="0" applyFont="1" applyFill="1" applyBorder="1"/>
    <xf numFmtId="0" fontId="4" fillId="0" borderId="38" xfId="0" applyFont="1" applyFill="1" applyBorder="1" applyAlignment="1">
      <alignment horizontal="left" indent="2"/>
    </xf>
    <xf numFmtId="0" fontId="2" fillId="0" borderId="26" xfId="0" applyFont="1" applyFill="1" applyBorder="1"/>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5" fillId="0" borderId="9" xfId="0" applyFont="1" applyBorder="1" applyAlignment="1">
      <alignment horizontal="centerContinuous"/>
    </xf>
    <xf numFmtId="0" fontId="5" fillId="0" borderId="76" xfId="0" applyFont="1" applyBorder="1" applyAlignment="1">
      <alignment horizontal="centerContinuous"/>
    </xf>
    <xf numFmtId="0" fontId="0" fillId="0" borderId="0" xfId="0" applyAlignment="1">
      <alignment horizontal="left"/>
    </xf>
    <xf numFmtId="0" fontId="7" fillId="0" borderId="147"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1" xfId="0" applyNumberFormat="1" applyBorder="1" applyAlignment="1">
      <alignment horizontal="center"/>
    </xf>
    <xf numFmtId="38" fontId="0" fillId="0" borderId="0" xfId="0" applyNumberFormat="1" applyAlignment="1">
      <alignment horizontal="center"/>
    </xf>
    <xf numFmtId="0" fontId="0" fillId="0" borderId="36" xfId="0" applyBorder="1" applyAlignment="1">
      <alignment horizontal="center"/>
    </xf>
    <xf numFmtId="0" fontId="0" fillId="0" borderId="39" xfId="0" applyBorder="1" applyAlignment="1">
      <alignment horizontal="center"/>
    </xf>
    <xf numFmtId="0" fontId="0" fillId="4" borderId="0" xfId="0" applyFill="1"/>
    <xf numFmtId="38" fontId="4" fillId="4" borderId="26" xfId="0" applyNumberFormat="1" applyFont="1" applyFill="1" applyBorder="1" applyAlignment="1">
      <alignment horizontal="center"/>
    </xf>
    <xf numFmtId="38" fontId="0" fillId="0" borderId="12" xfId="0" applyNumberFormat="1" applyBorder="1" applyAlignment="1">
      <alignment horizontal="center"/>
    </xf>
    <xf numFmtId="38" fontId="0" fillId="0" borderId="19"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45"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42" xfId="0" applyNumberFormat="1" applyFont="1" applyBorder="1" applyAlignment="1">
      <alignment horizontal="center"/>
    </xf>
    <xf numFmtId="167" fontId="12" fillId="0" borderId="64"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7" xfId="0" applyBorder="1" applyAlignment="1">
      <alignment horizontal="center"/>
    </xf>
    <xf numFmtId="6" fontId="0" fillId="0" borderId="55" xfId="0" applyNumberFormat="1" applyBorder="1" applyAlignment="1">
      <alignment horizontal="center"/>
    </xf>
    <xf numFmtId="167" fontId="0" fillId="3" borderId="0" xfId="0" applyNumberFormat="1" applyFill="1" applyAlignment="1">
      <alignment horizontal="center"/>
    </xf>
    <xf numFmtId="165" fontId="0" fillId="0" borderId="17" xfId="0" applyNumberFormat="1" applyBorder="1" applyAlignment="1">
      <alignment horizontal="center"/>
    </xf>
    <xf numFmtId="165" fontId="0" fillId="0" borderId="0" xfId="0" applyNumberFormat="1" applyAlignment="1">
      <alignment horizontal="center"/>
    </xf>
    <xf numFmtId="0" fontId="0" fillId="0" borderId="4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87" xfId="0" applyBorder="1" applyAlignment="1">
      <alignment horizontal="center"/>
    </xf>
    <xf numFmtId="38" fontId="0" fillId="0" borderId="40" xfId="0" applyNumberFormat="1" applyBorder="1" applyAlignment="1">
      <alignment horizontal="center"/>
    </xf>
    <xf numFmtId="38" fontId="0" fillId="0" borderId="41" xfId="0" applyNumberFormat="1" applyBorder="1" applyAlignment="1">
      <alignment horizontal="center"/>
    </xf>
    <xf numFmtId="38" fontId="0" fillId="0" borderId="42" xfId="0" applyNumberFormat="1" applyBorder="1" applyAlignment="1">
      <alignment horizontal="center"/>
    </xf>
    <xf numFmtId="38" fontId="0" fillId="0" borderId="43" xfId="0" applyNumberFormat="1" applyBorder="1" applyAlignment="1">
      <alignment horizontal="center"/>
    </xf>
    <xf numFmtId="38" fontId="0" fillId="0" borderId="27" xfId="0" applyNumberFormat="1" applyBorder="1" applyAlignment="1">
      <alignment horizontal="center"/>
    </xf>
    <xf numFmtId="38" fontId="0" fillId="0" borderId="49" xfId="0" applyNumberFormat="1" applyBorder="1" applyAlignment="1">
      <alignment horizontal="center"/>
    </xf>
    <xf numFmtId="38" fontId="0" fillId="0" borderId="48" xfId="0" applyNumberFormat="1" applyBorder="1" applyAlignment="1">
      <alignment horizontal="center"/>
    </xf>
    <xf numFmtId="0" fontId="2" fillId="0" borderId="44" xfId="0" applyFont="1" applyBorder="1"/>
    <xf numFmtId="0" fontId="0" fillId="0" borderId="42" xfId="0" applyBorder="1" applyAlignment="1">
      <alignment horizontal="center"/>
    </xf>
    <xf numFmtId="0" fontId="0" fillId="0" borderId="12" xfId="0" applyBorder="1" applyAlignment="1">
      <alignment horizontal="center"/>
    </xf>
    <xf numFmtId="0" fontId="0" fillId="0" borderId="19" xfId="0" applyBorder="1" applyAlignment="1">
      <alignment horizontal="center"/>
    </xf>
    <xf numFmtId="0" fontId="0" fillId="0" borderId="40" xfId="0" applyBorder="1" applyAlignment="1">
      <alignment horizontal="center"/>
    </xf>
    <xf numFmtId="3" fontId="0" fillId="0" borderId="40" xfId="0" applyNumberFormat="1" applyBorder="1" applyAlignment="1">
      <alignment horizontal="center"/>
    </xf>
    <xf numFmtId="3" fontId="0" fillId="0" borderId="41" xfId="0" applyNumberFormat="1" applyBorder="1" applyAlignment="1">
      <alignment horizontal="center"/>
    </xf>
    <xf numFmtId="3" fontId="0" fillId="0" borderId="42" xfId="0" applyNumberFormat="1" applyBorder="1" applyAlignment="1">
      <alignment horizontal="center"/>
    </xf>
    <xf numFmtId="3" fontId="0" fillId="0" borderId="0" xfId="0" applyNumberFormat="1" applyAlignment="1">
      <alignment horizontal="center"/>
    </xf>
    <xf numFmtId="3" fontId="0" fillId="0" borderId="12" xfId="0" applyNumberFormat="1" applyBorder="1" applyAlignment="1">
      <alignment horizontal="center"/>
    </xf>
    <xf numFmtId="3" fontId="0" fillId="0" borderId="49" xfId="0" applyNumberFormat="1" applyBorder="1" applyAlignment="1">
      <alignment horizontal="center"/>
    </xf>
    <xf numFmtId="3" fontId="0" fillId="0" borderId="48" xfId="0" applyNumberFormat="1" applyBorder="1" applyAlignment="1">
      <alignment horizontal="center"/>
    </xf>
    <xf numFmtId="3" fontId="0" fillId="0" borderId="17" xfId="0" applyNumberFormat="1" applyBorder="1" applyAlignment="1">
      <alignment horizontal="center"/>
    </xf>
    <xf numFmtId="3" fontId="0" fillId="0" borderId="3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3" fontId="0" fillId="0" borderId="37" xfId="0" applyNumberFormat="1" applyBorder="1" applyAlignment="1">
      <alignment horizontal="center"/>
    </xf>
    <xf numFmtId="3" fontId="0" fillId="0" borderId="72" xfId="0" applyNumberFormat="1" applyBorder="1" applyAlignment="1">
      <alignment horizontal="center"/>
    </xf>
    <xf numFmtId="3" fontId="0" fillId="0" borderId="75" xfId="0" applyNumberFormat="1" applyBorder="1" applyAlignment="1">
      <alignment horizontal="center"/>
    </xf>
    <xf numFmtId="3" fontId="0" fillId="0" borderId="5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6" fontId="4" fillId="0" borderId="81" xfId="0" applyNumberFormat="1" applyFont="1" applyBorder="1" applyAlignment="1">
      <alignment horizontal="center"/>
    </xf>
    <xf numFmtId="166" fontId="0" fillId="0" borderId="19" xfId="0" applyNumberFormat="1" applyFont="1" applyBorder="1" applyAlignment="1">
      <alignment horizontal="center"/>
    </xf>
    <xf numFmtId="166" fontId="4" fillId="0" borderId="136" xfId="0" applyNumberFormat="1" applyFont="1" applyFill="1" applyBorder="1" applyAlignment="1">
      <alignment horizontal="center"/>
    </xf>
    <xf numFmtId="167" fontId="4" fillId="0" borderId="36" xfId="0" applyNumberFormat="1" applyFont="1" applyBorder="1" applyAlignment="1">
      <alignment horizontal="center" wrapText="1"/>
    </xf>
    <xf numFmtId="167" fontId="4" fillId="0" borderId="18" xfId="0" applyNumberFormat="1" applyFont="1" applyBorder="1" applyAlignment="1">
      <alignment horizontal="center"/>
    </xf>
    <xf numFmtId="167" fontId="4" fillId="0" borderId="12" xfId="0" applyNumberFormat="1" applyFont="1" applyBorder="1" applyAlignment="1">
      <alignment horizontal="center" wrapText="1"/>
    </xf>
    <xf numFmtId="167" fontId="4" fillId="0" borderId="66" xfId="0" applyNumberFormat="1" applyFont="1" applyBorder="1" applyAlignment="1">
      <alignment horizontal="center"/>
    </xf>
    <xf numFmtId="0" fontId="0" fillId="0" borderId="0" xfId="0" applyFont="1" applyBorder="1"/>
    <xf numFmtId="0" fontId="0" fillId="0" borderId="0" xfId="0" applyFont="1" applyBorder="1" applyAlignment="1">
      <alignment horizontal="center" wrapText="1"/>
    </xf>
    <xf numFmtId="8" fontId="4" fillId="0" borderId="81" xfId="0" applyNumberFormat="1" applyFont="1" applyBorder="1" applyAlignment="1">
      <alignment horizontal="center"/>
    </xf>
    <xf numFmtId="4" fontId="4" fillId="0" borderId="81"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167" fontId="0" fillId="0" borderId="0" xfId="0" applyNumberFormat="1" applyFont="1"/>
    <xf numFmtId="7" fontId="0" fillId="0" borderId="0" xfId="0" applyNumberFormat="1" applyAlignment="1">
      <alignment horizontal="center"/>
    </xf>
    <xf numFmtId="167" fontId="0" fillId="0" borderId="107" xfId="1" applyNumberFormat="1" applyFont="1" applyBorder="1" applyAlignment="1">
      <alignment horizontal="center"/>
    </xf>
    <xf numFmtId="167" fontId="12" fillId="0" borderId="107" xfId="1" applyNumberFormat="1" applyFont="1" applyBorder="1" applyAlignment="1">
      <alignment horizontal="center"/>
    </xf>
    <xf numFmtId="167" fontId="0" fillId="2" borderId="2" xfId="0" applyNumberFormat="1" applyFill="1" applyBorder="1"/>
    <xf numFmtId="0" fontId="4" fillId="3" borderId="0" xfId="0" applyFont="1" applyFill="1" applyAlignment="1">
      <alignment horizontal="left" vertical="center"/>
    </xf>
    <xf numFmtId="167" fontId="4" fillId="0" borderId="0" xfId="0" applyNumberFormat="1" applyFont="1" applyAlignment="1">
      <alignment horizontal="left" wrapText="1"/>
    </xf>
    <xf numFmtId="0" fontId="4" fillId="3" borderId="0" xfId="0" applyFont="1" applyFill="1" applyAlignment="1">
      <alignment horizontal="left"/>
    </xf>
    <xf numFmtId="167" fontId="2" fillId="0" borderId="0" xfId="0" applyNumberFormat="1" applyFont="1" applyAlignment="1">
      <alignment horizontal="left" wrapText="1"/>
    </xf>
    <xf numFmtId="38" fontId="3" fillId="0" borderId="0" xfId="0" applyNumberFormat="1" applyFont="1" applyAlignment="1" applyProtection="1">
      <alignment horizontal="left"/>
      <protection locked="0"/>
    </xf>
    <xf numFmtId="38" fontId="4" fillId="0" borderId="0" xfId="0" applyNumberFormat="1" applyFont="1"/>
    <xf numFmtId="0" fontId="4" fillId="3" borderId="0" xfId="0" applyFont="1" applyFill="1"/>
    <xf numFmtId="167" fontId="4" fillId="0" borderId="0" xfId="0" applyNumberFormat="1" applyFont="1" applyAlignment="1">
      <alignment wrapText="1"/>
    </xf>
    <xf numFmtId="0" fontId="5" fillId="0" borderId="8" xfId="0" applyFont="1" applyBorder="1" applyAlignment="1">
      <alignment horizontal="centerContinuous"/>
    </xf>
    <xf numFmtId="38" fontId="5" fillId="0" borderId="9" xfId="0" applyNumberFormat="1" applyFont="1" applyBorder="1" applyAlignment="1">
      <alignment horizontal="centerContinuous"/>
    </xf>
    <xf numFmtId="0" fontId="5" fillId="0" borderId="23" xfId="0" applyFont="1" applyBorder="1" applyAlignment="1">
      <alignment horizontal="centerContinuous"/>
    </xf>
    <xf numFmtId="0" fontId="5" fillId="0" borderId="13" xfId="0" applyFont="1" applyBorder="1" applyAlignment="1">
      <alignment horizontal="centerContinuous"/>
    </xf>
    <xf numFmtId="0" fontId="5" fillId="3" borderId="9" xfId="0" applyFont="1" applyFill="1" applyBorder="1" applyAlignment="1">
      <alignment horizontal="centerContinuous"/>
    </xf>
    <xf numFmtId="0" fontId="5" fillId="0" borderId="21" xfId="0" applyFont="1" applyBorder="1" applyAlignment="1">
      <alignment horizontal="centerContinuous"/>
    </xf>
    <xf numFmtId="167" fontId="5" fillId="0" borderId="9" xfId="0" applyNumberFormat="1" applyFont="1" applyBorder="1" applyAlignment="1">
      <alignment horizontal="centerContinuous"/>
    </xf>
    <xf numFmtId="0" fontId="0" fillId="0" borderId="95" xfId="0" applyBorder="1" applyAlignment="1">
      <alignment horizontal="left"/>
    </xf>
    <xf numFmtId="0" fontId="0" fillId="0" borderId="96" xfId="0" applyBorder="1" applyAlignment="1">
      <alignment horizontal="left"/>
    </xf>
    <xf numFmtId="0" fontId="0" fillId="0" borderId="97" xfId="0" applyBorder="1" applyAlignment="1">
      <alignment horizontal="center"/>
    </xf>
    <xf numFmtId="0" fontId="0" fillId="0" borderId="98" xfId="0" applyBorder="1" applyAlignment="1">
      <alignment horizontal="center"/>
    </xf>
    <xf numFmtId="14" fontId="7" fillId="0" borderId="71" xfId="0" applyNumberFormat="1" applyFont="1" applyBorder="1" applyAlignment="1" applyProtection="1">
      <alignment horizontal="center" vertical="center"/>
      <protection locked="0"/>
    </xf>
    <xf numFmtId="14" fontId="7" fillId="3" borderId="7" xfId="0" applyNumberFormat="1" applyFont="1" applyFill="1" applyBorder="1" applyAlignment="1" applyProtection="1">
      <alignment horizontal="center" vertical="center"/>
      <protection locked="0"/>
    </xf>
    <xf numFmtId="14" fontId="0" fillId="0" borderId="95" xfId="0" applyNumberFormat="1" applyBorder="1" applyAlignment="1">
      <alignment horizontal="center"/>
    </xf>
    <xf numFmtId="14" fontId="0" fillId="0" borderId="102" xfId="0" applyNumberFormat="1" applyBorder="1" applyAlignment="1">
      <alignment horizontal="center"/>
    </xf>
    <xf numFmtId="14" fontId="0" fillId="0" borderId="103" xfId="0" applyNumberFormat="1" applyBorder="1" applyAlignment="1">
      <alignment horizontal="center"/>
    </xf>
    <xf numFmtId="14" fontId="0" fillId="0" borderId="104" xfId="0" applyNumberFormat="1" applyBorder="1" applyAlignment="1">
      <alignment horizontal="center"/>
    </xf>
    <xf numFmtId="0" fontId="4" fillId="3" borderId="36" xfId="0" applyFont="1" applyFill="1" applyBorder="1" applyAlignment="1">
      <alignment horizontal="center"/>
    </xf>
    <xf numFmtId="167" fontId="0" fillId="0" borderId="36" xfId="0" applyNumberFormat="1" applyBorder="1" applyAlignment="1">
      <alignment horizontal="center"/>
    </xf>
    <xf numFmtId="0" fontId="0" fillId="0" borderId="84" xfId="0" applyBorder="1" applyAlignment="1">
      <alignment horizontal="center"/>
    </xf>
    <xf numFmtId="0" fontId="0" fillId="0" borderId="90" xfId="0" applyBorder="1"/>
    <xf numFmtId="0" fontId="0" fillId="0" borderId="99" xfId="0" applyBorder="1"/>
    <xf numFmtId="0" fontId="0" fillId="0" borderId="100" xfId="0" applyBorder="1" applyAlignment="1">
      <alignment horizontal="center"/>
    </xf>
    <xf numFmtId="0" fontId="0" fillId="0" borderId="101" xfId="0" applyBorder="1" applyAlignment="1">
      <alignment horizontal="center"/>
    </xf>
    <xf numFmtId="38" fontId="4" fillId="4" borderId="18" xfId="0" applyNumberFormat="1" applyFont="1" applyFill="1" applyBorder="1" applyAlignment="1">
      <alignment horizontal="center"/>
    </xf>
    <xf numFmtId="38" fontId="4" fillId="3" borderId="18" xfId="0" applyNumberFormat="1" applyFont="1" applyFill="1" applyBorder="1" applyAlignment="1">
      <alignment horizontal="center"/>
    </xf>
    <xf numFmtId="38" fontId="4" fillId="3" borderId="12" xfId="0" applyNumberFormat="1" applyFont="1" applyFill="1" applyBorder="1" applyAlignment="1">
      <alignment horizontal="center"/>
    </xf>
    <xf numFmtId="167" fontId="0" fillId="0" borderId="12" xfId="0" applyNumberFormat="1" applyBorder="1" applyAlignment="1">
      <alignment horizontal="center"/>
    </xf>
    <xf numFmtId="38" fontId="0" fillId="0" borderId="81" xfId="0" applyNumberFormat="1" applyBorder="1" applyAlignment="1">
      <alignment horizontal="center"/>
    </xf>
    <xf numFmtId="0" fontId="0" fillId="0" borderId="107" xfId="0" applyBorder="1"/>
    <xf numFmtId="0" fontId="0" fillId="0" borderId="109" xfId="0" applyBorder="1"/>
    <xf numFmtId="38" fontId="4" fillId="4" borderId="12" xfId="0" applyNumberFormat="1" applyFont="1" applyFill="1" applyBorder="1" applyAlignment="1">
      <alignment horizontal="center"/>
    </xf>
    <xf numFmtId="0" fontId="0" fillId="0" borderId="107" xfId="0" applyBorder="1" applyAlignment="1">
      <alignment horizontal="center"/>
    </xf>
    <xf numFmtId="0" fontId="0" fillId="0" borderId="109" xfId="0" applyBorder="1" applyAlignment="1">
      <alignment horizontal="center"/>
    </xf>
    <xf numFmtId="38" fontId="4" fillId="3" borderId="16" xfId="0" applyNumberFormat="1" applyFont="1" applyFill="1" applyBorder="1" applyAlignment="1">
      <alignment horizontal="center"/>
    </xf>
    <xf numFmtId="0" fontId="0" fillId="0" borderId="26" xfId="0" applyBorder="1" applyAlignment="1">
      <alignment horizontal="center"/>
    </xf>
    <xf numFmtId="38" fontId="4" fillId="4" borderId="16" xfId="0" applyNumberFormat="1" applyFont="1" applyFill="1" applyBorder="1" applyAlignment="1">
      <alignment horizontal="center"/>
    </xf>
    <xf numFmtId="0" fontId="0" fillId="0" borderId="18" xfId="0" applyBorder="1" applyAlignment="1">
      <alignment horizontal="center"/>
    </xf>
    <xf numFmtId="38" fontId="4" fillId="3" borderId="45" xfId="0" applyNumberFormat="1" applyFont="1" applyFill="1" applyBorder="1" applyAlignment="1">
      <alignment horizontal="center"/>
    </xf>
    <xf numFmtId="6" fontId="4" fillId="3" borderId="32" xfId="0" applyNumberFormat="1" applyFont="1" applyFill="1" applyBorder="1" applyAlignment="1">
      <alignment horizontal="center"/>
    </xf>
    <xf numFmtId="0" fontId="0" fillId="0" borderId="108" xfId="0" applyBorder="1"/>
    <xf numFmtId="0" fontId="0" fillId="0" borderId="106" xfId="0" applyBorder="1"/>
    <xf numFmtId="8" fontId="4" fillId="3" borderId="16" xfId="0" applyNumberFormat="1" applyFont="1" applyFill="1" applyBorder="1" applyAlignment="1">
      <alignment horizontal="center"/>
    </xf>
    <xf numFmtId="167" fontId="0" fillId="0" borderId="109" xfId="1" applyNumberFormat="1" applyFont="1" applyBorder="1" applyAlignment="1">
      <alignment horizontal="center"/>
    </xf>
    <xf numFmtId="166" fontId="0" fillId="0" borderId="12" xfId="0" applyNumberFormat="1" applyBorder="1" applyAlignment="1">
      <alignment horizontal="center"/>
    </xf>
    <xf numFmtId="167" fontId="0" fillId="0" borderId="19" xfId="0" applyNumberFormat="1" applyBorder="1" applyAlignment="1">
      <alignment horizontal="center"/>
    </xf>
    <xf numFmtId="167" fontId="12" fillId="0" borderId="109" xfId="1" applyNumberFormat="1" applyFont="1" applyBorder="1" applyAlignment="1">
      <alignment horizontal="center"/>
    </xf>
    <xf numFmtId="6" fontId="4" fillId="3" borderId="16" xfId="0" applyNumberFormat="1" applyFont="1" applyFill="1" applyBorder="1" applyAlignment="1">
      <alignment horizontal="center"/>
    </xf>
    <xf numFmtId="167" fontId="0" fillId="0" borderId="109" xfId="0" applyNumberFormat="1" applyBorder="1"/>
    <xf numFmtId="8" fontId="4" fillId="0" borderId="42" xfId="0" applyNumberFormat="1" applyFont="1" applyBorder="1" applyAlignment="1">
      <alignment horizontal="center"/>
    </xf>
    <xf numFmtId="167" fontId="0" fillId="0" borderId="109" xfId="0" applyNumberFormat="1" applyBorder="1" applyAlignment="1">
      <alignment horizontal="center"/>
    </xf>
    <xf numFmtId="167" fontId="12" fillId="0" borderId="109" xfId="0" applyNumberFormat="1" applyFont="1" applyBorder="1" applyAlignment="1">
      <alignment horizontal="center"/>
    </xf>
    <xf numFmtId="8" fontId="4" fillId="3" borderId="12" xfId="0" applyNumberFormat="1" applyFont="1" applyFill="1" applyBorder="1" applyAlignment="1">
      <alignment horizontal="center"/>
    </xf>
    <xf numFmtId="167" fontId="12" fillId="0" borderId="81" xfId="0" applyNumberFormat="1" applyFont="1" applyBorder="1" applyAlignment="1">
      <alignment horizontal="center"/>
    </xf>
    <xf numFmtId="6" fontId="4" fillId="3" borderId="12" xfId="0" applyNumberFormat="1" applyFont="1" applyFill="1" applyBorder="1" applyAlignment="1">
      <alignment horizontal="center"/>
    </xf>
    <xf numFmtId="0" fontId="4" fillId="3" borderId="32" xfId="0" applyFont="1" applyFill="1" applyBorder="1" applyAlignment="1">
      <alignment horizontal="center"/>
    </xf>
    <xf numFmtId="167" fontId="0" fillId="0" borderId="106" xfId="0" applyNumberFormat="1" applyBorder="1"/>
    <xf numFmtId="3" fontId="4" fillId="3" borderId="16" xfId="0" applyNumberFormat="1" applyFont="1" applyFill="1" applyBorder="1" applyAlignment="1">
      <alignment horizontal="center"/>
    </xf>
    <xf numFmtId="1" fontId="0" fillId="0" borderId="107" xfId="0" applyNumberFormat="1" applyBorder="1" applyAlignment="1">
      <alignment horizontal="center"/>
    </xf>
    <xf numFmtId="1" fontId="0" fillId="0" borderId="12" xfId="0" applyNumberFormat="1" applyBorder="1" applyAlignment="1">
      <alignment horizontal="center"/>
    </xf>
    <xf numFmtId="0" fontId="4" fillId="3" borderId="16" xfId="0" applyFont="1" applyFill="1" applyBorder="1" applyAlignment="1">
      <alignment horizontal="center"/>
    </xf>
    <xf numFmtId="6" fontId="4" fillId="3" borderId="20" xfId="0" applyNumberFormat="1" applyFont="1" applyFill="1" applyBorder="1" applyAlignment="1">
      <alignment horizontal="center"/>
    </xf>
    <xf numFmtId="6" fontId="4" fillId="3" borderId="41" xfId="0" applyNumberFormat="1" applyFont="1" applyFill="1" applyBorder="1" applyAlignment="1">
      <alignment horizontal="center"/>
    </xf>
    <xf numFmtId="167" fontId="4" fillId="0" borderId="55" xfId="0" applyNumberFormat="1" applyFont="1" applyBorder="1" applyAlignment="1">
      <alignment horizontal="center" wrapText="1"/>
    </xf>
    <xf numFmtId="167" fontId="0" fillId="0" borderId="55" xfId="0" applyNumberFormat="1" applyBorder="1" applyAlignment="1">
      <alignment horizontal="center"/>
    </xf>
    <xf numFmtId="6" fontId="0" fillId="0" borderId="41" xfId="0" applyNumberFormat="1" applyBorder="1" applyAlignment="1">
      <alignment horizontal="center"/>
    </xf>
    <xf numFmtId="6" fontId="0" fillId="0" borderId="88" xfId="0" applyNumberFormat="1" applyBorder="1" applyAlignment="1">
      <alignment horizontal="center"/>
    </xf>
    <xf numFmtId="6" fontId="4" fillId="3" borderId="17" xfId="0" applyNumberFormat="1" applyFont="1" applyFill="1" applyBorder="1" applyAlignment="1">
      <alignment horizontal="center"/>
    </xf>
    <xf numFmtId="166" fontId="0" fillId="0" borderId="107" xfId="0" applyNumberFormat="1" applyBorder="1" applyAlignment="1">
      <alignment horizontal="center"/>
    </xf>
    <xf numFmtId="166" fontId="0" fillId="0" borderId="109" xfId="0" applyNumberFormat="1" applyBorder="1" applyAlignment="1">
      <alignment horizontal="center"/>
    </xf>
    <xf numFmtId="6" fontId="4" fillId="3" borderId="52" xfId="0" applyNumberFormat="1" applyFont="1" applyFill="1" applyBorder="1" applyAlignment="1">
      <alignment horizontal="center"/>
    </xf>
    <xf numFmtId="165" fontId="4" fillId="3" borderId="17" xfId="0" applyNumberFormat="1" applyFont="1" applyFill="1" applyBorder="1" applyAlignment="1">
      <alignment horizontal="center"/>
    </xf>
    <xf numFmtId="167" fontId="4" fillId="0" borderId="17" xfId="0" applyNumberFormat="1" applyFont="1" applyBorder="1" applyAlignment="1">
      <alignment horizontal="center" wrapText="1"/>
    </xf>
    <xf numFmtId="167" fontId="0" fillId="0" borderId="17" xfId="0" applyNumberFormat="1" applyBorder="1" applyAlignment="1">
      <alignment horizontal="center"/>
    </xf>
    <xf numFmtId="165" fontId="0" fillId="0" borderId="85" xfId="0" applyNumberFormat="1" applyBorder="1" applyAlignment="1">
      <alignment horizontal="center"/>
    </xf>
    <xf numFmtId="38" fontId="4" fillId="3" borderId="17" xfId="0" applyNumberFormat="1" applyFont="1" applyFill="1" applyBorder="1" applyAlignment="1">
      <alignment horizontal="center"/>
    </xf>
    <xf numFmtId="38" fontId="4" fillId="3" borderId="46" xfId="0" applyNumberFormat="1" applyFont="1" applyFill="1" applyBorder="1" applyAlignment="1">
      <alignment horizontal="center"/>
    </xf>
    <xf numFmtId="167" fontId="4" fillId="0" borderId="70" xfId="0" applyNumberFormat="1" applyFont="1" applyBorder="1" applyAlignment="1">
      <alignment horizontal="center"/>
    </xf>
    <xf numFmtId="0" fontId="4" fillId="3" borderId="41" xfId="0" applyFont="1" applyFill="1" applyBorder="1" applyAlignment="1">
      <alignment horizontal="center"/>
    </xf>
    <xf numFmtId="167" fontId="4" fillId="0" borderId="41" xfId="0" applyNumberFormat="1" applyFont="1" applyBorder="1" applyAlignment="1">
      <alignment horizontal="center" wrapText="1"/>
    </xf>
    <xf numFmtId="167" fontId="0" fillId="0" borderId="41" xfId="0" applyNumberFormat="1" applyBorder="1" applyAlignment="1">
      <alignment horizontal="center"/>
    </xf>
    <xf numFmtId="0" fontId="0" fillId="0" borderId="88" xfId="0" applyBorder="1" applyAlignment="1">
      <alignment horizontal="center"/>
    </xf>
    <xf numFmtId="6" fontId="4" fillId="3" borderId="27" xfId="0" applyNumberFormat="1" applyFont="1" applyFill="1" applyBorder="1" applyAlignment="1">
      <alignment horizontal="center"/>
    </xf>
    <xf numFmtId="6" fontId="4" fillId="3" borderId="46" xfId="0" applyNumberFormat="1" applyFont="1" applyFill="1" applyBorder="1" applyAlignment="1">
      <alignment horizontal="center"/>
    </xf>
    <xf numFmtId="167" fontId="4" fillId="0" borderId="47" xfId="0" applyNumberFormat="1" applyFont="1" applyBorder="1" applyAlignment="1">
      <alignment horizontal="center"/>
    </xf>
    <xf numFmtId="38" fontId="4" fillId="3" borderId="32" xfId="0" applyNumberFormat="1" applyFont="1" applyFill="1" applyBorder="1" applyAlignment="1">
      <alignment horizontal="center"/>
    </xf>
    <xf numFmtId="167" fontId="0" fillId="0" borderId="35" xfId="0" applyNumberFormat="1" applyBorder="1" applyAlignment="1">
      <alignment horizontal="center"/>
    </xf>
    <xf numFmtId="0" fontId="0" fillId="3" borderId="32" xfId="0" applyFill="1" applyBorder="1" applyAlignment="1">
      <alignment horizontal="center"/>
    </xf>
    <xf numFmtId="167" fontId="0" fillId="0" borderId="32" xfId="0" applyNumberFormat="1" applyBorder="1" applyAlignment="1">
      <alignment horizontal="center"/>
    </xf>
    <xf numFmtId="167" fontId="0" fillId="0" borderId="18" xfId="0" applyNumberFormat="1" applyBorder="1" applyAlignment="1">
      <alignment horizontal="center"/>
    </xf>
    <xf numFmtId="38" fontId="0" fillId="0" borderId="18" xfId="0" applyNumberFormat="1" applyBorder="1" applyAlignment="1">
      <alignment horizontal="center"/>
    </xf>
    <xf numFmtId="38" fontId="0" fillId="3" borderId="12" xfId="0" applyNumberFormat="1" applyFill="1" applyBorder="1" applyAlignment="1">
      <alignment horizontal="center"/>
    </xf>
    <xf numFmtId="167" fontId="0" fillId="0" borderId="42" xfId="0" applyNumberFormat="1" applyBorder="1" applyAlignment="1">
      <alignment horizontal="center"/>
    </xf>
    <xf numFmtId="38" fontId="0" fillId="0" borderId="88" xfId="0" applyNumberFormat="1" applyBorder="1" applyAlignment="1">
      <alignment horizontal="center"/>
    </xf>
    <xf numFmtId="0" fontId="2" fillId="0" borderId="77" xfId="0" applyFont="1" applyBorder="1"/>
    <xf numFmtId="0" fontId="0" fillId="3" borderId="12" xfId="0" applyFill="1" applyBorder="1" applyAlignment="1">
      <alignment horizontal="center"/>
    </xf>
    <xf numFmtId="3" fontId="0" fillId="0" borderId="19" xfId="0" applyNumberFormat="1" applyBorder="1" applyAlignment="1">
      <alignment horizontal="center"/>
    </xf>
    <xf numFmtId="3" fontId="0" fillId="0" borderId="18" xfId="0" applyNumberFormat="1" applyBorder="1" applyAlignment="1">
      <alignment horizontal="center"/>
    </xf>
    <xf numFmtId="3" fontId="0" fillId="3" borderId="12" xfId="0" applyNumberFormat="1" applyFill="1" applyBorder="1" applyAlignment="1">
      <alignment horizontal="center"/>
    </xf>
    <xf numFmtId="3" fontId="0" fillId="0" borderId="88" xfId="0" applyNumberFormat="1" applyBorder="1" applyAlignment="1">
      <alignment horizontal="center"/>
    </xf>
    <xf numFmtId="3" fontId="0" fillId="0" borderId="31" xfId="0" applyNumberFormat="1" applyBorder="1" applyAlignment="1">
      <alignment horizontal="center"/>
    </xf>
    <xf numFmtId="3" fontId="0" fillId="3" borderId="17" xfId="0" applyNumberFormat="1" applyFill="1" applyBorder="1" applyAlignment="1">
      <alignment horizontal="center"/>
    </xf>
    <xf numFmtId="3" fontId="0" fillId="0" borderId="28" xfId="0" applyNumberFormat="1" applyBorder="1" applyAlignment="1">
      <alignment horizontal="center"/>
    </xf>
    <xf numFmtId="167" fontId="0" fillId="0" borderId="29" xfId="0" applyNumberFormat="1" applyBorder="1" applyAlignment="1">
      <alignment horizontal="center"/>
    </xf>
    <xf numFmtId="167" fontId="0" fillId="0" borderId="37" xfId="0" applyNumberFormat="1" applyBorder="1" applyAlignment="1">
      <alignment horizontal="center"/>
    </xf>
    <xf numFmtId="3" fontId="0" fillId="3" borderId="37" xfId="0" applyNumberFormat="1" applyFill="1" applyBorder="1" applyAlignment="1">
      <alignment horizontal="center"/>
    </xf>
    <xf numFmtId="167" fontId="0" fillId="0" borderId="59" xfId="0" applyNumberFormat="1" applyBorder="1" applyAlignment="1">
      <alignment horizontal="center"/>
    </xf>
    <xf numFmtId="3" fontId="0" fillId="0" borderId="112" xfId="0" applyNumberFormat="1" applyBorder="1" applyAlignment="1">
      <alignment horizontal="center"/>
    </xf>
    <xf numFmtId="3" fontId="0" fillId="0" borderId="113" xfId="0" applyNumberFormat="1" applyBorder="1" applyAlignment="1">
      <alignment horizontal="center"/>
    </xf>
    <xf numFmtId="0" fontId="0" fillId="0" borderId="43" xfId="0" applyBorder="1" applyAlignment="1">
      <alignment horizontal="center"/>
    </xf>
    <xf numFmtId="0" fontId="0" fillId="3" borderId="42" xfId="0" applyFill="1" applyBorder="1" applyAlignment="1">
      <alignment horizontal="center"/>
    </xf>
    <xf numFmtId="3" fontId="0" fillId="0" borderId="35" xfId="0" applyNumberFormat="1" applyBorder="1" applyAlignment="1">
      <alignment horizontal="center"/>
    </xf>
    <xf numFmtId="3" fontId="0" fillId="3" borderId="36" xfId="0" applyNumberFormat="1" applyFill="1" applyBorder="1" applyAlignment="1">
      <alignment horizontal="center"/>
    </xf>
    <xf numFmtId="3" fontId="0" fillId="0" borderId="39" xfId="0" applyNumberFormat="1" applyBorder="1" applyAlignment="1">
      <alignment horizontal="center"/>
    </xf>
    <xf numFmtId="38" fontId="0" fillId="0" borderId="37" xfId="0" applyNumberFormat="1" applyBorder="1" applyAlignment="1">
      <alignment horizontal="center"/>
    </xf>
    <xf numFmtId="0" fontId="0" fillId="0" borderId="78" xfId="0" applyBorder="1" applyAlignment="1">
      <alignment horizontal="center"/>
    </xf>
    <xf numFmtId="0" fontId="0" fillId="0" borderId="82" xfId="0" applyBorder="1" applyAlignment="1">
      <alignment horizontal="center"/>
    </xf>
    <xf numFmtId="0" fontId="0" fillId="0" borderId="93" xfId="0" applyBorder="1" applyAlignment="1">
      <alignment horizontal="center"/>
    </xf>
    <xf numFmtId="0" fontId="0" fillId="0" borderId="32" xfId="0" applyBorder="1"/>
    <xf numFmtId="3" fontId="0" fillId="0" borderId="81" xfId="0" applyNumberFormat="1" applyBorder="1" applyAlignment="1">
      <alignment horizontal="center"/>
    </xf>
    <xf numFmtId="0" fontId="0" fillId="0" borderId="91" xfId="0" applyBorder="1" applyAlignment="1">
      <alignment horizontal="center"/>
    </xf>
    <xf numFmtId="0" fontId="0" fillId="0" borderId="16" xfId="0" applyBorder="1" applyAlignment="1">
      <alignment horizontal="center"/>
    </xf>
    <xf numFmtId="3" fontId="0" fillId="0" borderId="85" xfId="0" applyNumberFormat="1" applyBorder="1" applyAlignment="1">
      <alignment horizontal="center"/>
    </xf>
    <xf numFmtId="0" fontId="0" fillId="0" borderId="92" xfId="0" applyBorder="1" applyAlignment="1">
      <alignment horizontal="center"/>
    </xf>
    <xf numFmtId="3" fontId="0" fillId="0" borderId="79" xfId="0" applyNumberFormat="1" applyBorder="1" applyAlignment="1">
      <alignment horizontal="center"/>
    </xf>
    <xf numFmtId="38" fontId="0" fillId="0" borderId="75" xfId="0" applyNumberFormat="1" applyBorder="1" applyAlignment="1">
      <alignment horizontal="center"/>
    </xf>
    <xf numFmtId="3" fontId="0" fillId="0" borderId="80" xfId="0" applyNumberFormat="1" applyBorder="1" applyAlignment="1">
      <alignment horizontal="center"/>
    </xf>
    <xf numFmtId="3" fontId="0" fillId="0" borderId="83" xfId="0" applyNumberFormat="1" applyBorder="1" applyAlignment="1">
      <alignment horizontal="center"/>
    </xf>
    <xf numFmtId="3" fontId="0" fillId="0" borderId="89" xfId="0" applyNumberFormat="1" applyBorder="1" applyAlignment="1">
      <alignment horizontal="center"/>
    </xf>
    <xf numFmtId="0" fontId="0" fillId="0" borderId="94" xfId="0" applyBorder="1" applyAlignment="1">
      <alignment horizontal="center"/>
    </xf>
    <xf numFmtId="0" fontId="0" fillId="0" borderId="105" xfId="0" applyBorder="1" applyAlignment="1">
      <alignment horizontal="center"/>
    </xf>
    <xf numFmtId="38" fontId="0" fillId="0" borderId="0" xfId="0" applyNumberFormat="1"/>
    <xf numFmtId="0" fontId="0" fillId="3" borderId="0" xfId="0" applyFill="1"/>
    <xf numFmtId="167" fontId="12" fillId="0" borderId="12" xfId="1" applyNumberFormat="1" applyFont="1" applyBorder="1" applyAlignment="1">
      <alignment horizontal="center"/>
    </xf>
    <xf numFmtId="167" fontId="12" fillId="3" borderId="26" xfId="1" applyNumberFormat="1" applyFont="1" applyFill="1" applyBorder="1" applyAlignment="1">
      <alignment horizontal="center"/>
    </xf>
    <xf numFmtId="2" fontId="0" fillId="0" borderId="12" xfId="0" applyNumberFormat="1" applyBorder="1" applyAlignment="1">
      <alignment horizontal="center"/>
    </xf>
    <xf numFmtId="4" fontId="4" fillId="0" borderId="58" xfId="0" applyNumberFormat="1" applyFont="1" applyBorder="1" applyAlignment="1">
      <alignment horizontal="center"/>
    </xf>
    <xf numFmtId="167" fontId="12" fillId="0" borderId="19" xfId="0" applyNumberFormat="1" applyFont="1" applyBorder="1" applyAlignment="1">
      <alignment horizontal="center"/>
    </xf>
    <xf numFmtId="167" fontId="0" fillId="0" borderId="0" xfId="0" applyNumberFormat="1" applyAlignment="1">
      <alignment horizontal="right"/>
    </xf>
    <xf numFmtId="0" fontId="5" fillId="0" borderId="4" xfId="0" applyFont="1" applyBorder="1" applyAlignment="1" applyProtection="1">
      <alignment horizontal="centerContinuous"/>
    </xf>
    <xf numFmtId="0" fontId="0" fillId="0" borderId="58" xfId="0" applyFont="1" applyBorder="1" applyAlignment="1">
      <alignment horizontal="center"/>
    </xf>
    <xf numFmtId="167" fontId="0" fillId="0" borderId="58" xfId="0" applyNumberFormat="1" applyFont="1" applyBorder="1" applyAlignment="1">
      <alignment horizontal="center"/>
    </xf>
    <xf numFmtId="166" fontId="4" fillId="0" borderId="52" xfId="0" applyNumberFormat="1" applyFont="1" applyFill="1" applyBorder="1" applyAlignment="1">
      <alignment horizontal="center"/>
    </xf>
    <xf numFmtId="167" fontId="11" fillId="3" borderId="26" xfId="1" applyNumberFormat="1" applyFill="1" applyBorder="1" applyAlignment="1">
      <alignment horizontal="center"/>
    </xf>
    <xf numFmtId="0" fontId="0" fillId="0" borderId="0" xfId="0" applyFont="1" applyAlignment="1">
      <alignment horizontal="center" vertical="top" wrapText="1"/>
    </xf>
    <xf numFmtId="2" fontId="0" fillId="0" borderId="0" xfId="0" applyNumberFormat="1" applyAlignment="1">
      <alignment horizontal="center"/>
    </xf>
    <xf numFmtId="2" fontId="0" fillId="0" borderId="19" xfId="0" applyNumberFormat="1" applyBorder="1" applyAlignment="1">
      <alignment horizontal="center"/>
    </xf>
    <xf numFmtId="0" fontId="0" fillId="0" borderId="0" xfId="0" applyFont="1" applyAlignment="1">
      <alignment horizontal="center" vertical="top" wrapText="1"/>
    </xf>
    <xf numFmtId="167" fontId="4" fillId="0" borderId="52" xfId="1" applyNumberFormat="1" applyFont="1" applyBorder="1" applyAlignment="1">
      <alignment horizontal="center" vertic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6" xfId="0" applyNumberFormat="1" applyBorder="1" applyAlignment="1">
      <alignment horizontal="center"/>
    </xf>
    <xf numFmtId="167" fontId="12" fillId="0" borderId="0" xfId="1" applyNumberFormat="1" applyFont="1" applyAlignment="1">
      <alignment horizontal="center"/>
    </xf>
    <xf numFmtId="167" fontId="0" fillId="0" borderId="0" xfId="1" applyNumberFormat="1" applyFont="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6"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87" xfId="0" applyNumberFormat="1" applyBorder="1" applyAlignment="1">
      <alignment horizontal="center"/>
    </xf>
    <xf numFmtId="167" fontId="4" fillId="0" borderId="85"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0" fontId="13" fillId="0" borderId="0" xfId="0" applyFont="1" applyFill="1" applyBorder="1" applyAlignment="1">
      <alignment horizontal="center" vertical="center"/>
    </xf>
    <xf numFmtId="167" fontId="7" fillId="0" borderId="0" xfId="1" applyNumberFormat="1" applyFont="1" applyFill="1" applyBorder="1" applyAlignment="1" applyProtection="1">
      <alignment horizontal="center" vertical="center"/>
      <protection locked="0"/>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44" fontId="0" fillId="0" borderId="0" xfId="0" applyNumberFormat="1" applyFill="1" applyBorder="1" applyAlignment="1">
      <alignment horizontal="center"/>
    </xf>
    <xf numFmtId="44" fontId="12" fillId="0" borderId="0" xfId="0" applyNumberFormat="1" applyFont="1" applyFill="1" applyBorder="1"/>
    <xf numFmtId="167" fontId="0" fillId="0" borderId="0" xfId="0" applyNumberFormat="1" applyFill="1" applyBorder="1"/>
    <xf numFmtId="8" fontId="4"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44" fontId="0" fillId="0" borderId="0" xfId="1" applyFont="1" applyFill="1" applyBorder="1"/>
    <xf numFmtId="8" fontId="0" fillId="0" borderId="0" xfId="0" applyNumberFormat="1" applyFill="1" applyBorder="1" applyAlignment="1">
      <alignment horizontal="center"/>
    </xf>
    <xf numFmtId="8" fontId="0" fillId="0" borderId="0" xfId="0" applyNumberFormat="1" applyFill="1" applyBorder="1"/>
    <xf numFmtId="167" fontId="12" fillId="0" borderId="0" xfId="0" applyNumberFormat="1" applyFont="1" applyFill="1" applyBorder="1"/>
    <xf numFmtId="16" fontId="0" fillId="0" borderId="0" xfId="0" applyNumberFormat="1" applyFill="1" applyBorder="1" applyAlignment="1">
      <alignment horizontal="center"/>
    </xf>
    <xf numFmtId="6" fontId="0" fillId="0" borderId="0" xfId="0" applyNumberFormat="1" applyFill="1" applyBorder="1" applyAlignment="1">
      <alignment horizontal="center"/>
    </xf>
    <xf numFmtId="6" fontId="0" fillId="0" borderId="0" xfId="0" applyNumberFormat="1" applyFill="1" applyBorder="1"/>
    <xf numFmtId="167" fontId="4" fillId="0" borderId="0" xfId="1" applyNumberFormat="1" applyFont="1" applyFill="1" applyBorder="1" applyAlignment="1">
      <alignment horizontal="center"/>
    </xf>
    <xf numFmtId="8" fontId="0" fillId="0" borderId="0" xfId="0" applyNumberFormat="1" applyFont="1" applyFill="1" applyBorder="1"/>
    <xf numFmtId="44" fontId="0" fillId="0" borderId="0" xfId="0" applyNumberFormat="1" applyFill="1" applyBorder="1"/>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0" fillId="0" borderId="0" xfId="0" applyFont="1" applyAlignment="1">
      <alignment horizontal="center" vertical="top" wrapText="1"/>
    </xf>
    <xf numFmtId="0" fontId="0" fillId="0" borderId="0" xfId="0" applyFont="1" applyAlignment="1">
      <alignment horizontal="center" vertical="top" wrapText="1"/>
    </xf>
    <xf numFmtId="0" fontId="2" fillId="2" borderId="2" xfId="0" applyFont="1" applyFill="1" applyBorder="1" applyAlignment="1">
      <alignment horizontal="center" vertical="center"/>
    </xf>
    <xf numFmtId="0" fontId="0" fillId="0" borderId="0" xfId="0" applyAlignment="1">
      <alignment horizontal="center" vertical="top" wrapText="1"/>
    </xf>
    <xf numFmtId="166" fontId="4" fillId="0" borderId="58" xfId="0" applyNumberFormat="1" applyFont="1" applyBorder="1" applyAlignment="1">
      <alignment horizontal="center"/>
    </xf>
    <xf numFmtId="166" fontId="4" fillId="0" borderId="52" xfId="0" applyNumberFormat="1" applyFont="1" applyBorder="1" applyAlignment="1">
      <alignment horizontal="center"/>
    </xf>
    <xf numFmtId="167" fontId="12" fillId="0" borderId="58" xfId="0" applyNumberFormat="1" applyFont="1" applyBorder="1" applyAlignment="1">
      <alignment horizontal="center"/>
    </xf>
    <xf numFmtId="167" fontId="4" fillId="0" borderId="60" xfId="0" applyNumberFormat="1" applyFont="1" applyBorder="1" applyAlignment="1">
      <alignment horizontal="center"/>
    </xf>
    <xf numFmtId="38" fontId="4" fillId="0" borderId="150" xfId="0" applyNumberFormat="1" applyFont="1" applyBorder="1" applyAlignment="1">
      <alignment horizontal="center"/>
    </xf>
    <xf numFmtId="0" fontId="4" fillId="0" borderId="150" xfId="0" applyFont="1" applyBorder="1" applyAlignment="1">
      <alignment horizontal="center"/>
    </xf>
    <xf numFmtId="0" fontId="4" fillId="0" borderId="85" xfId="0" applyFont="1" applyBorder="1" applyAlignment="1">
      <alignment horizontal="center"/>
    </xf>
    <xf numFmtId="6" fontId="4" fillId="0" borderId="88" xfId="0" applyNumberFormat="1" applyFont="1" applyBorder="1" applyAlignment="1">
      <alignment horizontal="center"/>
    </xf>
    <xf numFmtId="165" fontId="4" fillId="0" borderId="85" xfId="0" applyNumberFormat="1" applyFont="1" applyBorder="1" applyAlignment="1">
      <alignment horizontal="center"/>
    </xf>
    <xf numFmtId="0" fontId="4" fillId="0" borderId="88" xfId="0" applyFont="1" applyBorder="1" applyAlignment="1">
      <alignment horizontal="center"/>
    </xf>
    <xf numFmtId="0" fontId="0" fillId="0" borderId="81" xfId="0" applyBorder="1" applyAlignment="1">
      <alignment horizontal="center"/>
    </xf>
    <xf numFmtId="3" fontId="0" fillId="0" borderId="0" xfId="0" applyNumberFormat="1" applyBorder="1" applyAlignment="1">
      <alignment horizontal="center"/>
    </xf>
    <xf numFmtId="3" fontId="0" fillId="0" borderId="121" xfId="0" applyNumberFormat="1" applyBorder="1" applyAlignment="1">
      <alignment horizontal="center"/>
    </xf>
    <xf numFmtId="38" fontId="0" fillId="0" borderId="58" xfId="0" applyNumberFormat="1" applyBorder="1" applyAlignment="1">
      <alignment horizontal="center"/>
    </xf>
    <xf numFmtId="0" fontId="0" fillId="0" borderId="58" xfId="0" applyBorder="1" applyAlignment="1">
      <alignment horizontal="center"/>
    </xf>
    <xf numFmtId="3" fontId="0" fillId="0" borderId="43" xfId="0" applyNumberFormat="1" applyBorder="1" applyAlignment="1">
      <alignment horizontal="center"/>
    </xf>
    <xf numFmtId="0" fontId="7" fillId="0" borderId="21" xfId="0" applyFont="1" applyBorder="1" applyAlignment="1" applyProtection="1">
      <alignment horizontal="center" vertical="center"/>
      <protection locked="0"/>
    </xf>
    <xf numFmtId="38" fontId="0" fillId="0" borderId="150" xfId="0" applyNumberFormat="1" applyBorder="1" applyAlignment="1">
      <alignment horizontal="center"/>
    </xf>
    <xf numFmtId="3" fontId="4" fillId="0" borderId="85" xfId="0" applyNumberFormat="1" applyFont="1" applyBorder="1" applyAlignment="1">
      <alignment horizontal="center"/>
    </xf>
    <xf numFmtId="0" fontId="0" fillId="0" borderId="85" xfId="0" applyBorder="1" applyAlignment="1">
      <alignment horizontal="center"/>
    </xf>
    <xf numFmtId="6" fontId="0" fillId="0" borderId="152" xfId="0" applyNumberFormat="1" applyBorder="1" applyAlignment="1">
      <alignment horizontal="center"/>
    </xf>
    <xf numFmtId="0" fontId="0" fillId="0" borderId="152" xfId="0" applyBorder="1" applyAlignment="1">
      <alignment horizontal="center"/>
    </xf>
    <xf numFmtId="167" fontId="4" fillId="0" borderId="0" xfId="0" applyNumberFormat="1" applyFont="1" applyBorder="1" applyAlignment="1">
      <alignment horizontal="center"/>
    </xf>
    <xf numFmtId="6" fontId="0" fillId="0" borderId="0" xfId="0" applyNumberFormat="1" applyBorder="1" applyAlignment="1">
      <alignment horizontal="center"/>
    </xf>
    <xf numFmtId="165" fontId="0" fillId="0" borderId="0" xfId="0" applyNumberFormat="1" applyBorder="1" applyAlignment="1">
      <alignment horizontal="center"/>
    </xf>
    <xf numFmtId="0" fontId="7" fillId="0" borderId="131" xfId="0" applyFont="1" applyBorder="1" applyAlignment="1" applyProtection="1">
      <alignment horizontal="center" vertical="center"/>
      <protection locked="0"/>
    </xf>
    <xf numFmtId="0" fontId="0" fillId="0" borderId="134" xfId="0" applyBorder="1"/>
    <xf numFmtId="0" fontId="0" fillId="0" borderId="134" xfId="0" applyBorder="1" applyAlignment="1">
      <alignment horizontal="center"/>
    </xf>
    <xf numFmtId="44" fontId="0" fillId="0" borderId="134" xfId="1" applyFont="1" applyBorder="1"/>
    <xf numFmtId="44" fontId="0" fillId="0" borderId="134" xfId="1" applyFont="1" applyFill="1" applyBorder="1" applyAlignment="1">
      <alignment horizontal="center"/>
    </xf>
    <xf numFmtId="44" fontId="0" fillId="0" borderId="134" xfId="0" applyNumberFormat="1" applyBorder="1"/>
    <xf numFmtId="2" fontId="0" fillId="0" borderId="134" xfId="0" applyNumberFormat="1" applyBorder="1" applyAlignment="1">
      <alignment horizontal="center"/>
    </xf>
    <xf numFmtId="167" fontId="0" fillId="0" borderId="134" xfId="0" applyNumberFormat="1" applyBorder="1" applyAlignment="1">
      <alignment horizontal="center"/>
    </xf>
    <xf numFmtId="2" fontId="4" fillId="0" borderId="145" xfId="0" applyNumberFormat="1" applyFont="1" applyBorder="1" applyAlignment="1">
      <alignment horizontal="center"/>
    </xf>
    <xf numFmtId="167" fontId="4" fillId="0" borderId="145" xfId="0" applyNumberFormat="1" applyFont="1" applyBorder="1" applyAlignment="1">
      <alignment horizontal="center"/>
    </xf>
    <xf numFmtId="167" fontId="0" fillId="0" borderId="134" xfId="0" applyNumberFormat="1" applyBorder="1"/>
    <xf numFmtId="38" fontId="4" fillId="0" borderId="68" xfId="0" applyNumberFormat="1" applyFont="1" applyBorder="1" applyAlignment="1">
      <alignment horizontal="center"/>
    </xf>
    <xf numFmtId="0" fontId="4" fillId="0" borderId="134" xfId="0" applyFont="1" applyBorder="1" applyAlignment="1">
      <alignment horizontal="center"/>
    </xf>
    <xf numFmtId="38" fontId="4" fillId="0" borderId="67" xfId="0" applyNumberFormat="1" applyFont="1" applyBorder="1" applyAlignment="1">
      <alignment horizontal="center"/>
    </xf>
    <xf numFmtId="0" fontId="0" fillId="0" borderId="67" xfId="0" applyBorder="1" applyAlignment="1">
      <alignment horizontal="center"/>
    </xf>
    <xf numFmtId="38" fontId="0" fillId="0" borderId="134" xfId="0" applyNumberFormat="1" applyBorder="1" applyAlignment="1">
      <alignment horizontal="center"/>
    </xf>
    <xf numFmtId="3" fontId="0" fillId="0" borderId="134" xfId="0" applyNumberFormat="1" applyBorder="1" applyAlignment="1">
      <alignment horizontal="center"/>
    </xf>
    <xf numFmtId="3" fontId="0" fillId="0" borderId="153" xfId="0" applyNumberFormat="1" applyBorder="1" applyAlignment="1">
      <alignment horizontal="center"/>
    </xf>
    <xf numFmtId="38" fontId="0" fillId="0" borderId="52" xfId="0" applyNumberFormat="1" applyBorder="1" applyAlignment="1">
      <alignment horizontal="center"/>
    </xf>
    <xf numFmtId="0" fontId="7" fillId="0" borderId="43" xfId="0" applyFont="1" applyBorder="1" applyAlignment="1" applyProtection="1">
      <alignment horizontal="center" vertical="center"/>
      <protection locked="0"/>
    </xf>
    <xf numFmtId="0" fontId="0" fillId="0" borderId="43" xfId="0" applyBorder="1"/>
    <xf numFmtId="44" fontId="0" fillId="0" borderId="43" xfId="1" applyFont="1" applyBorder="1"/>
    <xf numFmtId="44" fontId="0" fillId="0" borderId="43" xfId="1" applyFont="1" applyFill="1" applyBorder="1" applyAlignment="1">
      <alignment horizontal="center"/>
    </xf>
    <xf numFmtId="44" fontId="0" fillId="0" borderId="43" xfId="0" applyNumberFormat="1" applyBorder="1"/>
    <xf numFmtId="167" fontId="0" fillId="0" borderId="43" xfId="0" applyNumberFormat="1" applyBorder="1" applyAlignment="1">
      <alignment horizontal="center"/>
    </xf>
    <xf numFmtId="167" fontId="4" fillId="0" borderId="117" xfId="0" applyNumberFormat="1" applyFont="1" applyBorder="1" applyAlignment="1">
      <alignment horizontal="center"/>
    </xf>
    <xf numFmtId="167" fontId="0" fillId="0" borderId="43" xfId="0" applyNumberFormat="1" applyBorder="1"/>
    <xf numFmtId="38" fontId="0" fillId="0" borderId="57" xfId="0" applyNumberFormat="1" applyFont="1" applyBorder="1" applyAlignment="1">
      <alignment horizontal="center"/>
    </xf>
    <xf numFmtId="0" fontId="7" fillId="0" borderId="151" xfId="0" applyFont="1" applyBorder="1" applyAlignment="1" applyProtection="1">
      <alignment horizontal="center" vertical="center"/>
      <protection locked="0"/>
    </xf>
    <xf numFmtId="38" fontId="4" fillId="0" borderId="155" xfId="0" applyNumberFormat="1" applyFont="1" applyBorder="1" applyAlignment="1">
      <alignment horizontal="center"/>
    </xf>
    <xf numFmtId="0" fontId="0" fillId="0" borderId="65" xfId="0" applyFont="1" applyBorder="1" applyAlignment="1">
      <alignment horizontal="center"/>
    </xf>
    <xf numFmtId="0" fontId="0" fillId="0" borderId="67" xfId="0" applyFont="1" applyBorder="1" applyAlignment="1">
      <alignment horizontal="center"/>
    </xf>
    <xf numFmtId="167" fontId="0" fillId="0" borderId="65" xfId="0" applyNumberFormat="1" applyFont="1" applyBorder="1" applyAlignment="1">
      <alignment horizontal="center"/>
    </xf>
    <xf numFmtId="167" fontId="4" fillId="0" borderId="65" xfId="1" applyNumberFormat="1" applyFont="1" applyBorder="1" applyAlignment="1">
      <alignment horizontal="center"/>
    </xf>
    <xf numFmtId="7" fontId="0" fillId="0" borderId="134" xfId="0" applyNumberFormat="1" applyBorder="1" applyAlignment="1">
      <alignment horizontal="center"/>
    </xf>
    <xf numFmtId="166" fontId="4" fillId="0" borderId="64" xfId="0" applyNumberFormat="1" applyFont="1" applyBorder="1" applyAlignment="1">
      <alignment horizontal="center"/>
    </xf>
    <xf numFmtId="166" fontId="4" fillId="0" borderId="68" xfId="0" applyNumberFormat="1" applyFont="1" applyFill="1" applyBorder="1" applyAlignment="1">
      <alignment horizontal="center"/>
    </xf>
    <xf numFmtId="6" fontId="4" fillId="0" borderId="134" xfId="0" applyNumberFormat="1" applyFont="1" applyBorder="1" applyAlignment="1">
      <alignment horizontal="center"/>
    </xf>
    <xf numFmtId="167" fontId="4" fillId="0" borderId="68" xfId="1" applyNumberFormat="1" applyFont="1" applyBorder="1" applyAlignment="1">
      <alignment horizontal="center" vertical="center"/>
    </xf>
    <xf numFmtId="165" fontId="4" fillId="0" borderId="68" xfId="0" applyNumberFormat="1" applyFont="1" applyBorder="1" applyAlignment="1">
      <alignment horizontal="center"/>
    </xf>
    <xf numFmtId="38" fontId="0" fillId="0" borderId="134" xfId="0" applyNumberFormat="1" applyFont="1" applyBorder="1" applyAlignment="1">
      <alignment horizontal="center"/>
    </xf>
    <xf numFmtId="0" fontId="0" fillId="0" borderId="134" xfId="0" applyFont="1" applyBorder="1" applyAlignment="1">
      <alignment horizontal="center"/>
    </xf>
    <xf numFmtId="3" fontId="0" fillId="0" borderId="156" xfId="0" applyNumberFormat="1" applyFont="1" applyBorder="1" applyAlignment="1">
      <alignment horizontal="center"/>
    </xf>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6" xfId="0" applyNumberFormat="1" applyFont="1" applyBorder="1" applyAlignment="1">
      <alignment horizontal="center"/>
    </xf>
    <xf numFmtId="166" fontId="4" fillId="0" borderId="52" xfId="1" applyNumberFormat="1" applyFont="1" applyBorder="1" applyAlignment="1">
      <alignment horizontal="center" vertical="center"/>
    </xf>
    <xf numFmtId="0" fontId="0" fillId="0" borderId="49" xfId="0" applyFont="1" applyBorder="1" applyAlignment="1">
      <alignment horizontal="center" wrapText="1"/>
    </xf>
    <xf numFmtId="0" fontId="0" fillId="0" borderId="0" xfId="0" applyFont="1" applyAlignment="1">
      <alignment horizontal="center" wrapText="1"/>
    </xf>
    <xf numFmtId="0" fontId="0" fillId="0" borderId="43" xfId="0" applyFont="1" applyBorder="1" applyAlignment="1">
      <alignment horizont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5" fillId="0" borderId="154" xfId="0" applyFont="1" applyBorder="1" applyAlignment="1" applyProtection="1">
      <alignment horizontal="center"/>
    </xf>
    <xf numFmtId="0" fontId="5" fillId="0" borderId="4" xfId="0" applyFont="1" applyBorder="1" applyAlignment="1" applyProtection="1">
      <alignment horizontal="center"/>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19"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5" fillId="0" borderId="148" xfId="0" applyFont="1" applyBorder="1" applyAlignment="1" applyProtection="1">
      <alignment horizontal="center"/>
    </xf>
    <xf numFmtId="0" fontId="5" fillId="0" borderId="115" xfId="0" applyFont="1" applyBorder="1" applyAlignment="1" applyProtection="1">
      <alignment horizontal="center"/>
    </xf>
    <xf numFmtId="0" fontId="0" fillId="0" borderId="0" xfId="0" applyFont="1" applyAlignment="1">
      <alignment horizontal="left" wrapText="1"/>
    </xf>
    <xf numFmtId="0" fontId="0" fillId="0" borderId="0" xfId="0" applyAlignment="1">
      <alignment horizontal="left" vertical="center" wrapText="1"/>
    </xf>
    <xf numFmtId="0" fontId="0" fillId="0" borderId="0" xfId="0" applyAlignment="1">
      <alignment horizontal="center" vertical="top" wrapText="1"/>
    </xf>
    <xf numFmtId="49" fontId="0" fillId="0" borderId="0" xfId="0" applyNumberForma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xf>
    <xf numFmtId="0" fontId="5" fillId="0" borderId="76" xfId="0" applyFont="1" applyBorder="1" applyAlignment="1">
      <alignment horizontal="center"/>
    </xf>
    <xf numFmtId="0" fontId="5" fillId="0" borderId="149" xfId="0" applyFont="1" applyBorder="1" applyAlignment="1">
      <alignment horizontal="center"/>
    </xf>
    <xf numFmtId="0" fontId="5" fillId="0" borderId="127" xfId="0" applyFont="1" applyBorder="1" applyAlignment="1">
      <alignment horizontal="center"/>
    </xf>
    <xf numFmtId="0" fontId="0" fillId="0" borderId="5" xfId="0" applyBorder="1" applyAlignment="1">
      <alignment horizontal="center"/>
    </xf>
    <xf numFmtId="0" fontId="0" fillId="0" borderId="76" xfId="0" applyBorder="1" applyAlignment="1">
      <alignment horizontal="center"/>
    </xf>
    <xf numFmtId="0" fontId="0" fillId="0" borderId="151" xfId="0" applyBorder="1" applyAlignment="1">
      <alignment horizontal="center"/>
    </xf>
    <xf numFmtId="0" fontId="0" fillId="0" borderId="0" xfId="0" applyNumberForma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51"/>
  <sheetViews>
    <sheetView tabSelected="1" zoomScale="148" zoomScaleNormal="148" workbookViewId="0">
      <pane xSplit="2" ySplit="8" topLeftCell="AP9" activePane="bottomRight" state="frozen"/>
      <selection pane="topRight" activeCell="C1" sqref="C1"/>
      <selection pane="bottomLeft" activeCell="A9" sqref="A9"/>
      <selection pane="bottomRight" activeCell="AR141" sqref="AR141"/>
    </sheetView>
  </sheetViews>
  <sheetFormatPr defaultColWidth="9.140625" defaultRowHeight="15" x14ac:dyDescent="0.25"/>
  <cols>
    <col min="1" max="1" width="5.85546875" style="2" customWidth="1"/>
    <col min="2" max="2" width="62.42578125" style="2" customWidth="1"/>
    <col min="3" max="3" width="12.7109375" style="2" customWidth="1"/>
    <col min="4" max="4" width="11.85546875" style="2" customWidth="1"/>
    <col min="5" max="12" width="10.85546875" style="2" customWidth="1"/>
    <col min="13" max="15" width="11.85546875" style="2" customWidth="1"/>
    <col min="16" max="23" width="10.85546875" style="2" customWidth="1"/>
    <col min="24" max="24" width="10.85546875" style="395" customWidth="1"/>
    <col min="25" max="28" width="11.85546875" style="2" customWidth="1"/>
    <col min="29" max="29" width="21" style="395" customWidth="1"/>
    <col min="30" max="41" width="21" style="586" hidden="1" customWidth="1"/>
    <col min="42" max="48" width="21" style="586" customWidth="1"/>
    <col min="49" max="49" width="10.85546875" style="2" bestFit="1" customWidth="1"/>
    <col min="50" max="58" width="11.5703125" style="2" bestFit="1" customWidth="1"/>
    <col min="59" max="68" width="11.5703125" style="2" customWidth="1"/>
    <col min="69" max="16384" width="9.140625" style="2"/>
  </cols>
  <sheetData>
    <row r="1" spans="1:70" ht="16.5" hidden="1" thickTop="1" thickBot="1" x14ac:dyDescent="0.3">
      <c r="B1" s="895" t="s">
        <v>19</v>
      </c>
      <c r="C1" s="896"/>
      <c r="D1" s="896"/>
      <c r="E1" s="896"/>
      <c r="F1" s="896"/>
      <c r="G1" s="896"/>
      <c r="H1" s="896"/>
      <c r="I1" s="896"/>
      <c r="J1" s="896"/>
      <c r="K1" s="896"/>
      <c r="L1" s="896"/>
      <c r="M1" s="896"/>
      <c r="N1" s="896"/>
      <c r="O1" s="896"/>
      <c r="P1" s="896"/>
      <c r="Q1" s="896"/>
      <c r="R1" s="896"/>
      <c r="S1" s="896"/>
      <c r="T1" s="896"/>
      <c r="U1" s="896"/>
      <c r="V1" s="896"/>
      <c r="W1" s="896"/>
      <c r="X1" s="897"/>
      <c r="Y1" s="896"/>
      <c r="Z1" s="896"/>
      <c r="AA1" s="896"/>
      <c r="AB1" s="896"/>
      <c r="AC1" s="897"/>
      <c r="AD1" s="897"/>
      <c r="AE1" s="897"/>
      <c r="AF1" s="897"/>
      <c r="AG1" s="897"/>
      <c r="AH1" s="897"/>
      <c r="AI1" s="897"/>
      <c r="AJ1" s="897"/>
      <c r="AK1" s="897"/>
      <c r="AL1" s="897"/>
      <c r="AM1" s="897"/>
      <c r="AN1" s="897"/>
      <c r="AO1" s="897"/>
      <c r="AP1" s="897"/>
      <c r="AQ1" s="897"/>
      <c r="AR1" s="897"/>
      <c r="AS1" s="897"/>
      <c r="AT1" s="897"/>
      <c r="AU1" s="897"/>
      <c r="AV1" s="897"/>
      <c r="AW1" s="896"/>
      <c r="AX1" s="896"/>
      <c r="AY1" s="38"/>
      <c r="AZ1" s="38"/>
      <c r="BA1" s="38"/>
      <c r="BB1" s="38"/>
      <c r="BC1" s="39"/>
      <c r="BD1" s="312"/>
      <c r="BE1" s="312"/>
      <c r="BF1" s="312"/>
      <c r="BG1" s="312"/>
      <c r="BH1" s="312"/>
      <c r="BI1" s="312"/>
      <c r="BJ1" s="312"/>
      <c r="BK1" s="312"/>
      <c r="BL1" s="312"/>
      <c r="BM1" s="312"/>
      <c r="BN1" s="312"/>
      <c r="BO1" s="312"/>
      <c r="BP1" s="312"/>
    </row>
    <row r="2" spans="1:70" ht="18.75" hidden="1" customHeight="1" thickTop="1" thickBot="1" x14ac:dyDescent="0.3">
      <c r="B2" s="5" t="s">
        <v>19</v>
      </c>
      <c r="C2" s="898" t="s">
        <v>57</v>
      </c>
      <c r="D2" s="899"/>
      <c r="E2" s="899"/>
      <c r="F2" s="899"/>
      <c r="G2" s="899"/>
      <c r="H2" s="899"/>
      <c r="I2" s="899"/>
      <c r="J2" s="6"/>
      <c r="K2" s="7"/>
      <c r="L2" s="7"/>
      <c r="M2" s="898"/>
      <c r="N2" s="899"/>
      <c r="O2" s="899"/>
      <c r="P2" s="899"/>
      <c r="Q2" s="899"/>
      <c r="R2" s="899"/>
      <c r="S2" s="899"/>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8"/>
    </row>
    <row r="3" spans="1:70" ht="12" hidden="1" customHeight="1" thickTop="1" thickBot="1" x14ac:dyDescent="0.3">
      <c r="B3" s="5" t="s">
        <v>1</v>
      </c>
      <c r="C3" s="898" t="s">
        <v>48</v>
      </c>
      <c r="D3" s="899"/>
      <c r="E3" s="899"/>
      <c r="F3" s="899"/>
      <c r="G3" s="899"/>
      <c r="H3" s="899"/>
      <c r="I3" s="899"/>
      <c r="J3" s="6"/>
      <c r="K3" s="9"/>
      <c r="L3" s="9"/>
      <c r="M3" s="898"/>
      <c r="N3" s="899"/>
      <c r="O3" s="899"/>
      <c r="P3" s="899"/>
      <c r="Q3" s="899"/>
      <c r="R3" s="899"/>
      <c r="S3" s="899"/>
      <c r="T3" s="9"/>
      <c r="U3" s="9"/>
      <c r="V3" s="9"/>
      <c r="W3" s="9"/>
      <c r="X3" s="6"/>
      <c r="Y3" s="9"/>
      <c r="Z3" s="9"/>
      <c r="AA3" s="9"/>
      <c r="AB3" s="9"/>
      <c r="AC3" s="6"/>
      <c r="AD3" s="6"/>
      <c r="AE3" s="6"/>
      <c r="AF3" s="6"/>
      <c r="AG3" s="6"/>
      <c r="AH3" s="6"/>
      <c r="AI3" s="6"/>
      <c r="AJ3" s="6"/>
      <c r="AK3" s="6"/>
      <c r="AL3" s="6"/>
      <c r="AM3" s="6"/>
      <c r="AN3" s="6"/>
      <c r="AO3" s="6"/>
      <c r="AP3" s="6"/>
      <c r="AQ3" s="6"/>
      <c r="AR3" s="6"/>
      <c r="AS3" s="6"/>
      <c r="AT3" s="6"/>
      <c r="AU3" s="6"/>
      <c r="AV3" s="6"/>
      <c r="AW3" s="9"/>
      <c r="AX3" s="10"/>
    </row>
    <row r="4" spans="1:70" ht="27.6" hidden="1" customHeight="1" thickTop="1" thickBot="1" x14ac:dyDescent="0.3">
      <c r="B4" s="5" t="s">
        <v>2</v>
      </c>
      <c r="C4" s="900">
        <v>44696</v>
      </c>
      <c r="D4" s="901"/>
      <c r="E4" s="901"/>
      <c r="F4" s="901"/>
      <c r="G4" s="901"/>
      <c r="H4" s="901"/>
      <c r="I4" s="901"/>
      <c r="J4" s="6"/>
      <c r="K4" s="9"/>
      <c r="L4" s="9"/>
      <c r="M4" s="900"/>
      <c r="N4" s="901"/>
      <c r="O4" s="901"/>
      <c r="P4" s="901"/>
      <c r="Q4" s="901"/>
      <c r="R4" s="901"/>
      <c r="S4" s="901"/>
      <c r="T4" s="9"/>
      <c r="U4" s="9"/>
      <c r="V4" s="9"/>
      <c r="W4" s="9"/>
      <c r="X4" s="6"/>
      <c r="Y4" s="9"/>
      <c r="Z4" s="9"/>
      <c r="AA4" s="9"/>
      <c r="AB4" s="9"/>
      <c r="AC4" s="6"/>
      <c r="AD4" s="6"/>
      <c r="AE4" s="6"/>
      <c r="AF4" s="6"/>
      <c r="AG4" s="6"/>
      <c r="AH4" s="6"/>
      <c r="AI4" s="6"/>
      <c r="AJ4" s="6"/>
      <c r="AK4" s="6"/>
      <c r="AL4" s="6"/>
      <c r="AM4" s="6"/>
      <c r="AN4" s="6"/>
      <c r="AO4" s="6"/>
      <c r="AP4" s="6"/>
      <c r="AQ4" s="6"/>
      <c r="AR4" s="6"/>
      <c r="AS4" s="6"/>
      <c r="AT4" s="6"/>
      <c r="AU4" s="6"/>
      <c r="AV4" s="6"/>
      <c r="AW4" s="9"/>
      <c r="AX4" s="11"/>
    </row>
    <row r="5" spans="1:70" ht="7.5" hidden="1" customHeight="1" thickTop="1" x14ac:dyDescent="0.25">
      <c r="B5" s="5"/>
      <c r="C5" s="12"/>
      <c r="D5" s="12"/>
      <c r="E5" s="12"/>
      <c r="F5" s="6"/>
      <c r="G5" s="7"/>
      <c r="H5" s="6"/>
      <c r="I5" s="7"/>
      <c r="J5" s="6"/>
      <c r="K5" s="9"/>
      <c r="L5" s="9"/>
      <c r="M5" s="9"/>
      <c r="N5" s="9"/>
      <c r="O5" s="9"/>
      <c r="P5" s="9"/>
      <c r="Q5" s="9"/>
      <c r="R5" s="9"/>
      <c r="S5" s="9"/>
      <c r="T5" s="9"/>
      <c r="U5" s="9"/>
      <c r="V5" s="9"/>
      <c r="W5" s="9"/>
      <c r="X5" s="6"/>
      <c r="Y5" s="9"/>
      <c r="Z5" s="9"/>
      <c r="AA5" s="9"/>
      <c r="AB5" s="9"/>
      <c r="AC5" s="6"/>
      <c r="AD5" s="6"/>
      <c r="AE5" s="6"/>
      <c r="AF5" s="6"/>
      <c r="AG5" s="6"/>
      <c r="AH5" s="6"/>
      <c r="AI5" s="6"/>
      <c r="AJ5" s="6"/>
      <c r="AK5" s="6"/>
      <c r="AL5" s="6"/>
      <c r="AM5" s="6"/>
      <c r="AN5" s="6"/>
      <c r="AO5" s="6"/>
      <c r="AP5" s="6"/>
      <c r="AQ5" s="6"/>
      <c r="AR5" s="6"/>
      <c r="AS5" s="6"/>
      <c r="AT5" s="6"/>
      <c r="AU5" s="6"/>
      <c r="AV5" s="6"/>
      <c r="AW5" s="9"/>
      <c r="AX5" s="11"/>
    </row>
    <row r="6" spans="1:70" ht="19.5" hidden="1" customHeight="1" thickBot="1" x14ac:dyDescent="0.3">
      <c r="B6" s="13"/>
      <c r="C6" s="14"/>
      <c r="D6" s="15"/>
      <c r="E6" s="15"/>
      <c r="F6" s="16"/>
      <c r="G6" s="17"/>
      <c r="H6" s="18"/>
      <c r="I6" s="17"/>
      <c r="J6" s="19"/>
      <c r="K6" s="18"/>
      <c r="L6" s="18"/>
      <c r="M6" s="18"/>
      <c r="N6" s="18"/>
      <c r="O6" s="18"/>
      <c r="P6" s="18"/>
      <c r="Q6" s="18"/>
      <c r="R6" s="18"/>
      <c r="S6" s="18"/>
      <c r="T6" s="18"/>
      <c r="U6" s="18"/>
      <c r="V6" s="18"/>
      <c r="W6" s="18"/>
      <c r="X6" s="397"/>
      <c r="Y6" s="18"/>
      <c r="Z6" s="18"/>
      <c r="AA6" s="18"/>
      <c r="AB6" s="18"/>
      <c r="AC6" s="399"/>
      <c r="AD6" s="397"/>
      <c r="AE6" s="397"/>
      <c r="AF6" s="397"/>
      <c r="AG6" s="397"/>
      <c r="AH6" s="397"/>
      <c r="AI6" s="397"/>
      <c r="AJ6" s="397"/>
      <c r="AK6" s="397"/>
      <c r="AL6" s="397"/>
      <c r="AM6" s="397"/>
      <c r="AN6" s="397"/>
      <c r="AO6" s="397"/>
      <c r="AP6" s="397"/>
      <c r="AQ6" s="397"/>
      <c r="AR6" s="397"/>
      <c r="AS6" s="397"/>
      <c r="AT6" s="397"/>
      <c r="AU6" s="397"/>
      <c r="AV6" s="397"/>
      <c r="AW6" s="18"/>
      <c r="AX6" s="20"/>
    </row>
    <row r="7" spans="1:70" s="3" customFormat="1" ht="19.5" hidden="1" customHeight="1" thickBot="1" x14ac:dyDescent="0.3">
      <c r="B7" s="21"/>
      <c r="C7" s="22">
        <v>2019</v>
      </c>
      <c r="D7" s="23"/>
      <c r="E7" s="23"/>
      <c r="F7" s="23"/>
      <c r="G7" s="23"/>
      <c r="H7" s="23"/>
      <c r="I7" s="23"/>
      <c r="J7" s="23"/>
      <c r="K7" s="23"/>
      <c r="L7" s="195"/>
      <c r="M7" s="202">
        <v>2020</v>
      </c>
      <c r="N7" s="202"/>
      <c r="O7" s="25"/>
      <c r="P7" s="23"/>
      <c r="Q7" s="23"/>
      <c r="R7" s="23"/>
      <c r="S7" s="23"/>
      <c r="T7" s="23"/>
      <c r="U7" s="26"/>
      <c r="V7" s="202"/>
      <c r="W7" s="202"/>
      <c r="X7" s="396"/>
      <c r="Y7" s="903">
        <v>2021</v>
      </c>
      <c r="Z7" s="892"/>
      <c r="AA7" s="892"/>
      <c r="AB7" s="892"/>
      <c r="AC7" s="892"/>
      <c r="AD7" s="892"/>
      <c r="AE7" s="892"/>
      <c r="AF7" s="892"/>
      <c r="AG7" s="892"/>
      <c r="AH7" s="892"/>
      <c r="AI7" s="892"/>
      <c r="AJ7" s="904"/>
      <c r="AK7" s="746">
        <v>2022</v>
      </c>
      <c r="AL7" s="746"/>
      <c r="AM7" s="746"/>
      <c r="AN7" s="746"/>
      <c r="AO7" s="746"/>
      <c r="AP7" s="746"/>
      <c r="AQ7" s="746"/>
      <c r="AR7" s="746"/>
      <c r="AS7" s="746"/>
      <c r="AT7" s="746"/>
      <c r="AU7" s="746"/>
      <c r="AV7" s="746"/>
      <c r="AW7" s="25" t="s">
        <v>15</v>
      </c>
      <c r="AX7" s="23"/>
      <c r="AY7" s="23"/>
      <c r="AZ7" s="23"/>
      <c r="BA7" s="23"/>
      <c r="BB7" s="23"/>
      <c r="BC7" s="24"/>
      <c r="BD7" s="417"/>
      <c r="BE7" s="418"/>
      <c r="BF7" s="418"/>
      <c r="BG7" s="891" t="s">
        <v>63</v>
      </c>
      <c r="BH7" s="892"/>
      <c r="BI7" s="892"/>
      <c r="BJ7" s="892"/>
      <c r="BK7" s="892"/>
      <c r="BL7" s="892"/>
      <c r="BM7" s="892"/>
      <c r="BN7" s="892"/>
      <c r="BO7" s="892"/>
      <c r="BP7" s="892"/>
      <c r="BQ7" s="892"/>
      <c r="BR7" s="892"/>
    </row>
    <row r="8" spans="1:70"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86" t="s">
        <v>6</v>
      </c>
      <c r="Y8" s="318" t="s">
        <v>7</v>
      </c>
      <c r="Z8" s="318" t="s">
        <v>8</v>
      </c>
      <c r="AA8" s="318" t="s">
        <v>9</v>
      </c>
      <c r="AB8" s="318" t="s">
        <v>10</v>
      </c>
      <c r="AC8" s="386" t="s">
        <v>16</v>
      </c>
      <c r="AD8" s="386" t="s">
        <v>71</v>
      </c>
      <c r="AE8" s="318" t="s">
        <v>17</v>
      </c>
      <c r="AF8" s="318" t="s">
        <v>72</v>
      </c>
      <c r="AG8" s="318" t="s">
        <v>73</v>
      </c>
      <c r="AH8" s="318" t="s">
        <v>74</v>
      </c>
      <c r="AI8" s="318" t="s">
        <v>75</v>
      </c>
      <c r="AJ8" s="865" t="s">
        <v>76</v>
      </c>
      <c r="AK8" s="318" t="s">
        <v>77</v>
      </c>
      <c r="AL8" s="318" t="s">
        <v>78</v>
      </c>
      <c r="AM8" s="318" t="s">
        <v>66</v>
      </c>
      <c r="AN8" s="318" t="s">
        <v>68</v>
      </c>
      <c r="AO8" s="318" t="s">
        <v>16</v>
      </c>
      <c r="AP8" s="318" t="s">
        <v>71</v>
      </c>
      <c r="AQ8" s="318" t="s">
        <v>17</v>
      </c>
      <c r="AR8" s="318" t="s">
        <v>72</v>
      </c>
      <c r="AS8" s="318" t="s">
        <v>73</v>
      </c>
      <c r="AT8" s="318" t="s">
        <v>74</v>
      </c>
      <c r="AU8" s="318" t="s">
        <v>75</v>
      </c>
      <c r="AV8" s="318" t="s">
        <v>76</v>
      </c>
      <c r="AW8" s="30" t="s">
        <v>9</v>
      </c>
      <c r="AX8" s="29" t="s">
        <v>10</v>
      </c>
      <c r="AY8" s="29" t="s">
        <v>16</v>
      </c>
      <c r="AZ8" s="29" t="s">
        <v>11</v>
      </c>
      <c r="BA8" s="29" t="s">
        <v>12</v>
      </c>
      <c r="BB8" s="29" t="s">
        <v>3</v>
      </c>
      <c r="BC8" s="32" t="s">
        <v>13</v>
      </c>
      <c r="BD8" s="422" t="s">
        <v>4</v>
      </c>
      <c r="BE8" s="423" t="s">
        <v>5</v>
      </c>
      <c r="BF8" s="423" t="s">
        <v>6</v>
      </c>
      <c r="BG8" s="424" t="s">
        <v>7</v>
      </c>
      <c r="BH8" s="425" t="s">
        <v>8</v>
      </c>
      <c r="BI8" s="426" t="s">
        <v>9</v>
      </c>
      <c r="BJ8" s="426" t="s">
        <v>10</v>
      </c>
      <c r="BK8" s="426" t="s">
        <v>16</v>
      </c>
      <c r="BL8" s="426" t="s">
        <v>71</v>
      </c>
      <c r="BM8" s="426" t="s">
        <v>17</v>
      </c>
      <c r="BN8" s="426" t="s">
        <v>72</v>
      </c>
      <c r="BO8" s="426" t="s">
        <v>73</v>
      </c>
      <c r="BP8" s="426" t="s">
        <v>74</v>
      </c>
      <c r="BQ8" s="426" t="s">
        <v>75</v>
      </c>
      <c r="BR8" s="426" t="s">
        <v>76</v>
      </c>
    </row>
    <row r="9" spans="1:70" x14ac:dyDescent="0.25">
      <c r="A9" s="4">
        <v>1</v>
      </c>
      <c r="B9" s="40" t="s">
        <v>14</v>
      </c>
      <c r="C9" s="48"/>
      <c r="D9" s="49"/>
      <c r="E9" s="49"/>
      <c r="F9" s="49"/>
      <c r="G9" s="49"/>
      <c r="H9" s="49"/>
      <c r="I9" s="49"/>
      <c r="J9" s="49"/>
      <c r="K9" s="49"/>
      <c r="L9" s="50"/>
      <c r="M9" s="51"/>
      <c r="N9" s="49"/>
      <c r="O9" s="51"/>
      <c r="P9" s="49"/>
      <c r="Q9" s="49"/>
      <c r="R9" s="49"/>
      <c r="S9" s="49"/>
      <c r="T9" s="49"/>
      <c r="U9" s="50"/>
      <c r="V9" s="319"/>
      <c r="W9" s="319"/>
      <c r="X9" s="387"/>
      <c r="Y9" s="319"/>
      <c r="Z9" s="319"/>
      <c r="AA9" s="319"/>
      <c r="AB9" s="319"/>
      <c r="AC9" s="387"/>
      <c r="AD9" s="387"/>
      <c r="AE9" s="319"/>
      <c r="AF9" s="319"/>
      <c r="AG9" s="319"/>
      <c r="AH9" s="319"/>
      <c r="AI9" s="319"/>
      <c r="AJ9" s="866"/>
      <c r="AK9" s="319"/>
      <c r="AL9" s="319"/>
      <c r="AM9" s="319"/>
      <c r="AN9" s="319"/>
      <c r="AO9" s="319"/>
      <c r="AP9" s="319"/>
      <c r="AQ9" s="319"/>
      <c r="AR9" s="319"/>
      <c r="AS9" s="319"/>
      <c r="AT9" s="319"/>
      <c r="AU9" s="319"/>
      <c r="AV9" s="319"/>
      <c r="AW9" s="51"/>
      <c r="AX9" s="52"/>
      <c r="AY9" s="53"/>
      <c r="AZ9" s="53"/>
      <c r="BA9" s="53"/>
      <c r="BB9" s="53"/>
      <c r="BC9" s="54"/>
      <c r="BD9" s="230"/>
      <c r="BE9" s="230"/>
      <c r="BF9" s="400"/>
      <c r="BG9" s="419"/>
      <c r="BH9" s="420"/>
      <c r="BI9" s="421"/>
      <c r="BJ9" s="421"/>
      <c r="BK9" s="421"/>
      <c r="BL9" s="421"/>
      <c r="BM9" s="421"/>
      <c r="BN9" s="421"/>
      <c r="BO9" s="421"/>
      <c r="BP9" s="421"/>
      <c r="BQ9" s="421"/>
      <c r="BR9" s="421"/>
    </row>
    <row r="10" spans="1:70" x14ac:dyDescent="0.25">
      <c r="A10" s="4"/>
      <c r="B10" s="35" t="s">
        <v>36</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2429+40737+238</f>
        <v>43404</v>
      </c>
      <c r="X10" s="57">
        <f>2430+40780+238</f>
        <v>43448</v>
      </c>
      <c r="Y10" s="338">
        <f>2414+40792+238</f>
        <v>43444</v>
      </c>
      <c r="Z10" s="338">
        <f>2401+40712+238</f>
        <v>43351</v>
      </c>
      <c r="AA10" s="338">
        <f>2394+40727+238</f>
        <v>43359</v>
      </c>
      <c r="AB10" s="338">
        <f>2378+40308+56+182</f>
        <v>42924</v>
      </c>
      <c r="AC10" s="130">
        <f>43068+238</f>
        <v>43306</v>
      </c>
      <c r="AD10" s="130">
        <f>2538+42336+238</f>
        <v>45112</v>
      </c>
      <c r="AE10" s="338">
        <f>2460+41163+239</f>
        <v>43862</v>
      </c>
      <c r="AF10" s="338">
        <f>2462+41113+239</f>
        <v>43814</v>
      </c>
      <c r="AG10" s="338">
        <f>2468+41124+239</f>
        <v>43831</v>
      </c>
      <c r="AH10" s="338">
        <f>2464+41059+239</f>
        <v>43762</v>
      </c>
      <c r="AI10" s="338">
        <f>2464+41153+239</f>
        <v>43856</v>
      </c>
      <c r="AJ10" s="850">
        <f>2465+41358+239</f>
        <v>44062</v>
      </c>
      <c r="AK10" s="338">
        <f>2499+41832+239</f>
        <v>44570</v>
      </c>
      <c r="AL10" s="338">
        <f>2452+41134+239</f>
        <v>43825</v>
      </c>
      <c r="AM10" s="338">
        <f>2446+41114+239</f>
        <v>43799</v>
      </c>
      <c r="AN10" s="338">
        <f>2392+40049+239</f>
        <v>42680</v>
      </c>
      <c r="AO10" s="338">
        <f>SUM(2416,40310,239)</f>
        <v>42965</v>
      </c>
      <c r="AP10" s="338">
        <f>SUM(2424,41470,239)</f>
        <v>44133</v>
      </c>
      <c r="AQ10" s="338">
        <f>SUM(2434+40842+239)</f>
        <v>43515</v>
      </c>
      <c r="AR10" s="338">
        <f>2435+40660+239</f>
        <v>43334</v>
      </c>
      <c r="AS10" s="338"/>
      <c r="AT10" s="338"/>
      <c r="AU10" s="338"/>
      <c r="AV10" s="338"/>
      <c r="AW10" s="58">
        <f t="shared" ref="AW10:BF14" si="0">C10-O10</f>
        <v>-317</v>
      </c>
      <c r="AX10" s="58">
        <f t="shared" si="0"/>
        <v>-896</v>
      </c>
      <c r="AY10" s="58">
        <f t="shared" si="0"/>
        <v>-1132</v>
      </c>
      <c r="AZ10" s="58">
        <f t="shared" si="0"/>
        <v>-1470</v>
      </c>
      <c r="BA10" s="58">
        <f t="shared" si="0"/>
        <v>-1252</v>
      </c>
      <c r="BB10" s="58">
        <f t="shared" si="0"/>
        <v>-1395</v>
      </c>
      <c r="BC10" s="70">
        <f t="shared" si="0"/>
        <v>-1281</v>
      </c>
      <c r="BD10" s="70">
        <f t="shared" si="0"/>
        <v>-1152</v>
      </c>
      <c r="BE10" s="70">
        <f t="shared" si="0"/>
        <v>-1137</v>
      </c>
      <c r="BF10" s="242">
        <f t="shared" si="0"/>
        <v>-929</v>
      </c>
      <c r="BG10" s="242">
        <f t="shared" ref="BG10:BP14" si="1">M10-Y10</f>
        <v>-1023</v>
      </c>
      <c r="BH10" s="242">
        <f t="shared" si="1"/>
        <v>-904</v>
      </c>
      <c r="BI10" s="242">
        <f t="shared" si="1"/>
        <v>-949</v>
      </c>
      <c r="BJ10" s="242">
        <f t="shared" si="1"/>
        <v>-611</v>
      </c>
      <c r="BK10" s="242">
        <f t="shared" si="1"/>
        <v>-860</v>
      </c>
      <c r="BL10" s="242">
        <f t="shared" si="1"/>
        <v>-1435</v>
      </c>
      <c r="BM10" s="242">
        <f t="shared" si="1"/>
        <v>-643</v>
      </c>
      <c r="BN10" s="242">
        <f t="shared" si="1"/>
        <v>-503</v>
      </c>
      <c r="BO10" s="242">
        <f t="shared" si="1"/>
        <v>-476</v>
      </c>
      <c r="BP10" s="242">
        <f t="shared" si="1"/>
        <v>-594</v>
      </c>
      <c r="BQ10" s="242">
        <f t="shared" ref="BQ10:BR14" si="2">W10-AI10</f>
        <v>-452</v>
      </c>
      <c r="BR10" s="242">
        <f t="shared" si="2"/>
        <v>-614</v>
      </c>
    </row>
    <row r="11" spans="1:70" x14ac:dyDescent="0.25">
      <c r="A11" s="4"/>
      <c r="B11" s="35" t="s">
        <v>37</v>
      </c>
      <c r="C11" s="55">
        <v>10386</v>
      </c>
      <c r="D11" s="56">
        <v>10646</v>
      </c>
      <c r="E11" s="56">
        <v>10604</v>
      </c>
      <c r="F11" s="56">
        <v>9763</v>
      </c>
      <c r="G11" s="56">
        <v>9843</v>
      </c>
      <c r="H11" s="56">
        <v>9767</v>
      </c>
      <c r="I11" s="56">
        <v>9634</v>
      </c>
      <c r="J11" s="56">
        <v>9788</v>
      </c>
      <c r="K11" s="56">
        <v>10029</v>
      </c>
      <c r="L11" s="57">
        <v>10105</v>
      </c>
      <c r="M11" s="58">
        <v>10253</v>
      </c>
      <c r="N11" s="56">
        <v>10308</v>
      </c>
      <c r="O11" s="58">
        <v>10359</v>
      </c>
      <c r="P11" s="56">
        <f>326+10246</f>
        <v>10572</v>
      </c>
      <c r="Q11" s="56">
        <f>326+10188</f>
        <v>10514</v>
      </c>
      <c r="R11" s="56">
        <f>295+9063</f>
        <v>9358</v>
      </c>
      <c r="S11" s="56">
        <f>314+9545</f>
        <v>9859</v>
      </c>
      <c r="T11" s="56">
        <f>322+9544</f>
        <v>9866</v>
      </c>
      <c r="U11" s="57">
        <f>326+9593</f>
        <v>9919</v>
      </c>
      <c r="V11" s="57">
        <f>342+9794</f>
        <v>10136</v>
      </c>
      <c r="W11" s="57">
        <f>317+9657</f>
        <v>9974</v>
      </c>
      <c r="X11" s="57">
        <f>317+9732</f>
        <v>10049</v>
      </c>
      <c r="Y11" s="338">
        <f>323+9775</f>
        <v>10098</v>
      </c>
      <c r="Z11" s="338">
        <f>337+9936</f>
        <v>10273</v>
      </c>
      <c r="AA11" s="338">
        <f>334+9962</f>
        <v>10296</v>
      </c>
      <c r="AB11" s="338">
        <f>343+10397</f>
        <v>10740</v>
      </c>
      <c r="AC11" s="130">
        <v>10716</v>
      </c>
      <c r="AD11" s="130">
        <f>204+8785</f>
        <v>8989</v>
      </c>
      <c r="AE11" s="338">
        <f>284+9909</f>
        <v>10193</v>
      </c>
      <c r="AF11" s="338">
        <f>279+9931</f>
        <v>10210</v>
      </c>
      <c r="AG11" s="338">
        <f>276+9936</f>
        <v>10212</v>
      </c>
      <c r="AH11" s="338">
        <f>266+10035</f>
        <v>10301</v>
      </c>
      <c r="AI11" s="338">
        <f>264+10069</f>
        <v>10333</v>
      </c>
      <c r="AJ11" s="850">
        <f>267+10094</f>
        <v>10361</v>
      </c>
      <c r="AK11" s="338">
        <f>228+9668</f>
        <v>9896</v>
      </c>
      <c r="AL11" s="338">
        <f>269+10338</f>
        <v>10607</v>
      </c>
      <c r="AM11" s="338">
        <f>265+10500</f>
        <v>10765</v>
      </c>
      <c r="AN11" s="338">
        <f>314+11450</f>
        <v>11764</v>
      </c>
      <c r="AO11" s="338">
        <f>SUM(292,11177)</f>
        <v>11469</v>
      </c>
      <c r="AP11" s="338">
        <f>SUM(282,10048)</f>
        <v>10330</v>
      </c>
      <c r="AQ11" s="338">
        <f>SUM(282+10624)</f>
        <v>10906</v>
      </c>
      <c r="AR11" s="338">
        <f>285+10571</f>
        <v>10856</v>
      </c>
      <c r="AS11" s="338"/>
      <c r="AT11" s="338"/>
      <c r="AU11" s="338"/>
      <c r="AV11" s="338"/>
      <c r="AW11" s="58">
        <f t="shared" si="0"/>
        <v>27</v>
      </c>
      <c r="AX11" s="58">
        <f t="shared" si="0"/>
        <v>74</v>
      </c>
      <c r="AY11" s="58">
        <f t="shared" si="0"/>
        <v>90</v>
      </c>
      <c r="AZ11" s="58">
        <f t="shared" si="0"/>
        <v>405</v>
      </c>
      <c r="BA11" s="58">
        <f t="shared" si="0"/>
        <v>-16</v>
      </c>
      <c r="BB11" s="58">
        <f t="shared" si="0"/>
        <v>-99</v>
      </c>
      <c r="BC11" s="70">
        <f t="shared" si="0"/>
        <v>-285</v>
      </c>
      <c r="BD11" s="70">
        <f t="shared" si="0"/>
        <v>-348</v>
      </c>
      <c r="BE11" s="70">
        <f t="shared" si="0"/>
        <v>55</v>
      </c>
      <c r="BF11" s="242">
        <f t="shared" si="0"/>
        <v>56</v>
      </c>
      <c r="BG11" s="242">
        <f t="shared" si="1"/>
        <v>155</v>
      </c>
      <c r="BH11" s="242">
        <f t="shared" si="1"/>
        <v>35</v>
      </c>
      <c r="BI11" s="242">
        <f t="shared" si="1"/>
        <v>63</v>
      </c>
      <c r="BJ11" s="242">
        <f t="shared" si="1"/>
        <v>-168</v>
      </c>
      <c r="BK11" s="242">
        <f t="shared" si="1"/>
        <v>-202</v>
      </c>
      <c r="BL11" s="242">
        <f t="shared" si="1"/>
        <v>369</v>
      </c>
      <c r="BM11" s="242">
        <f t="shared" si="1"/>
        <v>-334</v>
      </c>
      <c r="BN11" s="242">
        <f t="shared" si="1"/>
        <v>-344</v>
      </c>
      <c r="BO11" s="242">
        <f t="shared" si="1"/>
        <v>-293</v>
      </c>
      <c r="BP11" s="242">
        <f t="shared" si="1"/>
        <v>-165</v>
      </c>
      <c r="BQ11" s="242">
        <f t="shared" si="2"/>
        <v>-359</v>
      </c>
      <c r="BR11" s="242">
        <f t="shared" si="2"/>
        <v>-312</v>
      </c>
    </row>
    <row r="12" spans="1:70" x14ac:dyDescent="0.25">
      <c r="A12" s="4"/>
      <c r="B12" s="35" t="s">
        <v>38</v>
      </c>
      <c r="C12" s="55">
        <v>3745</v>
      </c>
      <c r="D12" s="56">
        <v>3717</v>
      </c>
      <c r="E12" s="56">
        <v>3695</v>
      </c>
      <c r="F12" s="56">
        <v>3673</v>
      </c>
      <c r="G12" s="56">
        <v>3659</v>
      </c>
      <c r="H12" s="56">
        <v>3643</v>
      </c>
      <c r="I12" s="56">
        <v>3642</v>
      </c>
      <c r="J12" s="56">
        <v>3670</v>
      </c>
      <c r="K12" s="56">
        <v>3735</v>
      </c>
      <c r="L12" s="57">
        <v>3788</v>
      </c>
      <c r="M12" s="58">
        <v>3792</v>
      </c>
      <c r="N12" s="56">
        <v>3789</v>
      </c>
      <c r="O12" s="58">
        <v>3780</v>
      </c>
      <c r="P12" s="56">
        <f>3018+569+171+39</f>
        <v>3797</v>
      </c>
      <c r="Q12" s="56">
        <f>3013+569+171+39</f>
        <v>3792</v>
      </c>
      <c r="R12" s="56">
        <f>3001+570+175+38</f>
        <v>3784</v>
      </c>
      <c r="S12" s="56">
        <f>3001+570+174+37</f>
        <v>3782</v>
      </c>
      <c r="T12" s="56">
        <f>2998+570+175+36</f>
        <v>3779</v>
      </c>
      <c r="U12" s="57">
        <f>2981+558+175+37</f>
        <v>3751</v>
      </c>
      <c r="V12" s="57">
        <f>2982+557+174+39</f>
        <v>3752</v>
      </c>
      <c r="W12" s="57">
        <f>2994+559+182+39</f>
        <v>3774</v>
      </c>
      <c r="X12" s="57">
        <f>3022+560+184+39</f>
        <v>3805</v>
      </c>
      <c r="Y12" s="338">
        <f>3027+560+184+39</f>
        <v>3810</v>
      </c>
      <c r="Z12" s="338">
        <f>3036+562+183+39</f>
        <v>3820</v>
      </c>
      <c r="AA12" s="338">
        <f>3031+562+183+39</f>
        <v>3815</v>
      </c>
      <c r="AB12" s="338">
        <f>3025+562+184+40</f>
        <v>3811</v>
      </c>
      <c r="AC12" s="130">
        <f>3595+224</f>
        <v>3819</v>
      </c>
      <c r="AD12" s="130">
        <f>3024+563+180+38</f>
        <v>3805</v>
      </c>
      <c r="AE12" s="338">
        <f>3021+562+180+39</f>
        <v>3802</v>
      </c>
      <c r="AF12" s="338">
        <f>3021+563+180+38</f>
        <v>3802</v>
      </c>
      <c r="AG12" s="338">
        <f>3024+565+180+38</f>
        <v>3807</v>
      </c>
      <c r="AH12" s="338">
        <f>3025+562+180+38</f>
        <v>3805</v>
      </c>
      <c r="AI12" s="338">
        <f>3067+570+178+39</f>
        <v>3854</v>
      </c>
      <c r="AJ12" s="850">
        <f>3075+571+173+40</f>
        <v>3859</v>
      </c>
      <c r="AK12" s="338">
        <f>3084+568+177+39</f>
        <v>3868</v>
      </c>
      <c r="AL12" s="338">
        <f>3076+566+179+41</f>
        <v>3862</v>
      </c>
      <c r="AM12" s="338">
        <f>3084+572+178+40</f>
        <v>3874</v>
      </c>
      <c r="AN12" s="338">
        <f>3070+571+178+40</f>
        <v>3859</v>
      </c>
      <c r="AO12" s="338">
        <f>SUM(3062,573,177,40)</f>
        <v>3852</v>
      </c>
      <c r="AP12" s="338">
        <f>SUM(3040,573,178,44)</f>
        <v>3835</v>
      </c>
      <c r="AQ12" s="338">
        <f>SUM(3032+569+177+41)</f>
        <v>3819</v>
      </c>
      <c r="AR12" s="338">
        <f>3021+573+177+40</f>
        <v>3811</v>
      </c>
      <c r="AS12" s="338"/>
      <c r="AT12" s="338"/>
      <c r="AU12" s="338"/>
      <c r="AV12" s="338"/>
      <c r="AW12" s="58">
        <f t="shared" si="0"/>
        <v>-35</v>
      </c>
      <c r="AX12" s="58">
        <f t="shared" si="0"/>
        <v>-80</v>
      </c>
      <c r="AY12" s="58">
        <f t="shared" si="0"/>
        <v>-97</v>
      </c>
      <c r="AZ12" s="58">
        <f t="shared" si="0"/>
        <v>-111</v>
      </c>
      <c r="BA12" s="58">
        <f t="shared" si="0"/>
        <v>-123</v>
      </c>
      <c r="BB12" s="58">
        <f t="shared" si="0"/>
        <v>-136</v>
      </c>
      <c r="BC12" s="57">
        <f t="shared" si="0"/>
        <v>-109</v>
      </c>
      <c r="BD12" s="70">
        <f t="shared" si="0"/>
        <v>-82</v>
      </c>
      <c r="BE12" s="70">
        <f t="shared" si="0"/>
        <v>-39</v>
      </c>
      <c r="BF12" s="242">
        <f t="shared" si="0"/>
        <v>-17</v>
      </c>
      <c r="BG12" s="242">
        <f t="shared" si="1"/>
        <v>-18</v>
      </c>
      <c r="BH12" s="242">
        <f t="shared" si="1"/>
        <v>-31</v>
      </c>
      <c r="BI12" s="242">
        <f t="shared" si="1"/>
        <v>-35</v>
      </c>
      <c r="BJ12" s="242">
        <f t="shared" si="1"/>
        <v>-14</v>
      </c>
      <c r="BK12" s="242">
        <f t="shared" si="1"/>
        <v>-27</v>
      </c>
      <c r="BL12" s="242">
        <f t="shared" si="1"/>
        <v>-21</v>
      </c>
      <c r="BM12" s="242">
        <f t="shared" si="1"/>
        <v>-20</v>
      </c>
      <c r="BN12" s="242">
        <f t="shared" si="1"/>
        <v>-23</v>
      </c>
      <c r="BO12" s="242">
        <f t="shared" si="1"/>
        <v>-56</v>
      </c>
      <c r="BP12" s="242">
        <f t="shared" si="1"/>
        <v>-53</v>
      </c>
      <c r="BQ12" s="242">
        <f t="shared" si="2"/>
        <v>-80</v>
      </c>
      <c r="BR12" s="242">
        <f t="shared" si="2"/>
        <v>-54</v>
      </c>
    </row>
    <row r="13" spans="1:70" x14ac:dyDescent="0.25">
      <c r="A13" s="4"/>
      <c r="B13" s="35" t="s">
        <v>39</v>
      </c>
      <c r="C13" s="55">
        <v>543</v>
      </c>
      <c r="D13" s="56">
        <v>543</v>
      </c>
      <c r="E13" s="56">
        <v>542</v>
      </c>
      <c r="F13" s="56">
        <v>541</v>
      </c>
      <c r="G13" s="56">
        <v>542</v>
      </c>
      <c r="H13" s="56">
        <v>542</v>
      </c>
      <c r="I13" s="56">
        <v>527</v>
      </c>
      <c r="J13" s="56">
        <v>431</v>
      </c>
      <c r="K13" s="56">
        <v>532</v>
      </c>
      <c r="L13" s="57">
        <v>536</v>
      </c>
      <c r="M13" s="58">
        <v>540</v>
      </c>
      <c r="N13" s="56">
        <v>541</v>
      </c>
      <c r="O13" s="58">
        <v>542</v>
      </c>
      <c r="P13" s="56">
        <f>220+107+148+66</f>
        <v>541</v>
      </c>
      <c r="Q13" s="56">
        <f>220+109+148+66</f>
        <v>543</v>
      </c>
      <c r="R13" s="56">
        <f>218+113+149+62</f>
        <v>542</v>
      </c>
      <c r="S13" s="56">
        <f>220+116+148+59</f>
        <v>543</v>
      </c>
      <c r="T13" s="56">
        <f>217+116+152+59</f>
        <v>544</v>
      </c>
      <c r="U13" s="57">
        <f>206+114+147+60</f>
        <v>527</v>
      </c>
      <c r="V13" s="57">
        <f>210+115+150+60</f>
        <v>535</v>
      </c>
      <c r="W13" s="57">
        <f>211+116+150+60</f>
        <v>537</v>
      </c>
      <c r="X13" s="57">
        <f>117+149+59+214</f>
        <v>539</v>
      </c>
      <c r="Y13" s="338">
        <f>215+118+148+58</f>
        <v>539</v>
      </c>
      <c r="Z13" s="338">
        <f>116+148+59+215</f>
        <v>538</v>
      </c>
      <c r="AA13" s="338">
        <f>116+148+216+59</f>
        <v>539</v>
      </c>
      <c r="AB13" s="338">
        <f>216+112+148+65</f>
        <v>541</v>
      </c>
      <c r="AC13" s="130">
        <v>542</v>
      </c>
      <c r="AD13" s="130">
        <f>222+115+143+64</f>
        <v>544</v>
      </c>
      <c r="AE13" s="338">
        <f>222+110+143+68</f>
        <v>543</v>
      </c>
      <c r="AF13" s="338">
        <f>222+109+143+69</f>
        <v>543</v>
      </c>
      <c r="AG13" s="338">
        <f>223+109+143+69</f>
        <v>544</v>
      </c>
      <c r="AH13" s="338">
        <f>223+109+143+69</f>
        <v>544</v>
      </c>
      <c r="AI13" s="338">
        <f>222+109+144+69</f>
        <v>544</v>
      </c>
      <c r="AJ13" s="850">
        <f>222+111+144+67</f>
        <v>544</v>
      </c>
      <c r="AK13" s="338">
        <f>227+111+143+67</f>
        <v>548</v>
      </c>
      <c r="AL13" s="338">
        <f>226+112+145+67</f>
        <v>550</v>
      </c>
      <c r="AM13" s="338">
        <f>227+110+145+67</f>
        <v>549</v>
      </c>
      <c r="AN13" s="338">
        <f>225+110+146+67</f>
        <v>548</v>
      </c>
      <c r="AO13" s="338">
        <f>SUM(224,110,148,68)</f>
        <v>550</v>
      </c>
      <c r="AP13" s="338">
        <f>SUM(221,109,161,68)</f>
        <v>559</v>
      </c>
      <c r="AQ13" s="338">
        <f>SUM(219+111+148+68)</f>
        <v>546</v>
      </c>
      <c r="AR13" s="338">
        <f>221+108+147+69</f>
        <v>545</v>
      </c>
      <c r="AS13" s="338"/>
      <c r="AT13" s="338"/>
      <c r="AU13" s="338"/>
      <c r="AV13" s="338"/>
      <c r="AW13" s="58">
        <f t="shared" si="0"/>
        <v>1</v>
      </c>
      <c r="AX13" s="58">
        <f t="shared" si="0"/>
        <v>2</v>
      </c>
      <c r="AY13" s="58">
        <f t="shared" si="0"/>
        <v>-1</v>
      </c>
      <c r="AZ13" s="58">
        <f t="shared" si="0"/>
        <v>-1</v>
      </c>
      <c r="BA13" s="58">
        <f t="shared" si="0"/>
        <v>-1</v>
      </c>
      <c r="BB13" s="58">
        <f t="shared" si="0"/>
        <v>-2</v>
      </c>
      <c r="BC13" s="57">
        <f t="shared" si="0"/>
        <v>0</v>
      </c>
      <c r="BD13" s="70">
        <f t="shared" si="0"/>
        <v>-104</v>
      </c>
      <c r="BE13" s="70">
        <f t="shared" si="0"/>
        <v>-5</v>
      </c>
      <c r="BF13" s="242">
        <f t="shared" si="0"/>
        <v>-3</v>
      </c>
      <c r="BG13" s="242">
        <f t="shared" si="1"/>
        <v>1</v>
      </c>
      <c r="BH13" s="242">
        <f t="shared" si="1"/>
        <v>3</v>
      </c>
      <c r="BI13" s="242">
        <f t="shared" si="1"/>
        <v>3</v>
      </c>
      <c r="BJ13" s="242">
        <f t="shared" si="1"/>
        <v>0</v>
      </c>
      <c r="BK13" s="242">
        <f t="shared" si="1"/>
        <v>1</v>
      </c>
      <c r="BL13" s="242">
        <f t="shared" si="1"/>
        <v>-2</v>
      </c>
      <c r="BM13" s="242">
        <f t="shared" si="1"/>
        <v>0</v>
      </c>
      <c r="BN13" s="242">
        <f t="shared" si="1"/>
        <v>1</v>
      </c>
      <c r="BO13" s="242">
        <f t="shared" si="1"/>
        <v>-17</v>
      </c>
      <c r="BP13" s="242">
        <f t="shared" si="1"/>
        <v>-9</v>
      </c>
      <c r="BQ13" s="242">
        <f t="shared" si="2"/>
        <v>-7</v>
      </c>
      <c r="BR13" s="242">
        <f t="shared" si="2"/>
        <v>-5</v>
      </c>
    </row>
    <row r="14" spans="1:70" x14ac:dyDescent="0.25">
      <c r="A14" s="4"/>
      <c r="B14" s="35" t="s">
        <v>40</v>
      </c>
      <c r="C14" s="55">
        <v>17</v>
      </c>
      <c r="D14" s="56">
        <v>17</v>
      </c>
      <c r="E14" s="56">
        <v>17</v>
      </c>
      <c r="F14" s="56">
        <v>17</v>
      </c>
      <c r="G14" s="56">
        <v>17</v>
      </c>
      <c r="H14" s="56">
        <v>17</v>
      </c>
      <c r="I14" s="56">
        <v>16</v>
      </c>
      <c r="J14" s="56">
        <v>16</v>
      </c>
      <c r="K14" s="56">
        <v>16</v>
      </c>
      <c r="L14" s="57">
        <v>17</v>
      </c>
      <c r="M14" s="58">
        <v>18</v>
      </c>
      <c r="N14" s="56">
        <v>18</v>
      </c>
      <c r="O14" s="58">
        <v>18</v>
      </c>
      <c r="P14" s="56">
        <f>2+2+4+10</f>
        <v>18</v>
      </c>
      <c r="Q14" s="56">
        <f>2+2+4+10</f>
        <v>18</v>
      </c>
      <c r="R14" s="56">
        <f>2+2+4+10</f>
        <v>18</v>
      </c>
      <c r="S14" s="56">
        <f>2+2+4+10</f>
        <v>18</v>
      </c>
      <c r="T14" s="56">
        <f>4+2+3+10</f>
        <v>19</v>
      </c>
      <c r="U14" s="57">
        <f>2+2+4+11</f>
        <v>19</v>
      </c>
      <c r="V14" s="57">
        <f>2+2+3+11</f>
        <v>18</v>
      </c>
      <c r="W14" s="57">
        <f>2+2+3+11</f>
        <v>18</v>
      </c>
      <c r="X14" s="57">
        <v>19</v>
      </c>
      <c r="Y14" s="338">
        <f>2+3+3+11</f>
        <v>19</v>
      </c>
      <c r="Z14" s="338">
        <f>3+2+3+11</f>
        <v>19</v>
      </c>
      <c r="AA14" s="338">
        <f>6+14</f>
        <v>20</v>
      </c>
      <c r="AB14" s="338">
        <f>5+14</f>
        <v>19</v>
      </c>
      <c r="AC14" s="130">
        <v>20</v>
      </c>
      <c r="AD14" s="130">
        <f>3+3+3+10</f>
        <v>19</v>
      </c>
      <c r="AE14" s="338">
        <f>6+13</f>
        <v>19</v>
      </c>
      <c r="AF14" s="338">
        <f>6+13</f>
        <v>19</v>
      </c>
      <c r="AG14" s="338">
        <f>6+13</f>
        <v>19</v>
      </c>
      <c r="AH14" s="338">
        <f>6+13</f>
        <v>19</v>
      </c>
      <c r="AI14" s="338">
        <f>5+13</f>
        <v>18</v>
      </c>
      <c r="AJ14" s="850">
        <f>3+4+13</f>
        <v>20</v>
      </c>
      <c r="AK14" s="338">
        <f>7+13</f>
        <v>20</v>
      </c>
      <c r="AL14" s="338">
        <f>8+13</f>
        <v>21</v>
      </c>
      <c r="AM14" s="338">
        <f>5+13</f>
        <v>18</v>
      </c>
      <c r="AN14" s="338">
        <f>13+6</f>
        <v>19</v>
      </c>
      <c r="AO14" s="338">
        <f>SUM(3,4,3,10)</f>
        <v>20</v>
      </c>
      <c r="AP14" s="338">
        <f>SUM(3,0,3,10)</f>
        <v>16</v>
      </c>
      <c r="AQ14" s="338">
        <f>SUM(3+4+3+10)</f>
        <v>20</v>
      </c>
      <c r="AR14" s="338">
        <f>3+4+13</f>
        <v>20</v>
      </c>
      <c r="AS14" s="338"/>
      <c r="AT14" s="338"/>
      <c r="AU14" s="338"/>
      <c r="AV14" s="338"/>
      <c r="AW14" s="58">
        <f t="shared" si="0"/>
        <v>-1</v>
      </c>
      <c r="AX14" s="58">
        <f t="shared" si="0"/>
        <v>-1</v>
      </c>
      <c r="AY14" s="58">
        <f t="shared" si="0"/>
        <v>-1</v>
      </c>
      <c r="AZ14" s="58">
        <f t="shared" si="0"/>
        <v>-1</v>
      </c>
      <c r="BA14" s="58">
        <f t="shared" si="0"/>
        <v>-1</v>
      </c>
      <c r="BB14" s="58">
        <f t="shared" si="0"/>
        <v>-2</v>
      </c>
      <c r="BC14" s="57">
        <f t="shared" si="0"/>
        <v>-3</v>
      </c>
      <c r="BD14" s="70">
        <f t="shared" si="0"/>
        <v>-2</v>
      </c>
      <c r="BE14" s="70">
        <f t="shared" si="0"/>
        <v>-2</v>
      </c>
      <c r="BF14" s="242">
        <f t="shared" si="0"/>
        <v>-2</v>
      </c>
      <c r="BG14" s="242">
        <f t="shared" si="1"/>
        <v>-1</v>
      </c>
      <c r="BH14" s="242">
        <f t="shared" si="1"/>
        <v>-1</v>
      </c>
      <c r="BI14" s="242">
        <f t="shared" si="1"/>
        <v>-2</v>
      </c>
      <c r="BJ14" s="242">
        <f t="shared" si="1"/>
        <v>-1</v>
      </c>
      <c r="BK14" s="242">
        <f t="shared" si="1"/>
        <v>-2</v>
      </c>
      <c r="BL14" s="242">
        <f t="shared" si="1"/>
        <v>-1</v>
      </c>
      <c r="BM14" s="242">
        <f t="shared" si="1"/>
        <v>-1</v>
      </c>
      <c r="BN14" s="242">
        <f t="shared" si="1"/>
        <v>0</v>
      </c>
      <c r="BO14" s="242">
        <f t="shared" si="1"/>
        <v>0</v>
      </c>
      <c r="BP14" s="242">
        <f t="shared" si="1"/>
        <v>-1</v>
      </c>
      <c r="BQ14" s="242">
        <f t="shared" si="2"/>
        <v>0</v>
      </c>
      <c r="BR14" s="242">
        <f t="shared" si="2"/>
        <v>-1</v>
      </c>
    </row>
    <row r="15" spans="1:70" ht="15.75" thickBot="1" x14ac:dyDescent="0.3">
      <c r="A15" s="4"/>
      <c r="B15" s="37" t="s">
        <v>41</v>
      </c>
      <c r="C15" s="122">
        <f t="shared" ref="C15:AC15" si="3">SUM(C10:C14)</f>
        <v>56784</v>
      </c>
      <c r="D15" s="60">
        <f t="shared" si="3"/>
        <v>56340</v>
      </c>
      <c r="E15" s="60">
        <f t="shared" si="3"/>
        <v>56172</v>
      </c>
      <c r="F15" s="60">
        <f t="shared" si="3"/>
        <v>56201</v>
      </c>
      <c r="G15" s="60">
        <f t="shared" si="3"/>
        <v>56028</v>
      </c>
      <c r="H15" s="60">
        <f t="shared" si="3"/>
        <v>55885</v>
      </c>
      <c r="I15" s="60">
        <f t="shared" si="3"/>
        <v>55893</v>
      </c>
      <c r="J15" s="60">
        <f t="shared" si="3"/>
        <v>55921</v>
      </c>
      <c r="K15" s="60">
        <f t="shared" si="3"/>
        <v>56579</v>
      </c>
      <c r="L15" s="163">
        <f t="shared" si="3"/>
        <v>56965</v>
      </c>
      <c r="M15" s="60">
        <f t="shared" si="3"/>
        <v>57024</v>
      </c>
      <c r="N15" s="199">
        <f t="shared" si="3"/>
        <v>57103</v>
      </c>
      <c r="O15" s="60">
        <f t="shared" si="3"/>
        <v>57109</v>
      </c>
      <c r="P15" s="60">
        <f t="shared" si="3"/>
        <v>57241</v>
      </c>
      <c r="Q15" s="60">
        <f t="shared" si="3"/>
        <v>57313</v>
      </c>
      <c r="R15" s="60">
        <f t="shared" si="3"/>
        <v>57379</v>
      </c>
      <c r="S15" s="60">
        <f t="shared" si="3"/>
        <v>57421</v>
      </c>
      <c r="T15" s="60">
        <f t="shared" si="3"/>
        <v>57519</v>
      </c>
      <c r="U15" s="59">
        <f t="shared" si="3"/>
        <v>57571</v>
      </c>
      <c r="V15" s="59">
        <f t="shared" si="3"/>
        <v>57609</v>
      </c>
      <c r="W15" s="59">
        <f t="shared" si="3"/>
        <v>57707</v>
      </c>
      <c r="X15" s="59">
        <f t="shared" si="3"/>
        <v>57860</v>
      </c>
      <c r="Y15" s="59">
        <f t="shared" si="3"/>
        <v>57910</v>
      </c>
      <c r="Z15" s="59">
        <f t="shared" si="3"/>
        <v>58001</v>
      </c>
      <c r="AA15" s="59">
        <f t="shared" si="3"/>
        <v>58029</v>
      </c>
      <c r="AB15" s="59">
        <f t="shared" si="3"/>
        <v>58035</v>
      </c>
      <c r="AC15" s="59">
        <f t="shared" si="3"/>
        <v>58403</v>
      </c>
      <c r="AD15" s="59">
        <f t="shared" ref="AD15:AI15" si="4">SUM(AD10:AD14)</f>
        <v>58469</v>
      </c>
      <c r="AE15" s="59">
        <f t="shared" si="4"/>
        <v>58419</v>
      </c>
      <c r="AF15" s="59">
        <f t="shared" si="4"/>
        <v>58388</v>
      </c>
      <c r="AG15" s="59">
        <f t="shared" si="4"/>
        <v>58413</v>
      </c>
      <c r="AH15" s="59">
        <f t="shared" si="4"/>
        <v>58431</v>
      </c>
      <c r="AI15" s="59">
        <f t="shared" si="4"/>
        <v>58605</v>
      </c>
      <c r="AJ15" s="187">
        <f t="shared" ref="AJ15:AL15" si="5">SUM(AJ10:AJ14)</f>
        <v>58846</v>
      </c>
      <c r="AK15" s="163">
        <f t="shared" si="5"/>
        <v>58902</v>
      </c>
      <c r="AL15" s="163">
        <f t="shared" si="5"/>
        <v>58865</v>
      </c>
      <c r="AM15" s="163">
        <f t="shared" ref="AM15:AR15" si="6">SUM(AM10:AM14)</f>
        <v>59005</v>
      </c>
      <c r="AN15" s="163">
        <f t="shared" si="6"/>
        <v>58870</v>
      </c>
      <c r="AO15" s="252">
        <f t="shared" si="6"/>
        <v>58856</v>
      </c>
      <c r="AP15" s="252">
        <f t="shared" si="6"/>
        <v>58873</v>
      </c>
      <c r="AQ15" s="252">
        <f t="shared" si="6"/>
        <v>58806</v>
      </c>
      <c r="AR15" s="252">
        <f t="shared" si="6"/>
        <v>58566</v>
      </c>
      <c r="AS15" s="252"/>
      <c r="AT15" s="252"/>
      <c r="AU15" s="252"/>
      <c r="AV15" s="252"/>
      <c r="AW15" s="60">
        <f t="shared" ref="AW15:BF15" si="7">SUM(AW10:AW14)</f>
        <v>-325</v>
      </c>
      <c r="AX15" s="60">
        <f t="shared" si="7"/>
        <v>-901</v>
      </c>
      <c r="AY15" s="60">
        <f t="shared" si="7"/>
        <v>-1141</v>
      </c>
      <c r="AZ15" s="60">
        <f t="shared" si="7"/>
        <v>-1178</v>
      </c>
      <c r="BA15" s="60">
        <f t="shared" si="7"/>
        <v>-1393</v>
      </c>
      <c r="BB15" s="60">
        <f t="shared" si="7"/>
        <v>-1634</v>
      </c>
      <c r="BC15" s="59">
        <f t="shared" si="7"/>
        <v>-1678</v>
      </c>
      <c r="BD15" s="59">
        <f t="shared" si="7"/>
        <v>-1688</v>
      </c>
      <c r="BE15" s="59">
        <f t="shared" si="7"/>
        <v>-1128</v>
      </c>
      <c r="BF15" s="262">
        <f t="shared" si="7"/>
        <v>-895</v>
      </c>
      <c r="BG15" s="242">
        <f t="shared" ref="BG15:BR15" si="8">M15-Y15</f>
        <v>-886</v>
      </c>
      <c r="BH15" s="242">
        <f t="shared" si="8"/>
        <v>-898</v>
      </c>
      <c r="BI15" s="242">
        <f t="shared" si="8"/>
        <v>-920</v>
      </c>
      <c r="BJ15" s="242">
        <f t="shared" si="8"/>
        <v>-794</v>
      </c>
      <c r="BK15" s="242">
        <f t="shared" si="8"/>
        <v>-1090</v>
      </c>
      <c r="BL15" s="242">
        <f t="shared" si="8"/>
        <v>-1090</v>
      </c>
      <c r="BM15" s="242">
        <f t="shared" si="8"/>
        <v>-998</v>
      </c>
      <c r="BN15" s="242">
        <f t="shared" si="8"/>
        <v>-869</v>
      </c>
      <c r="BO15" s="242">
        <f t="shared" si="8"/>
        <v>-842</v>
      </c>
      <c r="BP15" s="242">
        <f t="shared" si="8"/>
        <v>-822</v>
      </c>
      <c r="BQ15" s="242">
        <f t="shared" si="8"/>
        <v>-898</v>
      </c>
      <c r="BR15" s="242">
        <f t="shared" si="8"/>
        <v>-986</v>
      </c>
    </row>
    <row r="16" spans="1:70" x14ac:dyDescent="0.25">
      <c r="A16" s="4">
        <f>+A9+1</f>
        <v>2</v>
      </c>
      <c r="B16" s="41" t="s">
        <v>18</v>
      </c>
      <c r="C16" s="61"/>
      <c r="D16" s="62"/>
      <c r="E16" s="62"/>
      <c r="F16" s="62"/>
      <c r="G16" s="62"/>
      <c r="H16" s="62"/>
      <c r="I16" s="62"/>
      <c r="J16" s="62"/>
      <c r="K16" s="62"/>
      <c r="L16" s="63"/>
      <c r="M16" s="64"/>
      <c r="N16" s="62"/>
      <c r="O16" s="64"/>
      <c r="P16" s="62"/>
      <c r="Q16" s="62"/>
      <c r="R16" s="62"/>
      <c r="S16" s="62"/>
      <c r="T16" s="62"/>
      <c r="U16" s="170"/>
      <c r="V16" s="320"/>
      <c r="W16" s="320"/>
      <c r="X16" s="165"/>
      <c r="Y16" s="320"/>
      <c r="Z16" s="320"/>
      <c r="AA16" s="320"/>
      <c r="AB16" s="320"/>
      <c r="AC16" s="165"/>
      <c r="AD16" s="165"/>
      <c r="AE16" s="320"/>
      <c r="AF16" s="320"/>
      <c r="AG16" s="320"/>
      <c r="AH16" s="320"/>
      <c r="AI16" s="320"/>
      <c r="AJ16" s="177"/>
      <c r="AK16" s="320"/>
      <c r="AL16" s="320"/>
      <c r="AM16" s="320"/>
      <c r="AN16" s="320"/>
      <c r="AO16" s="320"/>
      <c r="AP16" s="320"/>
      <c r="AQ16" s="320"/>
      <c r="AR16" s="320"/>
      <c r="AS16" s="320"/>
      <c r="AT16" s="320"/>
      <c r="AU16" s="320"/>
      <c r="AV16" s="320"/>
      <c r="AW16" s="64"/>
      <c r="AX16" s="65"/>
      <c r="AY16" s="66"/>
      <c r="AZ16" s="66"/>
      <c r="BA16" s="66"/>
      <c r="BB16" s="66"/>
      <c r="BC16" s="67"/>
      <c r="BD16" s="231"/>
      <c r="BE16" s="231"/>
      <c r="BF16" s="231"/>
      <c r="BG16" s="404"/>
      <c r="BH16" s="212"/>
      <c r="BI16" s="410"/>
      <c r="BJ16" s="410"/>
      <c r="BK16" s="410"/>
      <c r="BL16" s="410"/>
      <c r="BM16" s="410"/>
      <c r="BN16" s="410"/>
      <c r="BO16" s="410"/>
      <c r="BP16" s="410"/>
      <c r="BQ16" s="410"/>
      <c r="BR16" s="410"/>
    </row>
    <row r="17" spans="1:70" x14ac:dyDescent="0.25">
      <c r="A17" s="4"/>
      <c r="B17" s="35" t="s">
        <v>36</v>
      </c>
      <c r="C17" s="131">
        <f>C24+C31+C38-2625</f>
        <v>18033</v>
      </c>
      <c r="D17" s="69">
        <f>D24+D31+D38-2955</f>
        <v>18690</v>
      </c>
      <c r="E17" s="69">
        <f>E24+E31+E38-3100</f>
        <v>19349</v>
      </c>
      <c r="F17" s="69">
        <f>F24+F31+F38-4327</f>
        <v>20789</v>
      </c>
      <c r="G17" s="69">
        <f>G24+G31+G38-4738</f>
        <v>19846</v>
      </c>
      <c r="H17" s="69">
        <f>H24+H31+H38-5455</f>
        <v>19505</v>
      </c>
      <c r="I17" s="69">
        <f>I24+I31+I38-5440</f>
        <v>18922</v>
      </c>
      <c r="J17" s="69">
        <f>J24+J31+J38-5082</f>
        <v>17708</v>
      </c>
      <c r="K17" s="69">
        <f>K24+K31+K38-4917</f>
        <v>18029</v>
      </c>
      <c r="L17" s="70">
        <f>L24+L31+L38-4619</f>
        <v>17720</v>
      </c>
      <c r="M17" s="71">
        <f>M24+M31+M38-3846</f>
        <v>17153</v>
      </c>
      <c r="N17" s="71">
        <f>N24+N31+N38-3004</f>
        <v>18000</v>
      </c>
      <c r="O17" s="71">
        <f>O24+O31+O38-3354</f>
        <v>19684</v>
      </c>
      <c r="P17" s="71">
        <f>P24+P31+P38-4547</f>
        <v>20389</v>
      </c>
      <c r="Q17" s="71">
        <f>Q24+Q31+Q38-5469</f>
        <v>21448</v>
      </c>
      <c r="R17" s="71">
        <f>R24+R31+R38-6530</f>
        <v>22002</v>
      </c>
      <c r="S17" s="71">
        <f>S24+S31+S38-6593</f>
        <v>21109</v>
      </c>
      <c r="T17" s="71">
        <f>T24+T31+T38-7086</f>
        <v>21224</v>
      </c>
      <c r="U17" s="68">
        <f>SUM(U24+U31+U38-7083)</f>
        <v>21173</v>
      </c>
      <c r="V17" s="68">
        <f>SUM(V24+V31+V38-6744)</f>
        <v>20211</v>
      </c>
      <c r="W17" s="68">
        <f>SUM(W24+W31+W38-6543)</f>
        <v>21604</v>
      </c>
      <c r="X17" s="388">
        <f>SUM(X24+X31+X38-6217)</f>
        <v>21370</v>
      </c>
      <c r="Y17" s="388">
        <f>SUM(Y24+Y31+Y38-5921)</f>
        <v>20960</v>
      </c>
      <c r="Z17" s="388">
        <f>SUM(Z24+Z31+Z38-5617)</f>
        <v>23066</v>
      </c>
      <c r="AA17" s="388">
        <f>SUM(AA24+AA31+AA38-5618)</f>
        <v>22171</v>
      </c>
      <c r="AB17" s="388">
        <f>SUM(AB24+AB31+AB38-6003)</f>
        <v>22556</v>
      </c>
      <c r="AC17" s="388">
        <f>SUM(AC24+AC31+AC38-6003)</f>
        <v>18926</v>
      </c>
      <c r="AD17" s="388">
        <f>AD24+AD31+AD38</f>
        <v>20930</v>
      </c>
      <c r="AE17" s="388">
        <v>14908</v>
      </c>
      <c r="AF17" s="251">
        <v>9987</v>
      </c>
      <c r="AG17" s="251">
        <f>506+9132+43</f>
        <v>9681</v>
      </c>
      <c r="AH17" s="251">
        <v>9222</v>
      </c>
      <c r="AI17" s="251">
        <v>8806</v>
      </c>
      <c r="AJ17" s="172">
        <f>523+8693+9</f>
        <v>9225</v>
      </c>
      <c r="AK17" s="251">
        <f>504+8043</f>
        <v>8547</v>
      </c>
      <c r="AL17" s="251">
        <f>483+7782+3</f>
        <v>8268</v>
      </c>
      <c r="AM17" s="251">
        <f>500+8864+32</f>
        <v>9396</v>
      </c>
      <c r="AN17" s="251"/>
      <c r="AO17" s="251"/>
      <c r="AP17" s="251">
        <f>698+13499+2</f>
        <v>14199</v>
      </c>
      <c r="AQ17" s="251">
        <f>832+16113+3</f>
        <v>16948</v>
      </c>
      <c r="AR17" s="251">
        <f>880+16707+3</f>
        <v>17590</v>
      </c>
      <c r="AS17" s="251"/>
      <c r="AT17" s="251"/>
      <c r="AU17" s="251"/>
      <c r="AV17" s="251"/>
      <c r="AW17" s="71">
        <f t="shared" ref="AW17:BF21" si="9">C17-O17</f>
        <v>-1651</v>
      </c>
      <c r="AX17" s="71">
        <f t="shared" si="9"/>
        <v>-1699</v>
      </c>
      <c r="AY17" s="71">
        <f t="shared" si="9"/>
        <v>-2099</v>
      </c>
      <c r="AZ17" s="71">
        <f t="shared" si="9"/>
        <v>-1213</v>
      </c>
      <c r="BA17" s="71">
        <f t="shared" si="9"/>
        <v>-1263</v>
      </c>
      <c r="BB17" s="71">
        <f t="shared" si="9"/>
        <v>-1719</v>
      </c>
      <c r="BC17" s="70">
        <f t="shared" si="9"/>
        <v>-2251</v>
      </c>
      <c r="BD17" s="70">
        <f t="shared" si="9"/>
        <v>-2503</v>
      </c>
      <c r="BE17" s="70">
        <f t="shared" si="9"/>
        <v>-3575</v>
      </c>
      <c r="BF17" s="242">
        <f t="shared" si="9"/>
        <v>-3650</v>
      </c>
      <c r="BG17" s="242">
        <f t="shared" ref="BG17:BP21" si="10">M17-Y17</f>
        <v>-3807</v>
      </c>
      <c r="BH17" s="242">
        <f t="shared" si="10"/>
        <v>-5066</v>
      </c>
      <c r="BI17" s="242">
        <f t="shared" si="10"/>
        <v>-2487</v>
      </c>
      <c r="BJ17" s="242">
        <f t="shared" si="10"/>
        <v>-2167</v>
      </c>
      <c r="BK17" s="242">
        <f t="shared" si="10"/>
        <v>2522</v>
      </c>
      <c r="BL17" s="242">
        <f t="shared" si="10"/>
        <v>1072</v>
      </c>
      <c r="BM17" s="242">
        <f t="shared" si="10"/>
        <v>6201</v>
      </c>
      <c r="BN17" s="242">
        <f t="shared" si="10"/>
        <v>11237</v>
      </c>
      <c r="BO17" s="242">
        <f t="shared" si="10"/>
        <v>11492</v>
      </c>
      <c r="BP17" s="242">
        <f t="shared" si="10"/>
        <v>10989</v>
      </c>
      <c r="BQ17" s="242">
        <f t="shared" ref="BQ17:BR21" si="11">W17-AI17</f>
        <v>12798</v>
      </c>
      <c r="BR17" s="242">
        <f t="shared" si="11"/>
        <v>12145</v>
      </c>
    </row>
    <row r="18" spans="1:70" x14ac:dyDescent="0.25">
      <c r="A18" s="4"/>
      <c r="B18" s="35" t="s">
        <v>37</v>
      </c>
      <c r="C18" s="131">
        <f>C25+C32+C39-1801</f>
        <v>6725</v>
      </c>
      <c r="D18" s="69">
        <f>D25+D32+D39-1760</f>
        <v>6639</v>
      </c>
      <c r="E18" s="69">
        <f>E25+E32+E39-1394</f>
        <v>6235</v>
      </c>
      <c r="F18" s="69">
        <f>F25+F32+F39-1883</f>
        <v>8249</v>
      </c>
      <c r="G18" s="69">
        <f>G25+G32+G39-2181</f>
        <v>9665</v>
      </c>
      <c r="H18" s="69">
        <f>H25+H32+H39-3624</f>
        <v>9646</v>
      </c>
      <c r="I18" s="69">
        <f>I25+I32+I39-3698</f>
        <v>9683</v>
      </c>
      <c r="J18" s="69">
        <f>J25+J32+J39-3638</f>
        <v>9661</v>
      </c>
      <c r="K18" s="69">
        <f>K25+K32+K39-3468</f>
        <v>9351</v>
      </c>
      <c r="L18" s="70">
        <f>L25+L32+L39-2742</f>
        <v>7840</v>
      </c>
      <c r="M18" s="71">
        <f>M25+M32+M39-2178</f>
        <v>6416</v>
      </c>
      <c r="N18" s="71">
        <f>N25+N32+N39-1985</f>
        <v>6112</v>
      </c>
      <c r="O18" s="71">
        <f>O25+O32+O39-2010</f>
        <v>5970</v>
      </c>
      <c r="P18" s="71">
        <f>P25+P32+P39-2198</f>
        <v>6796</v>
      </c>
      <c r="Q18" s="71">
        <f>Q25+Q32+Q39-2200</f>
        <v>6965</v>
      </c>
      <c r="R18" s="71">
        <f>R25+R32+R39-1143</f>
        <v>5818</v>
      </c>
      <c r="S18" s="71">
        <f>S25+S32+S39-1043</f>
        <v>7077</v>
      </c>
      <c r="T18" s="71">
        <f>T25+T32+T39-2635</f>
        <v>7691</v>
      </c>
      <c r="U18" s="68">
        <f>SUM(U25+U32+U39-3028)</f>
        <v>8577</v>
      </c>
      <c r="V18" s="68">
        <f>SUM(V25+V32+V39-3248)</f>
        <v>8634</v>
      </c>
      <c r="W18" s="68">
        <f>SUM(W25+W32+W39-3508)</f>
        <v>9448</v>
      </c>
      <c r="X18" s="388">
        <f>SUM(X25+X32+X39-3357)</f>
        <v>9616</v>
      </c>
      <c r="Y18" s="388">
        <f>SUM(Y25+Y32+Y39-3438)</f>
        <v>9997</v>
      </c>
      <c r="Z18" s="388">
        <f>SUM(Z25+Z32+Z39-3212)</f>
        <v>10001</v>
      </c>
      <c r="AA18" s="388">
        <f>SUM(AA25+AA32+AA39-3015)</f>
        <v>8635</v>
      </c>
      <c r="AB18" s="388">
        <f>SUM(AB25+AB32+AB39-2739)</f>
        <v>7745</v>
      </c>
      <c r="AC18" s="388">
        <f>SUM(AC25+AC32+AC39-2739)</f>
        <v>2790</v>
      </c>
      <c r="AD18" s="388">
        <f>AD25+AD32+AD39</f>
        <v>9024</v>
      </c>
      <c r="AE18" s="388">
        <v>4837</v>
      </c>
      <c r="AF18" s="251">
        <v>4183</v>
      </c>
      <c r="AG18" s="251">
        <f>81+3894</f>
        <v>3975</v>
      </c>
      <c r="AH18" s="251">
        <v>4133</v>
      </c>
      <c r="AI18" s="251">
        <v>2431</v>
      </c>
      <c r="AJ18" s="172">
        <f>94+2408</f>
        <v>2502</v>
      </c>
      <c r="AK18" s="251">
        <f>98+2585</f>
        <v>2683</v>
      </c>
      <c r="AL18" s="251">
        <f>88+2502</f>
        <v>2590</v>
      </c>
      <c r="AM18" s="251">
        <f>91+2884</f>
        <v>2975</v>
      </c>
      <c r="AN18" s="251"/>
      <c r="AO18" s="251"/>
      <c r="AP18" s="251">
        <f>110+3623+1</f>
        <v>3734</v>
      </c>
      <c r="AQ18" s="251">
        <f>119+4119+1</f>
        <v>4239</v>
      </c>
      <c r="AR18" s="251">
        <f>131+4326+1</f>
        <v>4458</v>
      </c>
      <c r="AS18" s="251"/>
      <c r="AT18" s="251"/>
      <c r="AU18" s="251"/>
      <c r="AV18" s="251"/>
      <c r="AW18" s="71">
        <f t="shared" si="9"/>
        <v>755</v>
      </c>
      <c r="AX18" s="71">
        <f t="shared" si="9"/>
        <v>-157</v>
      </c>
      <c r="AY18" s="71">
        <f t="shared" si="9"/>
        <v>-730</v>
      </c>
      <c r="AZ18" s="71">
        <f t="shared" si="9"/>
        <v>2431</v>
      </c>
      <c r="BA18" s="71">
        <f t="shared" si="9"/>
        <v>2588</v>
      </c>
      <c r="BB18" s="71">
        <f t="shared" si="9"/>
        <v>1955</v>
      </c>
      <c r="BC18" s="70">
        <f t="shared" si="9"/>
        <v>1106</v>
      </c>
      <c r="BD18" s="70">
        <f t="shared" si="9"/>
        <v>1027</v>
      </c>
      <c r="BE18" s="70">
        <f t="shared" si="9"/>
        <v>-97</v>
      </c>
      <c r="BF18" s="242">
        <f t="shared" si="9"/>
        <v>-1776</v>
      </c>
      <c r="BG18" s="242">
        <f t="shared" si="10"/>
        <v>-3581</v>
      </c>
      <c r="BH18" s="242">
        <f t="shared" si="10"/>
        <v>-3889</v>
      </c>
      <c r="BI18" s="242">
        <f t="shared" si="10"/>
        <v>-2665</v>
      </c>
      <c r="BJ18" s="242">
        <f t="shared" si="10"/>
        <v>-949</v>
      </c>
      <c r="BK18" s="242">
        <f t="shared" si="10"/>
        <v>4175</v>
      </c>
      <c r="BL18" s="242">
        <f t="shared" si="10"/>
        <v>-3206</v>
      </c>
      <c r="BM18" s="242">
        <f t="shared" si="10"/>
        <v>2240</v>
      </c>
      <c r="BN18" s="242">
        <f t="shared" si="10"/>
        <v>3508</v>
      </c>
      <c r="BO18" s="242">
        <f t="shared" si="10"/>
        <v>4602</v>
      </c>
      <c r="BP18" s="242">
        <f t="shared" si="10"/>
        <v>4501</v>
      </c>
      <c r="BQ18" s="242">
        <f t="shared" si="11"/>
        <v>7017</v>
      </c>
      <c r="BR18" s="242">
        <f t="shared" si="11"/>
        <v>7114</v>
      </c>
    </row>
    <row r="19" spans="1:70" x14ac:dyDescent="0.25">
      <c r="A19" s="4"/>
      <c r="B19" s="35" t="s">
        <v>38</v>
      </c>
      <c r="C19" s="131">
        <f>C26+C33+C40-80</f>
        <v>737</v>
      </c>
      <c r="D19" s="69">
        <f>D26+D33+D40-87</f>
        <v>815</v>
      </c>
      <c r="E19" s="69">
        <f>E26+E33+E40-125</f>
        <v>854</v>
      </c>
      <c r="F19" s="69">
        <f>F26+F33+F40-114</f>
        <v>899</v>
      </c>
      <c r="G19" s="69">
        <f>G26+G33+G40-133</f>
        <v>860</v>
      </c>
      <c r="H19" s="69">
        <f>H26+H33+H40-158</f>
        <v>909</v>
      </c>
      <c r="I19" s="69">
        <f>I26+I33+I40-171</f>
        <v>824</v>
      </c>
      <c r="J19" s="69">
        <f>J26+J33+J40-134</f>
        <v>667</v>
      </c>
      <c r="K19" s="69">
        <f>K26+K33+K40-138</f>
        <v>737</v>
      </c>
      <c r="L19" s="70">
        <f>L26+L33+L40-132</f>
        <v>703</v>
      </c>
      <c r="M19" s="71">
        <f>M26+M33+M40-118</f>
        <v>762</v>
      </c>
      <c r="N19" s="71">
        <f>N26+N33+N40-78</f>
        <v>852</v>
      </c>
      <c r="O19" s="71">
        <f>O26+O33+O40-101</f>
        <v>815</v>
      </c>
      <c r="P19" s="71">
        <f>P26+P33+P40-158</f>
        <v>1186</v>
      </c>
      <c r="Q19" s="71">
        <f>Q26+Q33+Q40-228</f>
        <v>1439</v>
      </c>
      <c r="R19" s="71">
        <f>R26+R33+R40-245</f>
        <v>1081</v>
      </c>
      <c r="S19" s="71">
        <f>S26+S33+S40-252</f>
        <v>928</v>
      </c>
      <c r="T19" s="71">
        <f>T26+T33+T40-222</f>
        <v>917</v>
      </c>
      <c r="U19" s="68">
        <f>SUM(U26+U33+U40-196)</f>
        <v>873</v>
      </c>
      <c r="V19" s="68">
        <f>SUM(V26+V33+V40-194)</f>
        <v>907</v>
      </c>
      <c r="W19" s="68">
        <f>SUM(W26+W33+W40-203)</f>
        <v>1079</v>
      </c>
      <c r="X19" s="388">
        <f>SUM(X26+X33+X40-206)</f>
        <v>1077</v>
      </c>
      <c r="Y19" s="388">
        <f>SUM(Y26+Y33+Y40-194)</f>
        <v>1077</v>
      </c>
      <c r="Z19" s="388">
        <f>SUM(Z26+Z33+Z40-167)</f>
        <v>1228</v>
      </c>
      <c r="AA19" s="388">
        <f>SUM(AA26+AA33+AA40-139)</f>
        <v>909</v>
      </c>
      <c r="AB19" s="388">
        <f>SUM(AB26+AB33+AB40-158)</f>
        <v>907</v>
      </c>
      <c r="AC19" s="388">
        <f>SUM(AC26+AC33+AC40-158)</f>
        <v>674</v>
      </c>
      <c r="AD19" s="388">
        <f>AD26+AD33+AD40</f>
        <v>901</v>
      </c>
      <c r="AE19" s="388">
        <v>765</v>
      </c>
      <c r="AF19" s="251">
        <v>444</v>
      </c>
      <c r="AG19" s="251">
        <v>413</v>
      </c>
      <c r="AH19" s="251">
        <v>375</v>
      </c>
      <c r="AI19" s="251">
        <v>374</v>
      </c>
      <c r="AJ19" s="172">
        <v>371</v>
      </c>
      <c r="AK19" s="251">
        <v>362</v>
      </c>
      <c r="AL19" s="251">
        <f>282+47+4+4</f>
        <v>337</v>
      </c>
      <c r="AM19" s="251">
        <v>400</v>
      </c>
      <c r="AN19" s="251"/>
      <c r="AO19" s="251"/>
      <c r="AP19" s="251">
        <f>453+88+4+3</f>
        <v>548</v>
      </c>
      <c r="AQ19" s="251">
        <f>601+125+74+17</f>
        <v>817</v>
      </c>
      <c r="AR19" s="251">
        <f>631+128+4+10</f>
        <v>773</v>
      </c>
      <c r="AS19" s="251"/>
      <c r="AT19" s="251"/>
      <c r="AU19" s="251"/>
      <c r="AV19" s="251"/>
      <c r="AW19" s="71">
        <f t="shared" si="9"/>
        <v>-78</v>
      </c>
      <c r="AX19" s="71">
        <f t="shared" si="9"/>
        <v>-371</v>
      </c>
      <c r="AY19" s="71">
        <f t="shared" si="9"/>
        <v>-585</v>
      </c>
      <c r="AZ19" s="71">
        <f t="shared" si="9"/>
        <v>-182</v>
      </c>
      <c r="BA19" s="71">
        <f t="shared" si="9"/>
        <v>-68</v>
      </c>
      <c r="BB19" s="71">
        <f t="shared" si="9"/>
        <v>-8</v>
      </c>
      <c r="BC19" s="70">
        <f t="shared" si="9"/>
        <v>-49</v>
      </c>
      <c r="BD19" s="70">
        <f t="shared" si="9"/>
        <v>-240</v>
      </c>
      <c r="BE19" s="70">
        <f t="shared" si="9"/>
        <v>-342</v>
      </c>
      <c r="BF19" s="242">
        <f t="shared" si="9"/>
        <v>-374</v>
      </c>
      <c r="BG19" s="242">
        <f t="shared" si="10"/>
        <v>-315</v>
      </c>
      <c r="BH19" s="242">
        <f t="shared" si="10"/>
        <v>-376</v>
      </c>
      <c r="BI19" s="242">
        <f t="shared" si="10"/>
        <v>-94</v>
      </c>
      <c r="BJ19" s="242">
        <f t="shared" si="10"/>
        <v>279</v>
      </c>
      <c r="BK19" s="242">
        <f t="shared" si="10"/>
        <v>765</v>
      </c>
      <c r="BL19" s="242">
        <f t="shared" si="10"/>
        <v>180</v>
      </c>
      <c r="BM19" s="242">
        <f t="shared" si="10"/>
        <v>163</v>
      </c>
      <c r="BN19" s="242">
        <f t="shared" si="10"/>
        <v>473</v>
      </c>
      <c r="BO19" s="242">
        <f t="shared" si="10"/>
        <v>460</v>
      </c>
      <c r="BP19" s="242">
        <f t="shared" si="10"/>
        <v>532</v>
      </c>
      <c r="BQ19" s="242">
        <f t="shared" si="11"/>
        <v>705</v>
      </c>
      <c r="BR19" s="242">
        <f t="shared" si="11"/>
        <v>706</v>
      </c>
    </row>
    <row r="20" spans="1:70" x14ac:dyDescent="0.25">
      <c r="A20" s="4"/>
      <c r="B20" s="35" t="s">
        <v>39</v>
      </c>
      <c r="C20" s="131">
        <f>C27+C34+C41-3</f>
        <v>74</v>
      </c>
      <c r="D20" s="69">
        <f>D27+D34+D41-4</f>
        <v>81</v>
      </c>
      <c r="E20" s="69">
        <f>E27+E34+E41-4</f>
        <v>84</v>
      </c>
      <c r="F20" s="69">
        <f>F27+F34+F41-5</f>
        <v>91</v>
      </c>
      <c r="G20" s="69">
        <f>G27+G34+G41-7</f>
        <v>75</v>
      </c>
      <c r="H20" s="69">
        <f>H27+H34+H41-12</f>
        <v>88</v>
      </c>
      <c r="I20" s="69">
        <f>I27+I34+I41-12</f>
        <v>77</v>
      </c>
      <c r="J20" s="69">
        <f>J27+J34+J41-12</f>
        <v>53</v>
      </c>
      <c r="K20" s="69">
        <f>K27+K34+K41-11</f>
        <v>73</v>
      </c>
      <c r="L20" s="70">
        <f>L27+L34+L41-6</f>
        <v>61</v>
      </c>
      <c r="M20" s="71">
        <f>M27+M34+M41-5</f>
        <v>62</v>
      </c>
      <c r="N20" s="71">
        <f>N27+N34+N41-3</f>
        <v>73</v>
      </c>
      <c r="O20" s="71">
        <f>O27+O34+O41-2</f>
        <v>91</v>
      </c>
      <c r="P20" s="71">
        <f>P27+P34+P41-16</f>
        <v>156</v>
      </c>
      <c r="Q20" s="71">
        <f>Q27+Q34+Q41-28</f>
        <v>170</v>
      </c>
      <c r="R20" s="71">
        <f>R27+R34+R41-28</f>
        <v>150</v>
      </c>
      <c r="S20" s="71">
        <f>S27+S34+S41-28</f>
        <v>129</v>
      </c>
      <c r="T20" s="71">
        <f>T27+T34+T41-29</f>
        <v>117</v>
      </c>
      <c r="U20" s="68">
        <f>SUM(U27+U34+U41-30)</f>
        <v>101</v>
      </c>
      <c r="V20" s="68">
        <f>SUM(V27+V34+V41-26)</f>
        <v>100</v>
      </c>
      <c r="W20" s="68">
        <f>SUM(W27+W34+W41-20)</f>
        <v>123</v>
      </c>
      <c r="X20" s="388">
        <f>SUM(X27+X34+X41-15)</f>
        <v>139</v>
      </c>
      <c r="Y20" s="388">
        <f>SUM(Y27+Y34+Y41-16)</f>
        <v>139</v>
      </c>
      <c r="Z20" s="388">
        <f>SUM(Z27+Z34+Z41-17)</f>
        <v>189</v>
      </c>
      <c r="AA20" s="388">
        <f>SUM(AA27+AA34+AA41-10)</f>
        <v>101</v>
      </c>
      <c r="AB20" s="388">
        <f>SUM(AB27+AB34+AB41-11)</f>
        <v>98</v>
      </c>
      <c r="AC20" s="388">
        <f>SUM(AC27+AC34+AC41-11)</f>
        <v>77</v>
      </c>
      <c r="AD20" s="388">
        <f>AD27+AD34+AD41</f>
        <v>127</v>
      </c>
      <c r="AE20" s="388">
        <v>74</v>
      </c>
      <c r="AF20" s="251">
        <v>42</v>
      </c>
      <c r="AG20" s="251">
        <v>36</v>
      </c>
      <c r="AH20" s="251">
        <v>39</v>
      </c>
      <c r="AI20" s="251">
        <v>34</v>
      </c>
      <c r="AJ20" s="172">
        <v>28</v>
      </c>
      <c r="AK20" s="251">
        <v>24</v>
      </c>
      <c r="AL20" s="251">
        <v>21</v>
      </c>
      <c r="AM20" s="251">
        <v>35</v>
      </c>
      <c r="AN20" s="251"/>
      <c r="AO20" s="251"/>
      <c r="AP20" s="251">
        <f>20+10+7+8</f>
        <v>45</v>
      </c>
      <c r="AQ20" s="251">
        <f>35+18+53+16</f>
        <v>122</v>
      </c>
      <c r="AR20" s="251">
        <f>31+22+26+12</f>
        <v>91</v>
      </c>
      <c r="AS20" s="251"/>
      <c r="AT20" s="251"/>
      <c r="AU20" s="251"/>
      <c r="AV20" s="251"/>
      <c r="AW20" s="71">
        <f t="shared" si="9"/>
        <v>-17</v>
      </c>
      <c r="AX20" s="71">
        <f t="shared" si="9"/>
        <v>-75</v>
      </c>
      <c r="AY20" s="71">
        <f t="shared" si="9"/>
        <v>-86</v>
      </c>
      <c r="AZ20" s="71">
        <f t="shared" si="9"/>
        <v>-59</v>
      </c>
      <c r="BA20" s="71">
        <f t="shared" si="9"/>
        <v>-54</v>
      </c>
      <c r="BB20" s="71">
        <f t="shared" si="9"/>
        <v>-29</v>
      </c>
      <c r="BC20" s="70">
        <f t="shared" si="9"/>
        <v>-24</v>
      </c>
      <c r="BD20" s="70">
        <f t="shared" si="9"/>
        <v>-47</v>
      </c>
      <c r="BE20" s="70">
        <f t="shared" si="9"/>
        <v>-50</v>
      </c>
      <c r="BF20" s="242">
        <f t="shared" si="9"/>
        <v>-78</v>
      </c>
      <c r="BG20" s="242">
        <f t="shared" si="10"/>
        <v>-77</v>
      </c>
      <c r="BH20" s="242">
        <f t="shared" si="10"/>
        <v>-116</v>
      </c>
      <c r="BI20" s="242">
        <f t="shared" si="10"/>
        <v>-10</v>
      </c>
      <c r="BJ20" s="242">
        <f t="shared" si="10"/>
        <v>58</v>
      </c>
      <c r="BK20" s="242">
        <f t="shared" si="10"/>
        <v>93</v>
      </c>
      <c r="BL20" s="242">
        <f t="shared" si="10"/>
        <v>23</v>
      </c>
      <c r="BM20" s="242">
        <f t="shared" si="10"/>
        <v>55</v>
      </c>
      <c r="BN20" s="242">
        <f t="shared" si="10"/>
        <v>75</v>
      </c>
      <c r="BO20" s="242">
        <f t="shared" si="10"/>
        <v>65</v>
      </c>
      <c r="BP20" s="242">
        <f t="shared" si="10"/>
        <v>61</v>
      </c>
      <c r="BQ20" s="242">
        <f t="shared" si="11"/>
        <v>89</v>
      </c>
      <c r="BR20" s="242">
        <f t="shared" si="11"/>
        <v>111</v>
      </c>
    </row>
    <row r="21" spans="1:70" x14ac:dyDescent="0.25">
      <c r="A21" s="4"/>
      <c r="B21" s="35" t="s">
        <v>40</v>
      </c>
      <c r="C21" s="131">
        <f t="shared" ref="C21:L21" si="12">C28+C35+C42-0</f>
        <v>0</v>
      </c>
      <c r="D21" s="69">
        <f t="shared" si="12"/>
        <v>2</v>
      </c>
      <c r="E21" s="69">
        <f t="shared" si="12"/>
        <v>1</v>
      </c>
      <c r="F21" s="69">
        <f t="shared" si="12"/>
        <v>3</v>
      </c>
      <c r="G21" s="69">
        <f t="shared" si="12"/>
        <v>1</v>
      </c>
      <c r="H21" s="69">
        <f t="shared" si="12"/>
        <v>2</v>
      </c>
      <c r="I21" s="69">
        <f t="shared" si="12"/>
        <v>2</v>
      </c>
      <c r="J21" s="69">
        <f t="shared" si="12"/>
        <v>1</v>
      </c>
      <c r="K21" s="69">
        <f t="shared" si="12"/>
        <v>3</v>
      </c>
      <c r="L21" s="70">
        <f t="shared" si="12"/>
        <v>2</v>
      </c>
      <c r="M21" s="71">
        <f>M28+M35+M42-1</f>
        <v>2</v>
      </c>
      <c r="N21" s="71">
        <f>N28+N35+N42-1</f>
        <v>2</v>
      </c>
      <c r="O21" s="71">
        <f>O28+O35+O42-0</f>
        <v>0</v>
      </c>
      <c r="P21" s="71">
        <f>P28+P35+P42-0</f>
        <v>4</v>
      </c>
      <c r="Q21" s="71">
        <f>Q28+Q35+Q42-0</f>
        <v>9</v>
      </c>
      <c r="R21" s="71">
        <f>R28+R35+R42-2</f>
        <v>10</v>
      </c>
      <c r="S21" s="71">
        <f>S28+S35+S42-1</f>
        <v>5</v>
      </c>
      <c r="T21" s="71">
        <f>T28+T35+T42-0</f>
        <v>7</v>
      </c>
      <c r="U21" s="68">
        <f>SUM(U28+U35+U42-1)</f>
        <v>5</v>
      </c>
      <c r="V21" s="68">
        <f>SUM(V28+V35+V42-1)</f>
        <v>2</v>
      </c>
      <c r="W21" s="68">
        <f>SUM(W28+W35+W42-0)</f>
        <v>5</v>
      </c>
      <c r="X21" s="388">
        <f>SUM(X28+X35+X42-0)</f>
        <v>4</v>
      </c>
      <c r="Y21" s="388">
        <f>SUM(Y28+Y35+Y42-0)</f>
        <v>3</v>
      </c>
      <c r="Z21" s="388">
        <f>SUM(Z28+Z35+Z42-0)</f>
        <v>5</v>
      </c>
      <c r="AA21" s="388">
        <f>SUM(AA28+AA35+AA42)</f>
        <v>1</v>
      </c>
      <c r="AB21" s="388">
        <f>SUM(AB28+AB35+AB42-0)</f>
        <v>3</v>
      </c>
      <c r="AC21" s="388">
        <f>SUM(AC28+AC35+AC42-0)</f>
        <v>2</v>
      </c>
      <c r="AD21" s="388">
        <f>AD28+AD35+AD42</f>
        <v>2</v>
      </c>
      <c r="AE21" s="388">
        <v>4</v>
      </c>
      <c r="AF21" s="251">
        <v>3</v>
      </c>
      <c r="AG21" s="251">
        <v>2</v>
      </c>
      <c r="AH21" s="251">
        <v>1</v>
      </c>
      <c r="AI21" s="251">
        <v>2</v>
      </c>
      <c r="AJ21" s="172">
        <v>2</v>
      </c>
      <c r="AK21" s="251">
        <v>1</v>
      </c>
      <c r="AL21" s="251">
        <v>1</v>
      </c>
      <c r="AM21" s="251">
        <v>2</v>
      </c>
      <c r="AN21" s="251"/>
      <c r="AO21" s="251"/>
      <c r="AP21" s="251">
        <v>0</v>
      </c>
      <c r="AQ21" s="251">
        <v>0</v>
      </c>
      <c r="AR21" s="251">
        <v>1</v>
      </c>
      <c r="AS21" s="251"/>
      <c r="AT21" s="251"/>
      <c r="AU21" s="251"/>
      <c r="AV21" s="251"/>
      <c r="AW21" s="71">
        <f t="shared" si="9"/>
        <v>0</v>
      </c>
      <c r="AX21" s="71">
        <f t="shared" si="9"/>
        <v>-2</v>
      </c>
      <c r="AY21" s="71">
        <f t="shared" si="9"/>
        <v>-8</v>
      </c>
      <c r="AZ21" s="71">
        <f t="shared" si="9"/>
        <v>-7</v>
      </c>
      <c r="BA21" s="71">
        <f t="shared" si="9"/>
        <v>-4</v>
      </c>
      <c r="BB21" s="71">
        <f t="shared" si="9"/>
        <v>-5</v>
      </c>
      <c r="BC21" s="70">
        <f t="shared" si="9"/>
        <v>-3</v>
      </c>
      <c r="BD21" s="70">
        <f t="shared" si="9"/>
        <v>-1</v>
      </c>
      <c r="BE21" s="70">
        <f t="shared" si="9"/>
        <v>-2</v>
      </c>
      <c r="BF21" s="242">
        <f t="shared" si="9"/>
        <v>-2</v>
      </c>
      <c r="BG21" s="242">
        <f t="shared" si="10"/>
        <v>-1</v>
      </c>
      <c r="BH21" s="242">
        <f t="shared" si="10"/>
        <v>-3</v>
      </c>
      <c r="BI21" s="242">
        <f t="shared" si="10"/>
        <v>-1</v>
      </c>
      <c r="BJ21" s="242">
        <f t="shared" si="10"/>
        <v>1</v>
      </c>
      <c r="BK21" s="242">
        <f t="shared" si="10"/>
        <v>7</v>
      </c>
      <c r="BL21" s="242">
        <f t="shared" si="10"/>
        <v>8</v>
      </c>
      <c r="BM21" s="242">
        <f t="shared" si="10"/>
        <v>1</v>
      </c>
      <c r="BN21" s="242">
        <f t="shared" si="10"/>
        <v>4</v>
      </c>
      <c r="BO21" s="242">
        <f t="shared" si="10"/>
        <v>3</v>
      </c>
      <c r="BP21" s="242">
        <f t="shared" si="10"/>
        <v>1</v>
      </c>
      <c r="BQ21" s="242">
        <f t="shared" si="11"/>
        <v>3</v>
      </c>
      <c r="BR21" s="242">
        <f t="shared" si="11"/>
        <v>2</v>
      </c>
    </row>
    <row r="22" spans="1:70" x14ac:dyDescent="0.25">
      <c r="B22" s="35" t="s">
        <v>41</v>
      </c>
      <c r="C22" s="131">
        <f t="shared" ref="C22:U22" si="13">SUM(C17:C21)</f>
        <v>25569</v>
      </c>
      <c r="D22" s="71">
        <f t="shared" si="13"/>
        <v>26227</v>
      </c>
      <c r="E22" s="71">
        <f t="shared" si="13"/>
        <v>26523</v>
      </c>
      <c r="F22" s="71">
        <f t="shared" si="13"/>
        <v>30031</v>
      </c>
      <c r="G22" s="71">
        <f t="shared" si="13"/>
        <v>30447</v>
      </c>
      <c r="H22" s="71">
        <f t="shared" si="13"/>
        <v>30150</v>
      </c>
      <c r="I22" s="71">
        <f t="shared" si="13"/>
        <v>29508</v>
      </c>
      <c r="J22" s="71">
        <f t="shared" si="13"/>
        <v>28090</v>
      </c>
      <c r="K22" s="71">
        <f t="shared" si="13"/>
        <v>28193</v>
      </c>
      <c r="L22" s="162">
        <f t="shared" si="13"/>
        <v>26326</v>
      </c>
      <c r="M22" s="71">
        <f t="shared" si="13"/>
        <v>24395</v>
      </c>
      <c r="N22" s="69">
        <f t="shared" si="13"/>
        <v>25039</v>
      </c>
      <c r="O22" s="71">
        <f t="shared" si="13"/>
        <v>26560</v>
      </c>
      <c r="P22" s="71">
        <f t="shared" si="13"/>
        <v>28531</v>
      </c>
      <c r="Q22" s="71">
        <f t="shared" si="13"/>
        <v>30031</v>
      </c>
      <c r="R22" s="71">
        <f t="shared" si="13"/>
        <v>29061</v>
      </c>
      <c r="S22" s="71">
        <f t="shared" si="13"/>
        <v>29248</v>
      </c>
      <c r="T22" s="71">
        <f t="shared" si="13"/>
        <v>29956</v>
      </c>
      <c r="U22" s="171">
        <f t="shared" si="13"/>
        <v>30729</v>
      </c>
      <c r="V22" s="171">
        <f t="shared" ref="V22:AC22" si="14">SUM(V17:V21)</f>
        <v>29854</v>
      </c>
      <c r="W22" s="171">
        <f t="shared" si="14"/>
        <v>32259</v>
      </c>
      <c r="X22" s="70">
        <f t="shared" si="14"/>
        <v>32206</v>
      </c>
      <c r="Y22" s="70">
        <f t="shared" si="14"/>
        <v>32176</v>
      </c>
      <c r="Z22" s="70">
        <f t="shared" si="14"/>
        <v>34489</v>
      </c>
      <c r="AA22" s="70">
        <f t="shared" si="14"/>
        <v>31817</v>
      </c>
      <c r="AB22" s="70">
        <f t="shared" si="14"/>
        <v>31309</v>
      </c>
      <c r="AC22" s="70">
        <f t="shared" si="14"/>
        <v>22469</v>
      </c>
      <c r="AD22" s="70">
        <f t="shared" ref="AD22:AI22" si="15">SUM(AD17:AD21)</f>
        <v>30984</v>
      </c>
      <c r="AE22" s="69">
        <f t="shared" si="15"/>
        <v>20588</v>
      </c>
      <c r="AF22" s="69">
        <f t="shared" si="15"/>
        <v>14659</v>
      </c>
      <c r="AG22" s="69">
        <f t="shared" si="15"/>
        <v>14107</v>
      </c>
      <c r="AH22" s="69">
        <f t="shared" si="15"/>
        <v>13770</v>
      </c>
      <c r="AI22" s="69">
        <f t="shared" si="15"/>
        <v>11647</v>
      </c>
      <c r="AJ22" s="171">
        <f t="shared" ref="AJ22:AM22" si="16">SUM(AJ17:AJ21)</f>
        <v>12128</v>
      </c>
      <c r="AK22" s="71">
        <f t="shared" si="16"/>
        <v>11617</v>
      </c>
      <c r="AL22" s="71">
        <f t="shared" si="16"/>
        <v>11217</v>
      </c>
      <c r="AM22" s="71">
        <f t="shared" si="16"/>
        <v>12808</v>
      </c>
      <c r="AN22" s="71"/>
      <c r="AO22" s="71"/>
      <c r="AP22" s="71">
        <f>SUM(AP17:AP21)</f>
        <v>18526</v>
      </c>
      <c r="AQ22" s="71">
        <f>SUM(AQ17:AQ21)</f>
        <v>22126</v>
      </c>
      <c r="AR22" s="71">
        <f>SUM(AR17:AR21)</f>
        <v>22913</v>
      </c>
      <c r="AS22" s="71"/>
      <c r="AT22" s="71"/>
      <c r="AU22" s="71"/>
      <c r="AV22" s="71"/>
      <c r="AW22" s="71">
        <f t="shared" ref="AW22:BF22" si="17">SUM(AW17:AW21)</f>
        <v>-991</v>
      </c>
      <c r="AX22" s="71">
        <f t="shared" si="17"/>
        <v>-2304</v>
      </c>
      <c r="AY22" s="71">
        <f t="shared" si="17"/>
        <v>-3508</v>
      </c>
      <c r="AZ22" s="71">
        <f t="shared" si="17"/>
        <v>970</v>
      </c>
      <c r="BA22" s="71">
        <f t="shared" si="17"/>
        <v>1199</v>
      </c>
      <c r="BB22" s="71">
        <f t="shared" si="17"/>
        <v>194</v>
      </c>
      <c r="BC22" s="70">
        <f t="shared" si="17"/>
        <v>-1221</v>
      </c>
      <c r="BD22" s="70">
        <f t="shared" si="17"/>
        <v>-1764</v>
      </c>
      <c r="BE22" s="70">
        <f t="shared" si="17"/>
        <v>-4066</v>
      </c>
      <c r="BF22" s="242">
        <f t="shared" si="17"/>
        <v>-5880</v>
      </c>
      <c r="BG22" s="242">
        <f t="shared" ref="BG22:BR22" si="18">M22-Y22</f>
        <v>-7781</v>
      </c>
      <c r="BH22" s="242">
        <f t="shared" si="18"/>
        <v>-9450</v>
      </c>
      <c r="BI22" s="242">
        <f t="shared" si="18"/>
        <v>-5257</v>
      </c>
      <c r="BJ22" s="242">
        <f t="shared" si="18"/>
        <v>-2778</v>
      </c>
      <c r="BK22" s="242">
        <f t="shared" si="18"/>
        <v>7562</v>
      </c>
      <c r="BL22" s="242">
        <f t="shared" si="18"/>
        <v>-1923</v>
      </c>
      <c r="BM22" s="242">
        <f t="shared" si="18"/>
        <v>8660</v>
      </c>
      <c r="BN22" s="242">
        <f t="shared" si="18"/>
        <v>15297</v>
      </c>
      <c r="BO22" s="242">
        <f t="shared" si="18"/>
        <v>16622</v>
      </c>
      <c r="BP22" s="242">
        <f t="shared" si="18"/>
        <v>16084</v>
      </c>
      <c r="BQ22" s="242">
        <f t="shared" si="18"/>
        <v>20612</v>
      </c>
      <c r="BR22" s="242">
        <f t="shared" si="18"/>
        <v>20078</v>
      </c>
    </row>
    <row r="23" spans="1:70" x14ac:dyDescent="0.25">
      <c r="A23" s="4">
        <f>+A16+1</f>
        <v>3</v>
      </c>
      <c r="B23" s="42" t="s">
        <v>21</v>
      </c>
      <c r="C23" s="68"/>
      <c r="D23" s="69"/>
      <c r="E23" s="69"/>
      <c r="F23" s="69"/>
      <c r="G23" s="69"/>
      <c r="H23" s="69"/>
      <c r="I23" s="69"/>
      <c r="J23" s="69"/>
      <c r="K23" s="69"/>
      <c r="L23" s="70"/>
      <c r="M23" s="71"/>
      <c r="N23" s="69"/>
      <c r="O23" s="71"/>
      <c r="P23" s="69"/>
      <c r="Q23" s="69"/>
      <c r="R23" s="69"/>
      <c r="S23" s="69"/>
      <c r="T23" s="69"/>
      <c r="U23" s="171"/>
      <c r="V23" s="251"/>
      <c r="W23" s="251"/>
      <c r="X23" s="162"/>
      <c r="Y23" s="251"/>
      <c r="Z23" s="251"/>
      <c r="AA23" s="251"/>
      <c r="AB23" s="251"/>
      <c r="AC23" s="162"/>
      <c r="AD23" s="162"/>
      <c r="AE23" s="224"/>
      <c r="AF23" s="251"/>
      <c r="AG23" s="251"/>
      <c r="AH23" s="251"/>
      <c r="AI23" s="251"/>
      <c r="AJ23" s="172"/>
      <c r="AK23" s="251"/>
      <c r="AL23" s="251"/>
      <c r="AM23" s="251"/>
      <c r="AN23" s="251"/>
      <c r="AO23" s="251"/>
      <c r="AP23" s="251"/>
      <c r="AQ23" s="251"/>
      <c r="AR23" s="251"/>
      <c r="AS23" s="251"/>
      <c r="AT23" s="251"/>
      <c r="AU23" s="251"/>
      <c r="AV23" s="251"/>
      <c r="AW23" s="71"/>
      <c r="AX23" s="72"/>
      <c r="AY23" s="73"/>
      <c r="AZ23" s="73"/>
      <c r="BA23" s="73"/>
      <c r="BB23" s="73"/>
      <c r="BC23" s="74"/>
      <c r="BD23" s="230"/>
      <c r="BE23" s="230"/>
      <c r="BF23" s="230"/>
      <c r="BG23" s="402"/>
      <c r="BH23" s="73"/>
      <c r="BI23" s="409"/>
      <c r="BJ23" s="409"/>
      <c r="BK23" s="409"/>
      <c r="BL23" s="409"/>
      <c r="BM23" s="409"/>
      <c r="BN23" s="409"/>
      <c r="BO23" s="409"/>
      <c r="BP23" s="409"/>
      <c r="BQ23" s="409"/>
      <c r="BR23" s="409"/>
    </row>
    <row r="24" spans="1:70" x14ac:dyDescent="0.25">
      <c r="B24" s="35" t="s">
        <v>36</v>
      </c>
      <c r="C24" s="68">
        <v>11698</v>
      </c>
      <c r="D24" s="69">
        <v>11837</v>
      </c>
      <c r="E24" s="69">
        <v>11854</v>
      </c>
      <c r="F24" s="69">
        <v>12070</v>
      </c>
      <c r="G24" s="69">
        <v>11067</v>
      </c>
      <c r="H24" s="69">
        <v>10946</v>
      </c>
      <c r="I24" s="69">
        <v>10678</v>
      </c>
      <c r="J24" s="69">
        <v>9967</v>
      </c>
      <c r="K24" s="69">
        <v>10296</v>
      </c>
      <c r="L24" s="70">
        <v>10428</v>
      </c>
      <c r="M24" s="71">
        <v>10547</v>
      </c>
      <c r="N24" s="69">
        <v>11393</v>
      </c>
      <c r="O24" s="71">
        <v>12145</v>
      </c>
      <c r="P24" s="69">
        <v>12052</v>
      </c>
      <c r="Q24" s="69">
        <v>12469</v>
      </c>
      <c r="R24" s="69">
        <v>12527</v>
      </c>
      <c r="S24" s="69">
        <v>11678</v>
      </c>
      <c r="T24" s="69">
        <v>11819</v>
      </c>
      <c r="U24" s="71">
        <v>11817</v>
      </c>
      <c r="V24" s="71">
        <v>11182</v>
      </c>
      <c r="W24" s="71">
        <f>12325+58</f>
        <v>12383</v>
      </c>
      <c r="X24" s="162">
        <f>11924+180</f>
        <v>12104</v>
      </c>
      <c r="Y24" s="71">
        <f>11287+204</f>
        <v>11491</v>
      </c>
      <c r="Z24" s="71">
        <f>13807</f>
        <v>13807</v>
      </c>
      <c r="AA24" s="71">
        <f>12356+23</f>
        <v>12379</v>
      </c>
      <c r="AB24" s="71">
        <v>12447</v>
      </c>
      <c r="AC24" s="224">
        <v>10975</v>
      </c>
      <c r="AD24" s="224">
        <f>404+8196+190</f>
        <v>8790</v>
      </c>
      <c r="AE24" s="224">
        <v>9692</v>
      </c>
      <c r="AF24" s="747">
        <v>9428</v>
      </c>
      <c r="AG24" s="747">
        <f>505+9019+43</f>
        <v>9567</v>
      </c>
      <c r="AH24" s="747">
        <v>7751</v>
      </c>
      <c r="AI24" s="747">
        <f>463+7624+12</f>
        <v>8099</v>
      </c>
      <c r="AJ24" s="867">
        <f>509+7944+9</f>
        <v>8462</v>
      </c>
      <c r="AK24" s="747">
        <f>568+7028</f>
        <v>7596</v>
      </c>
      <c r="AL24" s="747">
        <f>417+6799+3</f>
        <v>7219</v>
      </c>
      <c r="AM24" s="747">
        <f>480+8262+32</f>
        <v>8774</v>
      </c>
      <c r="AN24" s="747">
        <f>472+8607+54</f>
        <v>9133</v>
      </c>
      <c r="AO24" s="747">
        <f>501+9725+6</f>
        <v>10232</v>
      </c>
      <c r="AP24" s="747">
        <f>SUM(593+11764)</f>
        <v>12357</v>
      </c>
      <c r="AQ24" s="747">
        <f>SUM(537+9858+2)</f>
        <v>10397</v>
      </c>
      <c r="AR24" s="747">
        <f>216+4848</f>
        <v>5064</v>
      </c>
      <c r="AS24" s="747"/>
      <c r="AT24" s="747"/>
      <c r="AU24" s="747"/>
      <c r="AV24" s="747"/>
      <c r="AW24" s="71">
        <f t="shared" ref="AW24:BF28" si="19">C24-O24</f>
        <v>-447</v>
      </c>
      <c r="AX24" s="71">
        <f t="shared" si="19"/>
        <v>-215</v>
      </c>
      <c r="AY24" s="71">
        <f t="shared" si="19"/>
        <v>-615</v>
      </c>
      <c r="AZ24" s="71">
        <f t="shared" si="19"/>
        <v>-457</v>
      </c>
      <c r="BA24" s="71">
        <f t="shared" si="19"/>
        <v>-611</v>
      </c>
      <c r="BB24" s="71">
        <f t="shared" si="19"/>
        <v>-873</v>
      </c>
      <c r="BC24" s="70">
        <f t="shared" si="19"/>
        <v>-1139</v>
      </c>
      <c r="BD24" s="70">
        <f t="shared" si="19"/>
        <v>-1215</v>
      </c>
      <c r="BE24" s="70">
        <f t="shared" si="19"/>
        <v>-2087</v>
      </c>
      <c r="BF24" s="242">
        <f t="shared" si="19"/>
        <v>-1676</v>
      </c>
      <c r="BG24" s="242">
        <f t="shared" ref="BG24:BP28" si="20">M24-Y24</f>
        <v>-944</v>
      </c>
      <c r="BH24" s="242">
        <f t="shared" si="20"/>
        <v>-2414</v>
      </c>
      <c r="BI24" s="242">
        <f t="shared" si="20"/>
        <v>-234</v>
      </c>
      <c r="BJ24" s="242">
        <f t="shared" si="20"/>
        <v>-395</v>
      </c>
      <c r="BK24" s="242">
        <f t="shared" si="20"/>
        <v>1494</v>
      </c>
      <c r="BL24" s="242">
        <f t="shared" si="20"/>
        <v>3737</v>
      </c>
      <c r="BM24" s="242">
        <f t="shared" si="20"/>
        <v>1986</v>
      </c>
      <c r="BN24" s="242">
        <f t="shared" si="20"/>
        <v>2391</v>
      </c>
      <c r="BO24" s="242">
        <f t="shared" si="20"/>
        <v>2250</v>
      </c>
      <c r="BP24" s="242">
        <f t="shared" si="20"/>
        <v>3431</v>
      </c>
      <c r="BQ24" s="242">
        <f t="shared" ref="BQ24:BR28" si="21">W24-AI24</f>
        <v>4284</v>
      </c>
      <c r="BR24" s="242">
        <f t="shared" si="21"/>
        <v>3642</v>
      </c>
    </row>
    <row r="25" spans="1:70" x14ac:dyDescent="0.25">
      <c r="B25" s="35" t="s">
        <v>37</v>
      </c>
      <c r="C25" s="68">
        <v>3712</v>
      </c>
      <c r="D25" s="69">
        <v>3846</v>
      </c>
      <c r="E25" s="69">
        <v>3523</v>
      </c>
      <c r="F25" s="69">
        <v>5172</v>
      </c>
      <c r="G25" s="69">
        <v>5089</v>
      </c>
      <c r="H25" s="69">
        <v>5050</v>
      </c>
      <c r="I25" s="69">
        <v>5087</v>
      </c>
      <c r="J25" s="69">
        <v>5069</v>
      </c>
      <c r="K25" s="69">
        <v>4965</v>
      </c>
      <c r="L25" s="70">
        <v>4293</v>
      </c>
      <c r="M25" s="71">
        <v>3487</v>
      </c>
      <c r="N25" s="69">
        <v>3131</v>
      </c>
      <c r="O25" s="71">
        <v>3269</v>
      </c>
      <c r="P25" s="69">
        <v>3878</v>
      </c>
      <c r="Q25" s="69">
        <v>3986</v>
      </c>
      <c r="R25" s="69">
        <v>4091</v>
      </c>
      <c r="S25" s="69">
        <v>3913</v>
      </c>
      <c r="T25" s="69">
        <v>4371</v>
      </c>
      <c r="U25" s="71">
        <v>4712</v>
      </c>
      <c r="V25" s="71">
        <v>4654</v>
      </c>
      <c r="W25" s="71">
        <v>5223</v>
      </c>
      <c r="X25" s="162">
        <v>5339</v>
      </c>
      <c r="Y25" s="71">
        <v>5520</v>
      </c>
      <c r="Z25" s="71">
        <v>5652</v>
      </c>
      <c r="AA25" s="71">
        <v>4702</v>
      </c>
      <c r="AB25" s="71">
        <v>4094</v>
      </c>
      <c r="AC25" s="224">
        <v>2238</v>
      </c>
      <c r="AD25" s="224">
        <f>81+3346</f>
        <v>3427</v>
      </c>
      <c r="AE25" s="224">
        <v>4354</v>
      </c>
      <c r="AF25" s="747">
        <v>3196</v>
      </c>
      <c r="AG25" s="747">
        <f>63+2755</f>
        <v>2818</v>
      </c>
      <c r="AH25" s="747">
        <v>3442</v>
      </c>
      <c r="AI25" s="747">
        <f>74+1896</f>
        <v>1970</v>
      </c>
      <c r="AJ25" s="867">
        <f>82+1920</f>
        <v>2002</v>
      </c>
      <c r="AK25" s="747">
        <f>84+2108</f>
        <v>2192</v>
      </c>
      <c r="AL25" s="747">
        <f>707+2051</f>
        <v>2758</v>
      </c>
      <c r="AM25" s="747">
        <f>74+2285</f>
        <v>2359</v>
      </c>
      <c r="AN25" s="747">
        <f>91+3040</f>
        <v>3131</v>
      </c>
      <c r="AO25" s="747">
        <f>97+2997</f>
        <v>3094</v>
      </c>
      <c r="AP25" s="747">
        <f>SUM(117+7569)</f>
        <v>7686</v>
      </c>
      <c r="AQ25" s="747">
        <f>SUM(94+3191+0)</f>
        <v>3285</v>
      </c>
      <c r="AR25" s="747">
        <f>43+1444+0</f>
        <v>1487</v>
      </c>
      <c r="AS25" s="747"/>
      <c r="AT25" s="747"/>
      <c r="AU25" s="747"/>
      <c r="AV25" s="747"/>
      <c r="AW25" s="71">
        <f t="shared" si="19"/>
        <v>443</v>
      </c>
      <c r="AX25" s="71">
        <f t="shared" si="19"/>
        <v>-32</v>
      </c>
      <c r="AY25" s="71">
        <f t="shared" si="19"/>
        <v>-463</v>
      </c>
      <c r="AZ25" s="71">
        <f t="shared" si="19"/>
        <v>1081</v>
      </c>
      <c r="BA25" s="71">
        <f t="shared" si="19"/>
        <v>1176</v>
      </c>
      <c r="BB25" s="71">
        <f t="shared" si="19"/>
        <v>679</v>
      </c>
      <c r="BC25" s="70">
        <f t="shared" si="19"/>
        <v>375</v>
      </c>
      <c r="BD25" s="70">
        <f t="shared" si="19"/>
        <v>415</v>
      </c>
      <c r="BE25" s="70">
        <f t="shared" si="19"/>
        <v>-258</v>
      </c>
      <c r="BF25" s="242">
        <f t="shared" si="19"/>
        <v>-1046</v>
      </c>
      <c r="BG25" s="242">
        <f t="shared" si="20"/>
        <v>-2033</v>
      </c>
      <c r="BH25" s="242">
        <f t="shared" si="20"/>
        <v>-2521</v>
      </c>
      <c r="BI25" s="242">
        <f t="shared" si="20"/>
        <v>-1433</v>
      </c>
      <c r="BJ25" s="242">
        <f t="shared" si="20"/>
        <v>-216</v>
      </c>
      <c r="BK25" s="242">
        <f t="shared" si="20"/>
        <v>1748</v>
      </c>
      <c r="BL25" s="242">
        <f t="shared" si="20"/>
        <v>664</v>
      </c>
      <c r="BM25" s="242">
        <f t="shared" si="20"/>
        <v>-441</v>
      </c>
      <c r="BN25" s="242">
        <f t="shared" si="20"/>
        <v>1175</v>
      </c>
      <c r="BO25" s="242">
        <f t="shared" si="20"/>
        <v>1894</v>
      </c>
      <c r="BP25" s="242">
        <f t="shared" si="20"/>
        <v>1212</v>
      </c>
      <c r="BQ25" s="242">
        <f t="shared" si="21"/>
        <v>3253</v>
      </c>
      <c r="BR25" s="242">
        <f t="shared" si="21"/>
        <v>3337</v>
      </c>
    </row>
    <row r="26" spans="1:70" x14ac:dyDescent="0.25">
      <c r="B26" s="35" t="s">
        <v>38</v>
      </c>
      <c r="C26" s="131">
        <v>547</v>
      </c>
      <c r="D26" s="69">
        <v>583</v>
      </c>
      <c r="E26" s="69">
        <v>580</v>
      </c>
      <c r="F26" s="69">
        <v>574</v>
      </c>
      <c r="G26" s="69">
        <v>525</v>
      </c>
      <c r="H26" s="69">
        <v>573</v>
      </c>
      <c r="I26" s="69">
        <v>521</v>
      </c>
      <c r="J26" s="69">
        <v>419</v>
      </c>
      <c r="K26" s="69">
        <v>486</v>
      </c>
      <c r="L26" s="70">
        <v>460</v>
      </c>
      <c r="M26" s="71">
        <v>531</v>
      </c>
      <c r="N26" s="69">
        <v>586</v>
      </c>
      <c r="O26" s="71">
        <v>579</v>
      </c>
      <c r="P26" s="69">
        <v>801</v>
      </c>
      <c r="Q26" s="69">
        <v>924</v>
      </c>
      <c r="R26" s="69">
        <v>664</v>
      </c>
      <c r="S26" s="69">
        <v>556</v>
      </c>
      <c r="T26" s="69">
        <v>561</v>
      </c>
      <c r="U26" s="71">
        <v>560</v>
      </c>
      <c r="V26" s="71">
        <v>587</v>
      </c>
      <c r="W26" s="71">
        <v>683</v>
      </c>
      <c r="X26" s="162">
        <v>680</v>
      </c>
      <c r="Y26" s="71">
        <v>704</v>
      </c>
      <c r="Z26" s="71">
        <v>868</v>
      </c>
      <c r="AA26" s="71">
        <v>589</v>
      </c>
      <c r="AB26" s="71">
        <v>590</v>
      </c>
      <c r="AC26" s="224">
        <v>471</v>
      </c>
      <c r="AD26" s="224">
        <f>322+52+75+11</f>
        <v>460</v>
      </c>
      <c r="AE26" s="224">
        <v>497</v>
      </c>
      <c r="AF26" s="747">
        <v>430</v>
      </c>
      <c r="AG26" s="747">
        <v>413</v>
      </c>
      <c r="AH26" s="747">
        <v>325</v>
      </c>
      <c r="AI26" s="747">
        <f>309+62+3</f>
        <v>374</v>
      </c>
      <c r="AJ26" s="867">
        <v>369</v>
      </c>
      <c r="AK26" s="747">
        <v>323</v>
      </c>
      <c r="AL26" s="747">
        <v>325</v>
      </c>
      <c r="AM26" s="747">
        <f>289+58+42+9</f>
        <v>398</v>
      </c>
      <c r="AN26" s="747">
        <f>337+57+5+6</f>
        <v>405</v>
      </c>
      <c r="AO26" s="747">
        <f>451+82+9+6</f>
        <v>548</v>
      </c>
      <c r="AP26" s="747">
        <f>609+88+50+12</f>
        <v>759</v>
      </c>
      <c r="AQ26" s="747">
        <f>SUM(360+68+3+5)</f>
        <v>436</v>
      </c>
      <c r="AR26" s="747">
        <f>187+26+2+2</f>
        <v>217</v>
      </c>
      <c r="AS26" s="747"/>
      <c r="AT26" s="747"/>
      <c r="AU26" s="747"/>
      <c r="AV26" s="747"/>
      <c r="AW26" s="71">
        <f t="shared" si="19"/>
        <v>-32</v>
      </c>
      <c r="AX26" s="71">
        <f t="shared" si="19"/>
        <v>-218</v>
      </c>
      <c r="AY26" s="71">
        <f t="shared" si="19"/>
        <v>-344</v>
      </c>
      <c r="AZ26" s="71">
        <f t="shared" si="19"/>
        <v>-90</v>
      </c>
      <c r="BA26" s="71">
        <f t="shared" si="19"/>
        <v>-31</v>
      </c>
      <c r="BB26" s="71">
        <f t="shared" si="19"/>
        <v>12</v>
      </c>
      <c r="BC26" s="70">
        <f t="shared" si="19"/>
        <v>-39</v>
      </c>
      <c r="BD26" s="70">
        <f t="shared" si="19"/>
        <v>-168</v>
      </c>
      <c r="BE26" s="70">
        <f t="shared" si="19"/>
        <v>-197</v>
      </c>
      <c r="BF26" s="242">
        <f t="shared" si="19"/>
        <v>-220</v>
      </c>
      <c r="BG26" s="242">
        <f t="shared" si="20"/>
        <v>-173</v>
      </c>
      <c r="BH26" s="242">
        <f t="shared" si="20"/>
        <v>-282</v>
      </c>
      <c r="BI26" s="242">
        <f t="shared" si="20"/>
        <v>-10</v>
      </c>
      <c r="BJ26" s="242">
        <f t="shared" si="20"/>
        <v>211</v>
      </c>
      <c r="BK26" s="242">
        <f t="shared" si="20"/>
        <v>453</v>
      </c>
      <c r="BL26" s="242">
        <f t="shared" si="20"/>
        <v>204</v>
      </c>
      <c r="BM26" s="242">
        <f t="shared" si="20"/>
        <v>59</v>
      </c>
      <c r="BN26" s="242">
        <f t="shared" si="20"/>
        <v>131</v>
      </c>
      <c r="BO26" s="242">
        <f t="shared" si="20"/>
        <v>147</v>
      </c>
      <c r="BP26" s="242">
        <f t="shared" si="20"/>
        <v>262</v>
      </c>
      <c r="BQ26" s="242">
        <f t="shared" si="21"/>
        <v>309</v>
      </c>
      <c r="BR26" s="242">
        <f t="shared" si="21"/>
        <v>311</v>
      </c>
    </row>
    <row r="27" spans="1:70" x14ac:dyDescent="0.25">
      <c r="B27" s="35" t="s">
        <v>39</v>
      </c>
      <c r="C27" s="131">
        <v>63</v>
      </c>
      <c r="D27" s="69">
        <v>65</v>
      </c>
      <c r="E27" s="69">
        <v>65</v>
      </c>
      <c r="F27" s="69">
        <v>66</v>
      </c>
      <c r="G27" s="69">
        <v>51</v>
      </c>
      <c r="H27" s="69">
        <v>62</v>
      </c>
      <c r="I27" s="69">
        <v>57</v>
      </c>
      <c r="J27" s="69">
        <v>36</v>
      </c>
      <c r="K27" s="69">
        <v>50</v>
      </c>
      <c r="L27" s="70">
        <v>50</v>
      </c>
      <c r="M27" s="71">
        <v>55</v>
      </c>
      <c r="N27" s="69">
        <v>61</v>
      </c>
      <c r="O27" s="71">
        <v>71</v>
      </c>
      <c r="P27" s="69">
        <v>107</v>
      </c>
      <c r="Q27" s="69">
        <v>117</v>
      </c>
      <c r="R27" s="69">
        <v>97</v>
      </c>
      <c r="S27" s="69">
        <v>80</v>
      </c>
      <c r="T27" s="69">
        <v>73</v>
      </c>
      <c r="U27" s="71">
        <v>63</v>
      </c>
      <c r="V27" s="71">
        <v>65</v>
      </c>
      <c r="W27" s="71">
        <v>85</v>
      </c>
      <c r="X27" s="162">
        <v>109</v>
      </c>
      <c r="Y27" s="71">
        <v>108</v>
      </c>
      <c r="Z27" s="71">
        <v>153</v>
      </c>
      <c r="AA27" s="71">
        <v>71</v>
      </c>
      <c r="AB27" s="71">
        <v>68</v>
      </c>
      <c r="AC27" s="224">
        <v>60</v>
      </c>
      <c r="AD27" s="224">
        <f>14+9+46+8</f>
        <v>77</v>
      </c>
      <c r="AE27" s="224">
        <v>41</v>
      </c>
      <c r="AF27" s="747">
        <v>38</v>
      </c>
      <c r="AG27" s="747">
        <v>34</v>
      </c>
      <c r="AH27" s="747">
        <v>35</v>
      </c>
      <c r="AI27" s="747">
        <f>11+6+12+3</f>
        <v>32</v>
      </c>
      <c r="AJ27" s="867">
        <v>27</v>
      </c>
      <c r="AK27" s="747">
        <v>20</v>
      </c>
      <c r="AL27" s="747">
        <v>19</v>
      </c>
      <c r="AM27" s="747">
        <v>35</v>
      </c>
      <c r="AN27" s="747">
        <f>10+6+11+4</f>
        <v>31</v>
      </c>
      <c r="AO27" s="747">
        <f>21+12+18+8</f>
        <v>59</v>
      </c>
      <c r="AP27" s="747">
        <f>33+12+24+12</f>
        <v>81</v>
      </c>
      <c r="AQ27" s="747">
        <f>SUM(16+10+3+5)</f>
        <v>34</v>
      </c>
      <c r="AR27" s="747">
        <f>4+4+7+2</f>
        <v>17</v>
      </c>
      <c r="AS27" s="747"/>
      <c r="AT27" s="747"/>
      <c r="AU27" s="747"/>
      <c r="AV27" s="747"/>
      <c r="AW27" s="71">
        <f t="shared" si="19"/>
        <v>-8</v>
      </c>
      <c r="AX27" s="71">
        <f t="shared" si="19"/>
        <v>-42</v>
      </c>
      <c r="AY27" s="71">
        <f t="shared" si="19"/>
        <v>-52</v>
      </c>
      <c r="AZ27" s="71">
        <f t="shared" si="19"/>
        <v>-31</v>
      </c>
      <c r="BA27" s="71">
        <f t="shared" si="19"/>
        <v>-29</v>
      </c>
      <c r="BB27" s="71">
        <f t="shared" si="19"/>
        <v>-11</v>
      </c>
      <c r="BC27" s="70">
        <f t="shared" si="19"/>
        <v>-6</v>
      </c>
      <c r="BD27" s="70">
        <f t="shared" si="19"/>
        <v>-29</v>
      </c>
      <c r="BE27" s="70">
        <f t="shared" si="19"/>
        <v>-35</v>
      </c>
      <c r="BF27" s="242">
        <f t="shared" si="19"/>
        <v>-59</v>
      </c>
      <c r="BG27" s="242">
        <f t="shared" si="20"/>
        <v>-53</v>
      </c>
      <c r="BH27" s="242">
        <f t="shared" si="20"/>
        <v>-92</v>
      </c>
      <c r="BI27" s="242">
        <f t="shared" si="20"/>
        <v>0</v>
      </c>
      <c r="BJ27" s="242">
        <f t="shared" si="20"/>
        <v>39</v>
      </c>
      <c r="BK27" s="242">
        <f t="shared" si="20"/>
        <v>57</v>
      </c>
      <c r="BL27" s="242">
        <f t="shared" si="20"/>
        <v>20</v>
      </c>
      <c r="BM27" s="242">
        <f t="shared" si="20"/>
        <v>39</v>
      </c>
      <c r="BN27" s="242">
        <f t="shared" si="20"/>
        <v>35</v>
      </c>
      <c r="BO27" s="242">
        <f t="shared" si="20"/>
        <v>29</v>
      </c>
      <c r="BP27" s="242">
        <f t="shared" si="20"/>
        <v>30</v>
      </c>
      <c r="BQ27" s="242">
        <f t="shared" si="21"/>
        <v>53</v>
      </c>
      <c r="BR27" s="242">
        <f t="shared" si="21"/>
        <v>82</v>
      </c>
    </row>
    <row r="28" spans="1:70" x14ac:dyDescent="0.25">
      <c r="B28" s="35" t="s">
        <v>40</v>
      </c>
      <c r="C28" s="68">
        <v>0</v>
      </c>
      <c r="D28" s="69">
        <v>2</v>
      </c>
      <c r="E28" s="69">
        <v>1</v>
      </c>
      <c r="F28" s="69">
        <v>3</v>
      </c>
      <c r="G28" s="69">
        <v>1</v>
      </c>
      <c r="H28" s="69">
        <v>2</v>
      </c>
      <c r="I28" s="69">
        <v>1</v>
      </c>
      <c r="J28" s="69">
        <v>1</v>
      </c>
      <c r="K28" s="69">
        <v>2</v>
      </c>
      <c r="L28" s="70">
        <v>1</v>
      </c>
      <c r="M28" s="71">
        <v>1</v>
      </c>
      <c r="N28" s="69">
        <v>1</v>
      </c>
      <c r="O28" s="71">
        <v>0</v>
      </c>
      <c r="P28" s="69">
        <v>4</v>
      </c>
      <c r="Q28" s="69">
        <v>6</v>
      </c>
      <c r="R28" s="69">
        <v>6</v>
      </c>
      <c r="S28" s="69">
        <v>3</v>
      </c>
      <c r="T28" s="69">
        <v>4</v>
      </c>
      <c r="U28" s="71">
        <v>4</v>
      </c>
      <c r="V28" s="71">
        <v>1</v>
      </c>
      <c r="W28" s="71">
        <v>3</v>
      </c>
      <c r="X28" s="162">
        <v>4</v>
      </c>
      <c r="Y28" s="71">
        <v>2</v>
      </c>
      <c r="Z28" s="71">
        <v>5</v>
      </c>
      <c r="AA28" s="71">
        <v>1</v>
      </c>
      <c r="AB28" s="71">
        <v>3</v>
      </c>
      <c r="AC28" s="224">
        <v>1</v>
      </c>
      <c r="AD28" s="224">
        <v>1</v>
      </c>
      <c r="AE28" s="224">
        <v>3</v>
      </c>
      <c r="AF28" s="747">
        <v>3</v>
      </c>
      <c r="AG28" s="747">
        <v>2</v>
      </c>
      <c r="AH28" s="747">
        <v>1</v>
      </c>
      <c r="AI28" s="747">
        <f>2</f>
        <v>2</v>
      </c>
      <c r="AJ28" s="867">
        <v>2</v>
      </c>
      <c r="AK28" s="747">
        <v>1</v>
      </c>
      <c r="AL28" s="747">
        <v>1</v>
      </c>
      <c r="AM28" s="747">
        <v>2</v>
      </c>
      <c r="AN28" s="747">
        <f>1</f>
        <v>1</v>
      </c>
      <c r="AO28" s="747">
        <v>0</v>
      </c>
      <c r="AP28" s="747">
        <v>0</v>
      </c>
      <c r="AQ28" s="747">
        <v>0</v>
      </c>
      <c r="AR28" s="747">
        <v>0</v>
      </c>
      <c r="AS28" s="747"/>
      <c r="AT28" s="747"/>
      <c r="AU28" s="747"/>
      <c r="AV28" s="747"/>
      <c r="AW28" s="71">
        <f t="shared" si="19"/>
        <v>0</v>
      </c>
      <c r="AX28" s="71">
        <f t="shared" si="19"/>
        <v>-2</v>
      </c>
      <c r="AY28" s="71">
        <f t="shared" si="19"/>
        <v>-5</v>
      </c>
      <c r="AZ28" s="71">
        <f t="shared" si="19"/>
        <v>-3</v>
      </c>
      <c r="BA28" s="71">
        <f t="shared" si="19"/>
        <v>-2</v>
      </c>
      <c r="BB28" s="71">
        <f t="shared" si="19"/>
        <v>-2</v>
      </c>
      <c r="BC28" s="70">
        <f t="shared" si="19"/>
        <v>-3</v>
      </c>
      <c r="BD28" s="70">
        <f t="shared" si="19"/>
        <v>0</v>
      </c>
      <c r="BE28" s="70">
        <f t="shared" si="19"/>
        <v>-1</v>
      </c>
      <c r="BF28" s="242">
        <f t="shared" si="19"/>
        <v>-3</v>
      </c>
      <c r="BG28" s="242">
        <f t="shared" si="20"/>
        <v>-1</v>
      </c>
      <c r="BH28" s="242">
        <f t="shared" si="20"/>
        <v>-4</v>
      </c>
      <c r="BI28" s="242">
        <f t="shared" si="20"/>
        <v>-1</v>
      </c>
      <c r="BJ28" s="242">
        <f t="shared" si="20"/>
        <v>1</v>
      </c>
      <c r="BK28" s="242">
        <f t="shared" si="20"/>
        <v>5</v>
      </c>
      <c r="BL28" s="242">
        <f t="shared" si="20"/>
        <v>5</v>
      </c>
      <c r="BM28" s="242">
        <f t="shared" si="20"/>
        <v>0</v>
      </c>
      <c r="BN28" s="242">
        <f t="shared" si="20"/>
        <v>1</v>
      </c>
      <c r="BO28" s="242">
        <f t="shared" si="20"/>
        <v>2</v>
      </c>
      <c r="BP28" s="242">
        <f t="shared" si="20"/>
        <v>0</v>
      </c>
      <c r="BQ28" s="242">
        <f t="shared" si="21"/>
        <v>1</v>
      </c>
      <c r="BR28" s="242">
        <f t="shared" si="21"/>
        <v>2</v>
      </c>
    </row>
    <row r="29" spans="1:70" x14ac:dyDescent="0.25">
      <c r="B29" s="35" t="s">
        <v>41</v>
      </c>
      <c r="C29" s="131">
        <f t="shared" ref="C29:AF29" si="22">SUM(C24:C28)</f>
        <v>16020</v>
      </c>
      <c r="D29" s="71">
        <f t="shared" si="22"/>
        <v>16333</v>
      </c>
      <c r="E29" s="71">
        <f t="shared" si="22"/>
        <v>16023</v>
      </c>
      <c r="F29" s="71">
        <f t="shared" si="22"/>
        <v>17885</v>
      </c>
      <c r="G29" s="71">
        <f t="shared" si="22"/>
        <v>16733</v>
      </c>
      <c r="H29" s="71">
        <f t="shared" si="22"/>
        <v>16633</v>
      </c>
      <c r="I29" s="71">
        <f t="shared" si="22"/>
        <v>16344</v>
      </c>
      <c r="J29" s="71">
        <f t="shared" si="22"/>
        <v>15492</v>
      </c>
      <c r="K29" s="71">
        <f t="shared" si="22"/>
        <v>15799</v>
      </c>
      <c r="L29" s="162">
        <f t="shared" si="22"/>
        <v>15232</v>
      </c>
      <c r="M29" s="71">
        <f t="shared" si="22"/>
        <v>14621</v>
      </c>
      <c r="N29" s="71">
        <f t="shared" si="22"/>
        <v>15172</v>
      </c>
      <c r="O29" s="71">
        <f t="shared" si="22"/>
        <v>16064</v>
      </c>
      <c r="P29" s="71">
        <f t="shared" si="22"/>
        <v>16842</v>
      </c>
      <c r="Q29" s="71">
        <f t="shared" si="22"/>
        <v>17502</v>
      </c>
      <c r="R29" s="71">
        <f t="shared" si="22"/>
        <v>17385</v>
      </c>
      <c r="S29" s="71">
        <f t="shared" si="22"/>
        <v>16230</v>
      </c>
      <c r="T29" s="71">
        <f t="shared" si="22"/>
        <v>16828</v>
      </c>
      <c r="U29" s="172">
        <f t="shared" si="22"/>
        <v>17156</v>
      </c>
      <c r="V29" s="172">
        <f t="shared" si="22"/>
        <v>16489</v>
      </c>
      <c r="W29" s="172">
        <f t="shared" si="22"/>
        <v>18377</v>
      </c>
      <c r="X29" s="162">
        <f t="shared" si="22"/>
        <v>18236</v>
      </c>
      <c r="Y29" s="162">
        <f t="shared" si="22"/>
        <v>17825</v>
      </c>
      <c r="Z29" s="162">
        <f t="shared" si="22"/>
        <v>20485</v>
      </c>
      <c r="AA29" s="162">
        <f t="shared" si="22"/>
        <v>17742</v>
      </c>
      <c r="AB29" s="162">
        <f t="shared" si="22"/>
        <v>17202</v>
      </c>
      <c r="AC29" s="162">
        <f t="shared" si="22"/>
        <v>13745</v>
      </c>
      <c r="AD29" s="251">
        <f t="shared" si="22"/>
        <v>12755</v>
      </c>
      <c r="AE29" s="251">
        <f t="shared" si="22"/>
        <v>14587</v>
      </c>
      <c r="AF29" s="251">
        <f t="shared" si="22"/>
        <v>13095</v>
      </c>
      <c r="AG29" s="251">
        <f t="shared" ref="AG29:AN29" si="23">SUM(AG24:AG28)</f>
        <v>12834</v>
      </c>
      <c r="AH29" s="251">
        <f t="shared" si="23"/>
        <v>11554</v>
      </c>
      <c r="AI29" s="251">
        <f t="shared" si="23"/>
        <v>10477</v>
      </c>
      <c r="AJ29" s="172">
        <f t="shared" si="23"/>
        <v>10862</v>
      </c>
      <c r="AK29" s="251">
        <f t="shared" si="23"/>
        <v>10132</v>
      </c>
      <c r="AL29" s="251">
        <f t="shared" si="23"/>
        <v>10322</v>
      </c>
      <c r="AM29" s="251">
        <f t="shared" si="23"/>
        <v>11568</v>
      </c>
      <c r="AN29" s="251">
        <f t="shared" si="23"/>
        <v>12701</v>
      </c>
      <c r="AO29" s="251">
        <f>SUM(AO24:AO28)</f>
        <v>13933</v>
      </c>
      <c r="AP29" s="251">
        <f>SUM(AP24:AP28)</f>
        <v>20883</v>
      </c>
      <c r="AQ29" s="251">
        <f>SUM(AQ24:AQ28)</f>
        <v>14152</v>
      </c>
      <c r="AR29" s="251">
        <f>SUM(AR24:AR28)</f>
        <v>6785</v>
      </c>
      <c r="AS29" s="251"/>
      <c r="AT29" s="251"/>
      <c r="AU29" s="251"/>
      <c r="AV29" s="251"/>
      <c r="AW29" s="71">
        <f t="shared" ref="AW29:BF29" si="24">SUM(AW24:AW28)</f>
        <v>-44</v>
      </c>
      <c r="AX29" s="71">
        <f t="shared" si="24"/>
        <v>-509</v>
      </c>
      <c r="AY29" s="71">
        <f t="shared" si="24"/>
        <v>-1479</v>
      </c>
      <c r="AZ29" s="71">
        <f t="shared" si="24"/>
        <v>500</v>
      </c>
      <c r="BA29" s="71">
        <f t="shared" si="24"/>
        <v>503</v>
      </c>
      <c r="BB29" s="71">
        <f t="shared" si="24"/>
        <v>-195</v>
      </c>
      <c r="BC29" s="70">
        <f t="shared" si="24"/>
        <v>-812</v>
      </c>
      <c r="BD29" s="70">
        <f t="shared" si="24"/>
        <v>-997</v>
      </c>
      <c r="BE29" s="70">
        <f t="shared" si="24"/>
        <v>-2578</v>
      </c>
      <c r="BF29" s="242">
        <f t="shared" si="24"/>
        <v>-3004</v>
      </c>
      <c r="BG29" s="242">
        <f t="shared" ref="BG29:BR29" si="25">M29-Y29</f>
        <v>-3204</v>
      </c>
      <c r="BH29" s="242">
        <f t="shared" si="25"/>
        <v>-5313</v>
      </c>
      <c r="BI29" s="242">
        <f t="shared" si="25"/>
        <v>-1678</v>
      </c>
      <c r="BJ29" s="242">
        <f t="shared" si="25"/>
        <v>-360</v>
      </c>
      <c r="BK29" s="242">
        <f t="shared" si="25"/>
        <v>3757</v>
      </c>
      <c r="BL29" s="242">
        <f t="shared" si="25"/>
        <v>4630</v>
      </c>
      <c r="BM29" s="242">
        <f t="shared" si="25"/>
        <v>1643</v>
      </c>
      <c r="BN29" s="242">
        <f t="shared" si="25"/>
        <v>3733</v>
      </c>
      <c r="BO29" s="242">
        <f t="shared" si="25"/>
        <v>4322</v>
      </c>
      <c r="BP29" s="242">
        <f t="shared" si="25"/>
        <v>4935</v>
      </c>
      <c r="BQ29" s="242">
        <f t="shared" si="25"/>
        <v>7900</v>
      </c>
      <c r="BR29" s="242">
        <f t="shared" si="25"/>
        <v>7374</v>
      </c>
    </row>
    <row r="30" spans="1:70" x14ac:dyDescent="0.25">
      <c r="A30" s="4">
        <f>+A23+1</f>
        <v>4</v>
      </c>
      <c r="B30" s="42" t="s">
        <v>22</v>
      </c>
      <c r="C30" s="131"/>
      <c r="D30" s="71"/>
      <c r="E30" s="71"/>
      <c r="F30" s="71"/>
      <c r="G30" s="71"/>
      <c r="H30" s="71"/>
      <c r="I30" s="71"/>
      <c r="J30" s="71"/>
      <c r="K30" s="71"/>
      <c r="L30" s="162"/>
      <c r="M30" s="71"/>
      <c r="N30" s="71"/>
      <c r="O30" s="71"/>
      <c r="P30" s="71"/>
      <c r="Q30" s="71"/>
      <c r="R30" s="71"/>
      <c r="S30" s="71"/>
      <c r="T30" s="71"/>
      <c r="U30" s="172"/>
      <c r="V30" s="251"/>
      <c r="W30" s="251"/>
      <c r="X30" s="162"/>
      <c r="Y30" s="251"/>
      <c r="Z30" s="251"/>
      <c r="AA30" s="251"/>
      <c r="AB30" s="251"/>
      <c r="AC30" s="162"/>
      <c r="AD30" s="224"/>
      <c r="AE30" s="224"/>
      <c r="AF30" s="747"/>
      <c r="AG30" s="747"/>
      <c r="AH30" s="747"/>
      <c r="AI30" s="747"/>
      <c r="AJ30" s="867"/>
      <c r="AK30" s="747"/>
      <c r="AL30" s="747"/>
      <c r="AM30" s="747"/>
      <c r="AN30" s="747"/>
      <c r="AO30" s="747"/>
      <c r="AP30" s="747"/>
      <c r="AQ30" s="747"/>
      <c r="AR30" s="747"/>
      <c r="AS30" s="747"/>
      <c r="AT30" s="747"/>
      <c r="AU30" s="747"/>
      <c r="AV30" s="747"/>
      <c r="AW30" s="71"/>
      <c r="AX30" s="71"/>
      <c r="AY30" s="71"/>
      <c r="AZ30" s="71"/>
      <c r="BA30" s="71"/>
      <c r="BB30" s="71"/>
      <c r="BC30" s="70"/>
      <c r="BD30" s="313"/>
      <c r="BE30" s="313"/>
      <c r="BF30" s="313"/>
      <c r="BG30" s="403"/>
      <c r="BH30" s="69"/>
      <c r="BI30" s="171"/>
      <c r="BJ30" s="171"/>
      <c r="BK30" s="171"/>
      <c r="BL30" s="171"/>
      <c r="BM30" s="171"/>
      <c r="BN30" s="171"/>
      <c r="BO30" s="171"/>
      <c r="BP30" s="171"/>
      <c r="BQ30" s="171"/>
      <c r="BR30" s="171"/>
    </row>
    <row r="31" spans="1:70" x14ac:dyDescent="0.25">
      <c r="A31" s="4"/>
      <c r="B31" s="35" t="s">
        <v>36</v>
      </c>
      <c r="C31" s="131">
        <v>5293</v>
      </c>
      <c r="D31" s="71">
        <v>6308</v>
      </c>
      <c r="E31" s="71">
        <v>6644</v>
      </c>
      <c r="F31" s="71">
        <v>8013</v>
      </c>
      <c r="G31" s="71">
        <v>7461</v>
      </c>
      <c r="H31" s="71">
        <v>7683</v>
      </c>
      <c r="I31" s="71">
        <v>7520</v>
      </c>
      <c r="J31" s="71">
        <v>6955</v>
      </c>
      <c r="K31" s="71">
        <v>6941</v>
      </c>
      <c r="L31" s="162">
        <v>6508</v>
      </c>
      <c r="M31" s="71">
        <v>5859</v>
      </c>
      <c r="N31" s="71">
        <v>5888</v>
      </c>
      <c r="O31" s="71">
        <v>7002</v>
      </c>
      <c r="P31" s="71">
        <v>7875</v>
      </c>
      <c r="Q31" s="71">
        <v>8468</v>
      </c>
      <c r="R31" s="71">
        <v>8954</v>
      </c>
      <c r="S31" s="71">
        <v>8841</v>
      </c>
      <c r="T31" s="71">
        <v>8730</v>
      </c>
      <c r="U31" s="71">
        <v>8837</v>
      </c>
      <c r="V31" s="71">
        <v>8466</v>
      </c>
      <c r="W31" s="71">
        <f>8331+21</f>
        <v>8352</v>
      </c>
      <c r="X31" s="162">
        <f>8236+15</f>
        <v>8251</v>
      </c>
      <c r="Y31" s="71">
        <f>8120+14</f>
        <v>8134</v>
      </c>
      <c r="Z31" s="71">
        <f>7691</f>
        <v>7691</v>
      </c>
      <c r="AA31" s="71">
        <v>8442</v>
      </c>
      <c r="AB31" s="71">
        <v>8672</v>
      </c>
      <c r="AC31" s="224">
        <v>7642</v>
      </c>
      <c r="AD31" s="224">
        <f>345+6141+26</f>
        <v>6512</v>
      </c>
      <c r="AE31" s="224">
        <v>5955</v>
      </c>
      <c r="AF31" s="747">
        <v>7670</v>
      </c>
      <c r="AG31" s="747">
        <v>8773</v>
      </c>
      <c r="AH31" s="747">
        <v>7672</v>
      </c>
      <c r="AI31" s="747">
        <f>309+5819+8</f>
        <v>6136</v>
      </c>
      <c r="AJ31" s="867">
        <f>371+6244+6</f>
        <v>6621</v>
      </c>
      <c r="AK31" s="747">
        <f>397+5865</f>
        <v>6262</v>
      </c>
      <c r="AL31" s="747">
        <f>382+5381</f>
        <v>5763</v>
      </c>
      <c r="AM31" s="747">
        <f>327+4993</f>
        <v>5320</v>
      </c>
      <c r="AN31" s="747">
        <f>378+5905</f>
        <v>6283</v>
      </c>
      <c r="AO31" s="747">
        <f>452+8784+6</f>
        <v>9242</v>
      </c>
      <c r="AP31" s="747">
        <f>472+9342</f>
        <v>9814</v>
      </c>
      <c r="AQ31" s="747">
        <f>SUM(441+8774+1)</f>
        <v>9216</v>
      </c>
      <c r="AR31" s="747">
        <f>386+7251+2</f>
        <v>7639</v>
      </c>
      <c r="AS31" s="747"/>
      <c r="AT31" s="747"/>
      <c r="AU31" s="747"/>
      <c r="AV31" s="747"/>
      <c r="AW31" s="71">
        <f t="shared" ref="AW31:BF35" si="26">C31-O31</f>
        <v>-1709</v>
      </c>
      <c r="AX31" s="71">
        <f t="shared" si="26"/>
        <v>-1567</v>
      </c>
      <c r="AY31" s="71">
        <f t="shared" si="26"/>
        <v>-1824</v>
      </c>
      <c r="AZ31" s="71">
        <f t="shared" si="26"/>
        <v>-941</v>
      </c>
      <c r="BA31" s="71">
        <f t="shared" si="26"/>
        <v>-1380</v>
      </c>
      <c r="BB31" s="71">
        <f t="shared" si="26"/>
        <v>-1047</v>
      </c>
      <c r="BC31" s="70">
        <f t="shared" si="26"/>
        <v>-1317</v>
      </c>
      <c r="BD31" s="70">
        <f t="shared" si="26"/>
        <v>-1511</v>
      </c>
      <c r="BE31" s="70">
        <f t="shared" si="26"/>
        <v>-1411</v>
      </c>
      <c r="BF31" s="242">
        <f t="shared" si="26"/>
        <v>-1743</v>
      </c>
      <c r="BG31" s="242">
        <f t="shared" ref="BG31:BP35" si="27">M31-Y31</f>
        <v>-2275</v>
      </c>
      <c r="BH31" s="242">
        <f t="shared" si="27"/>
        <v>-1803</v>
      </c>
      <c r="BI31" s="242">
        <f t="shared" si="27"/>
        <v>-1440</v>
      </c>
      <c r="BJ31" s="242">
        <f t="shared" si="27"/>
        <v>-797</v>
      </c>
      <c r="BK31" s="242">
        <f t="shared" si="27"/>
        <v>826</v>
      </c>
      <c r="BL31" s="242">
        <f t="shared" si="27"/>
        <v>2442</v>
      </c>
      <c r="BM31" s="242">
        <f t="shared" si="27"/>
        <v>2886</v>
      </c>
      <c r="BN31" s="242">
        <f t="shared" si="27"/>
        <v>1060</v>
      </c>
      <c r="BO31" s="242">
        <f t="shared" si="27"/>
        <v>64</v>
      </c>
      <c r="BP31" s="242">
        <f t="shared" si="27"/>
        <v>794</v>
      </c>
      <c r="BQ31" s="242">
        <f t="shared" ref="BQ31:BR35" si="28">W31-AI31</f>
        <v>2216</v>
      </c>
      <c r="BR31" s="242">
        <f t="shared" si="28"/>
        <v>1630</v>
      </c>
    </row>
    <row r="32" spans="1:70" x14ac:dyDescent="0.25">
      <c r="A32" s="4"/>
      <c r="B32" s="35" t="s">
        <v>37</v>
      </c>
      <c r="C32" s="131">
        <v>2441</v>
      </c>
      <c r="D32" s="71">
        <v>2594</v>
      </c>
      <c r="E32" s="71">
        <v>2446</v>
      </c>
      <c r="F32" s="71">
        <v>2850</v>
      </c>
      <c r="G32" s="71">
        <v>4252</v>
      </c>
      <c r="H32" s="71">
        <v>4312</v>
      </c>
      <c r="I32" s="71">
        <v>4316</v>
      </c>
      <c r="J32" s="71">
        <v>4296</v>
      </c>
      <c r="K32" s="71">
        <v>4090</v>
      </c>
      <c r="L32" s="162">
        <v>3276</v>
      </c>
      <c r="M32" s="71">
        <v>2727</v>
      </c>
      <c r="N32" s="71">
        <v>2693</v>
      </c>
      <c r="O32" s="71">
        <v>2589</v>
      </c>
      <c r="P32" s="71">
        <v>2805</v>
      </c>
      <c r="Q32" s="71">
        <v>2863</v>
      </c>
      <c r="R32" s="71">
        <v>1662</v>
      </c>
      <c r="S32" s="71">
        <v>3081</v>
      </c>
      <c r="T32" s="71">
        <v>3234</v>
      </c>
      <c r="U32" s="71">
        <v>3818</v>
      </c>
      <c r="V32" s="71">
        <v>3897</v>
      </c>
      <c r="W32" s="71">
        <v>4086</v>
      </c>
      <c r="X32" s="162">
        <v>4106</v>
      </c>
      <c r="Y32" s="71">
        <v>4264</v>
      </c>
      <c r="Z32" s="71">
        <v>3875</v>
      </c>
      <c r="AA32" s="71">
        <v>3727</v>
      </c>
      <c r="AB32" s="71">
        <v>3371</v>
      </c>
      <c r="AC32" s="224">
        <v>1752</v>
      </c>
      <c r="AD32" s="224">
        <f>77+2812</f>
        <v>2889</v>
      </c>
      <c r="AE32" s="224">
        <v>2626</v>
      </c>
      <c r="AF32" s="747">
        <v>3903</v>
      </c>
      <c r="AG32" s="747">
        <v>3020</v>
      </c>
      <c r="AH32" s="747">
        <v>2512</v>
      </c>
      <c r="AI32" s="747">
        <f>50+1624</f>
        <v>1674</v>
      </c>
      <c r="AJ32" s="867">
        <f>66+1705</f>
        <v>1771</v>
      </c>
      <c r="AK32" s="747">
        <f>71+1779</f>
        <v>1850</v>
      </c>
      <c r="AL32" s="747">
        <f>67+1694</f>
        <v>1761</v>
      </c>
      <c r="AM32" s="747">
        <f>61+1738</f>
        <v>1799</v>
      </c>
      <c r="AN32" s="747">
        <f>79+2236</f>
        <v>2315</v>
      </c>
      <c r="AO32" s="747">
        <f>105+6078</f>
        <v>6183</v>
      </c>
      <c r="AP32" s="747">
        <f>107+3235</f>
        <v>3342</v>
      </c>
      <c r="AQ32" s="747">
        <f>SUM(100+3090+0)</f>
        <v>3190</v>
      </c>
      <c r="AR32" s="747">
        <f>67+2139</f>
        <v>2206</v>
      </c>
      <c r="AS32" s="747"/>
      <c r="AT32" s="747"/>
      <c r="AU32" s="747"/>
      <c r="AV32" s="747"/>
      <c r="AW32" s="71">
        <f t="shared" si="26"/>
        <v>-148</v>
      </c>
      <c r="AX32" s="71">
        <f t="shared" si="26"/>
        <v>-211</v>
      </c>
      <c r="AY32" s="71">
        <f t="shared" si="26"/>
        <v>-417</v>
      </c>
      <c r="AZ32" s="71">
        <f t="shared" si="26"/>
        <v>1188</v>
      </c>
      <c r="BA32" s="71">
        <f t="shared" si="26"/>
        <v>1171</v>
      </c>
      <c r="BB32" s="71">
        <f t="shared" si="26"/>
        <v>1078</v>
      </c>
      <c r="BC32" s="70">
        <f t="shared" si="26"/>
        <v>498</v>
      </c>
      <c r="BD32" s="70">
        <f t="shared" si="26"/>
        <v>399</v>
      </c>
      <c r="BE32" s="70">
        <f t="shared" si="26"/>
        <v>4</v>
      </c>
      <c r="BF32" s="242">
        <f t="shared" si="26"/>
        <v>-830</v>
      </c>
      <c r="BG32" s="242">
        <f t="shared" si="27"/>
        <v>-1537</v>
      </c>
      <c r="BH32" s="242">
        <f t="shared" si="27"/>
        <v>-1182</v>
      </c>
      <c r="BI32" s="242">
        <f t="shared" si="27"/>
        <v>-1138</v>
      </c>
      <c r="BJ32" s="242">
        <f t="shared" si="27"/>
        <v>-566</v>
      </c>
      <c r="BK32" s="242">
        <f t="shared" si="27"/>
        <v>1111</v>
      </c>
      <c r="BL32" s="242">
        <f t="shared" si="27"/>
        <v>-1227</v>
      </c>
      <c r="BM32" s="242">
        <f t="shared" si="27"/>
        <v>455</v>
      </c>
      <c r="BN32" s="242">
        <f t="shared" si="27"/>
        <v>-669</v>
      </c>
      <c r="BO32" s="242">
        <f t="shared" si="27"/>
        <v>798</v>
      </c>
      <c r="BP32" s="242">
        <f t="shared" si="27"/>
        <v>1385</v>
      </c>
      <c r="BQ32" s="242">
        <f t="shared" si="28"/>
        <v>2412</v>
      </c>
      <c r="BR32" s="242">
        <f t="shared" si="28"/>
        <v>2335</v>
      </c>
    </row>
    <row r="33" spans="1:70" x14ac:dyDescent="0.25">
      <c r="A33" s="4"/>
      <c r="B33" s="35" t="s">
        <v>38</v>
      </c>
      <c r="C33" s="131">
        <v>177</v>
      </c>
      <c r="D33" s="71">
        <v>213</v>
      </c>
      <c r="E33" s="71">
        <v>253</v>
      </c>
      <c r="F33" s="71">
        <v>282</v>
      </c>
      <c r="G33" s="71">
        <v>282</v>
      </c>
      <c r="H33" s="71">
        <v>289</v>
      </c>
      <c r="I33" s="71">
        <v>271</v>
      </c>
      <c r="J33" s="71">
        <v>229</v>
      </c>
      <c r="K33" s="71">
        <v>229</v>
      </c>
      <c r="L33" s="162">
        <v>222</v>
      </c>
      <c r="M33" s="71">
        <v>184</v>
      </c>
      <c r="N33" s="71">
        <v>231</v>
      </c>
      <c r="O33" s="71">
        <v>209</v>
      </c>
      <c r="P33" s="71">
        <v>362</v>
      </c>
      <c r="Q33" s="71">
        <v>486</v>
      </c>
      <c r="R33" s="71">
        <v>387</v>
      </c>
      <c r="S33" s="71">
        <v>347</v>
      </c>
      <c r="T33" s="71">
        <v>329</v>
      </c>
      <c r="U33" s="71">
        <v>292</v>
      </c>
      <c r="V33" s="71">
        <v>302</v>
      </c>
      <c r="W33" s="71">
        <v>352</v>
      </c>
      <c r="X33" s="162">
        <v>329</v>
      </c>
      <c r="Y33" s="71">
        <v>302</v>
      </c>
      <c r="Z33" s="71">
        <v>307</v>
      </c>
      <c r="AA33" s="71">
        <v>258</v>
      </c>
      <c r="AB33" s="71">
        <v>256</v>
      </c>
      <c r="AC33" s="224">
        <v>210</v>
      </c>
      <c r="AD33" s="224">
        <f>202+31+33+5</f>
        <v>271</v>
      </c>
      <c r="AE33" s="224">
        <v>226</v>
      </c>
      <c r="AF33" s="747">
        <v>347</v>
      </c>
      <c r="AG33" s="747">
        <v>294</v>
      </c>
      <c r="AH33" s="747">
        <v>313</v>
      </c>
      <c r="AI33" s="747">
        <f>206+36+2</f>
        <v>244</v>
      </c>
      <c r="AJ33" s="867">
        <v>263</v>
      </c>
      <c r="AK33" s="747">
        <v>262</v>
      </c>
      <c r="AL33" s="747">
        <v>263</v>
      </c>
      <c r="AM33" s="747">
        <v>222</v>
      </c>
      <c r="AN33" s="747">
        <f>214+40+37+7</f>
        <v>298</v>
      </c>
      <c r="AO33" s="747">
        <f>383+56+6+6</f>
        <v>451</v>
      </c>
      <c r="AP33" s="747">
        <f>409+68+6+4</f>
        <v>487</v>
      </c>
      <c r="AQ33" s="747">
        <f>SUM(320+56+1+3)</f>
        <v>380</v>
      </c>
      <c r="AR33" s="747">
        <f>272+46+2+4</f>
        <v>324</v>
      </c>
      <c r="AS33" s="747"/>
      <c r="AT33" s="747"/>
      <c r="AU33" s="747"/>
      <c r="AV33" s="747"/>
      <c r="AW33" s="71">
        <f t="shared" si="26"/>
        <v>-32</v>
      </c>
      <c r="AX33" s="71">
        <f t="shared" si="26"/>
        <v>-149</v>
      </c>
      <c r="AY33" s="71">
        <f t="shared" si="26"/>
        <v>-233</v>
      </c>
      <c r="AZ33" s="71">
        <f t="shared" si="26"/>
        <v>-105</v>
      </c>
      <c r="BA33" s="71">
        <f t="shared" si="26"/>
        <v>-65</v>
      </c>
      <c r="BB33" s="71">
        <f t="shared" si="26"/>
        <v>-40</v>
      </c>
      <c r="BC33" s="70">
        <f t="shared" si="26"/>
        <v>-21</v>
      </c>
      <c r="BD33" s="70">
        <f t="shared" si="26"/>
        <v>-73</v>
      </c>
      <c r="BE33" s="70">
        <f t="shared" si="26"/>
        <v>-123</v>
      </c>
      <c r="BF33" s="242">
        <f t="shared" si="26"/>
        <v>-107</v>
      </c>
      <c r="BG33" s="242">
        <f t="shared" si="27"/>
        <v>-118</v>
      </c>
      <c r="BH33" s="242">
        <f t="shared" si="27"/>
        <v>-76</v>
      </c>
      <c r="BI33" s="242">
        <f t="shared" si="27"/>
        <v>-49</v>
      </c>
      <c r="BJ33" s="242">
        <f t="shared" si="27"/>
        <v>106</v>
      </c>
      <c r="BK33" s="242">
        <f t="shared" si="27"/>
        <v>276</v>
      </c>
      <c r="BL33" s="242">
        <f t="shared" si="27"/>
        <v>116</v>
      </c>
      <c r="BM33" s="242">
        <f t="shared" si="27"/>
        <v>121</v>
      </c>
      <c r="BN33" s="242">
        <f t="shared" si="27"/>
        <v>-18</v>
      </c>
      <c r="BO33" s="242">
        <f t="shared" si="27"/>
        <v>-2</v>
      </c>
      <c r="BP33" s="242">
        <f t="shared" si="27"/>
        <v>-11</v>
      </c>
      <c r="BQ33" s="242">
        <f t="shared" si="28"/>
        <v>108</v>
      </c>
      <c r="BR33" s="242">
        <f t="shared" si="28"/>
        <v>66</v>
      </c>
    </row>
    <row r="34" spans="1:70" x14ac:dyDescent="0.25">
      <c r="A34" s="4"/>
      <c r="B34" s="35" t="s">
        <v>39</v>
      </c>
      <c r="C34" s="131">
        <v>8</v>
      </c>
      <c r="D34" s="71">
        <v>14</v>
      </c>
      <c r="E34" s="71">
        <v>16</v>
      </c>
      <c r="F34" s="71">
        <v>21</v>
      </c>
      <c r="G34" s="71">
        <v>20</v>
      </c>
      <c r="H34" s="71">
        <v>23</v>
      </c>
      <c r="I34" s="71">
        <v>18</v>
      </c>
      <c r="J34" s="71">
        <v>17</v>
      </c>
      <c r="K34" s="71">
        <v>22</v>
      </c>
      <c r="L34" s="162">
        <v>11</v>
      </c>
      <c r="M34" s="71">
        <v>8</v>
      </c>
      <c r="N34" s="71">
        <v>12</v>
      </c>
      <c r="O34" s="71">
        <v>20</v>
      </c>
      <c r="P34" s="71">
        <v>49</v>
      </c>
      <c r="Q34" s="71">
        <v>52</v>
      </c>
      <c r="R34" s="71">
        <v>47</v>
      </c>
      <c r="S34" s="71">
        <v>40</v>
      </c>
      <c r="T34" s="71">
        <v>40</v>
      </c>
      <c r="U34" s="71">
        <v>37</v>
      </c>
      <c r="V34" s="71">
        <v>33</v>
      </c>
      <c r="W34" s="71">
        <v>34</v>
      </c>
      <c r="X34" s="162">
        <v>27</v>
      </c>
      <c r="Y34" s="71">
        <v>29</v>
      </c>
      <c r="Z34" s="71">
        <v>36</v>
      </c>
      <c r="AA34" s="71">
        <v>28</v>
      </c>
      <c r="AB34" s="71">
        <v>29</v>
      </c>
      <c r="AC34" s="224">
        <v>18</v>
      </c>
      <c r="AD34" s="224">
        <f>9+5+20</f>
        <v>34</v>
      </c>
      <c r="AE34" s="224">
        <v>19</v>
      </c>
      <c r="AF34" s="747">
        <v>26</v>
      </c>
      <c r="AG34" s="747">
        <v>23</v>
      </c>
      <c r="AH34" s="747">
        <v>23</v>
      </c>
      <c r="AI34" s="747">
        <f>6+5+6+2</f>
        <v>19</v>
      </c>
      <c r="AJ34" s="867">
        <v>18</v>
      </c>
      <c r="AK34" s="747">
        <v>12</v>
      </c>
      <c r="AL34" s="747">
        <v>13</v>
      </c>
      <c r="AM34" s="747">
        <v>10</v>
      </c>
      <c r="AN34" s="747">
        <f>5+3+12+7</f>
        <v>27</v>
      </c>
      <c r="AO34" s="747">
        <f>15+9+15+3</f>
        <v>42</v>
      </c>
      <c r="AP34" s="747">
        <f>18+9+6+4</f>
        <v>37</v>
      </c>
      <c r="AQ34" s="747">
        <f>SUM(17+5+3+4)</f>
        <v>29</v>
      </c>
      <c r="AR34" s="747">
        <f>12+7+5+3</f>
        <v>27</v>
      </c>
      <c r="AS34" s="747"/>
      <c r="AT34" s="747"/>
      <c r="AU34" s="747"/>
      <c r="AV34" s="747"/>
      <c r="AW34" s="71">
        <f t="shared" si="26"/>
        <v>-12</v>
      </c>
      <c r="AX34" s="71">
        <f t="shared" si="26"/>
        <v>-35</v>
      </c>
      <c r="AY34" s="71">
        <f t="shared" si="26"/>
        <v>-36</v>
      </c>
      <c r="AZ34" s="71">
        <f t="shared" si="26"/>
        <v>-26</v>
      </c>
      <c r="BA34" s="71">
        <f t="shared" si="26"/>
        <v>-20</v>
      </c>
      <c r="BB34" s="71">
        <f t="shared" si="26"/>
        <v>-17</v>
      </c>
      <c r="BC34" s="70">
        <f t="shared" si="26"/>
        <v>-19</v>
      </c>
      <c r="BD34" s="70">
        <f t="shared" si="26"/>
        <v>-16</v>
      </c>
      <c r="BE34" s="70">
        <f t="shared" si="26"/>
        <v>-12</v>
      </c>
      <c r="BF34" s="242">
        <f t="shared" si="26"/>
        <v>-16</v>
      </c>
      <c r="BG34" s="242">
        <f t="shared" si="27"/>
        <v>-21</v>
      </c>
      <c r="BH34" s="242">
        <f t="shared" si="27"/>
        <v>-24</v>
      </c>
      <c r="BI34" s="242">
        <f t="shared" si="27"/>
        <v>-8</v>
      </c>
      <c r="BJ34" s="242">
        <f t="shared" si="27"/>
        <v>20</v>
      </c>
      <c r="BK34" s="242">
        <f t="shared" si="27"/>
        <v>34</v>
      </c>
      <c r="BL34" s="242">
        <f t="shared" si="27"/>
        <v>13</v>
      </c>
      <c r="BM34" s="242">
        <f t="shared" si="27"/>
        <v>21</v>
      </c>
      <c r="BN34" s="242">
        <f t="shared" si="27"/>
        <v>14</v>
      </c>
      <c r="BO34" s="242">
        <f t="shared" si="27"/>
        <v>14</v>
      </c>
      <c r="BP34" s="242">
        <f t="shared" si="27"/>
        <v>10</v>
      </c>
      <c r="BQ34" s="242">
        <f t="shared" si="28"/>
        <v>15</v>
      </c>
      <c r="BR34" s="242">
        <f t="shared" si="28"/>
        <v>9</v>
      </c>
    </row>
    <row r="35" spans="1:70" x14ac:dyDescent="0.25">
      <c r="A35" s="4"/>
      <c r="B35" s="35" t="s">
        <v>40</v>
      </c>
      <c r="C35" s="131">
        <v>0</v>
      </c>
      <c r="D35" s="71">
        <v>0</v>
      </c>
      <c r="E35" s="71">
        <v>0</v>
      </c>
      <c r="F35" s="71">
        <v>0</v>
      </c>
      <c r="G35" s="71">
        <v>0</v>
      </c>
      <c r="H35" s="71">
        <v>0</v>
      </c>
      <c r="I35" s="71">
        <v>1</v>
      </c>
      <c r="J35" s="71">
        <v>0</v>
      </c>
      <c r="K35" s="71">
        <v>1</v>
      </c>
      <c r="L35" s="162">
        <v>0</v>
      </c>
      <c r="M35" s="71">
        <v>1</v>
      </c>
      <c r="N35" s="71">
        <v>1</v>
      </c>
      <c r="O35" s="71">
        <v>0</v>
      </c>
      <c r="P35" s="71">
        <v>0</v>
      </c>
      <c r="Q35" s="71">
        <v>3</v>
      </c>
      <c r="R35" s="71">
        <v>4</v>
      </c>
      <c r="S35" s="71">
        <v>1</v>
      </c>
      <c r="T35" s="71">
        <v>2</v>
      </c>
      <c r="U35" s="71">
        <v>1</v>
      </c>
      <c r="V35" s="71">
        <v>1</v>
      </c>
      <c r="W35" s="71">
        <v>1</v>
      </c>
      <c r="X35" s="162">
        <v>0</v>
      </c>
      <c r="Y35" s="71">
        <v>1</v>
      </c>
      <c r="Z35" s="71">
        <v>0</v>
      </c>
      <c r="AA35" s="71">
        <v>0</v>
      </c>
      <c r="AB35" s="71">
        <v>0</v>
      </c>
      <c r="AC35" s="224">
        <v>1</v>
      </c>
      <c r="AD35" s="224">
        <v>1</v>
      </c>
      <c r="AE35" s="224">
        <v>1</v>
      </c>
      <c r="AF35" s="747">
        <v>1</v>
      </c>
      <c r="AG35" s="747">
        <v>2</v>
      </c>
      <c r="AH35" s="747">
        <v>1</v>
      </c>
      <c r="AI35" s="747">
        <f>1</f>
        <v>1</v>
      </c>
      <c r="AJ35" s="867">
        <v>1</v>
      </c>
      <c r="AK35" s="747">
        <v>1</v>
      </c>
      <c r="AL35" s="747">
        <v>1</v>
      </c>
      <c r="AM35" s="747">
        <v>0</v>
      </c>
      <c r="AN35" s="747">
        <v>1</v>
      </c>
      <c r="AO35" s="747">
        <v>0</v>
      </c>
      <c r="AP35" s="747">
        <v>0</v>
      </c>
      <c r="AQ35" s="747">
        <v>0</v>
      </c>
      <c r="AR35" s="747">
        <v>0</v>
      </c>
      <c r="AS35" s="747"/>
      <c r="AT35" s="747"/>
      <c r="AU35" s="747"/>
      <c r="AV35" s="747"/>
      <c r="AW35" s="71">
        <f t="shared" si="26"/>
        <v>0</v>
      </c>
      <c r="AX35" s="71">
        <f t="shared" si="26"/>
        <v>0</v>
      </c>
      <c r="AY35" s="71">
        <f t="shared" si="26"/>
        <v>-3</v>
      </c>
      <c r="AZ35" s="71">
        <f t="shared" si="26"/>
        <v>-4</v>
      </c>
      <c r="BA35" s="71">
        <f t="shared" si="26"/>
        <v>-1</v>
      </c>
      <c r="BB35" s="71">
        <f t="shared" si="26"/>
        <v>-2</v>
      </c>
      <c r="BC35" s="70">
        <f t="shared" si="26"/>
        <v>0</v>
      </c>
      <c r="BD35" s="70">
        <f t="shared" si="26"/>
        <v>-1</v>
      </c>
      <c r="BE35" s="70">
        <f t="shared" si="26"/>
        <v>0</v>
      </c>
      <c r="BF35" s="242">
        <f t="shared" si="26"/>
        <v>0</v>
      </c>
      <c r="BG35" s="242">
        <f t="shared" si="27"/>
        <v>0</v>
      </c>
      <c r="BH35" s="242">
        <f t="shared" si="27"/>
        <v>1</v>
      </c>
      <c r="BI35" s="242">
        <f t="shared" si="27"/>
        <v>0</v>
      </c>
      <c r="BJ35" s="242">
        <f t="shared" si="27"/>
        <v>0</v>
      </c>
      <c r="BK35" s="242">
        <f t="shared" si="27"/>
        <v>2</v>
      </c>
      <c r="BL35" s="242">
        <f t="shared" si="27"/>
        <v>3</v>
      </c>
      <c r="BM35" s="242">
        <f t="shared" si="27"/>
        <v>0</v>
      </c>
      <c r="BN35" s="242">
        <f t="shared" si="27"/>
        <v>1</v>
      </c>
      <c r="BO35" s="242">
        <f t="shared" si="27"/>
        <v>-1</v>
      </c>
      <c r="BP35" s="242">
        <f t="shared" si="27"/>
        <v>0</v>
      </c>
      <c r="BQ35" s="242">
        <f t="shared" si="28"/>
        <v>0</v>
      </c>
      <c r="BR35" s="242">
        <f t="shared" si="28"/>
        <v>-1</v>
      </c>
    </row>
    <row r="36" spans="1:70" x14ac:dyDescent="0.25">
      <c r="A36" s="4"/>
      <c r="B36" s="35" t="s">
        <v>41</v>
      </c>
      <c r="C36" s="131">
        <f t="shared" ref="C36:AF36" si="29">SUM(C31:C35)</f>
        <v>7919</v>
      </c>
      <c r="D36" s="71">
        <f t="shared" si="29"/>
        <v>9129</v>
      </c>
      <c r="E36" s="71">
        <f t="shared" si="29"/>
        <v>9359</v>
      </c>
      <c r="F36" s="71">
        <f t="shared" si="29"/>
        <v>11166</v>
      </c>
      <c r="G36" s="71">
        <f t="shared" si="29"/>
        <v>12015</v>
      </c>
      <c r="H36" s="71">
        <f t="shared" si="29"/>
        <v>12307</v>
      </c>
      <c r="I36" s="71">
        <f t="shared" si="29"/>
        <v>12126</v>
      </c>
      <c r="J36" s="71">
        <f t="shared" si="29"/>
        <v>11497</v>
      </c>
      <c r="K36" s="71">
        <f t="shared" si="29"/>
        <v>11283</v>
      </c>
      <c r="L36" s="162">
        <f t="shared" si="29"/>
        <v>10017</v>
      </c>
      <c r="M36" s="71">
        <f t="shared" si="29"/>
        <v>8779</v>
      </c>
      <c r="N36" s="71">
        <f t="shared" si="29"/>
        <v>8825</v>
      </c>
      <c r="O36" s="71">
        <f t="shared" si="29"/>
        <v>9820</v>
      </c>
      <c r="P36" s="71">
        <f t="shared" si="29"/>
        <v>11091</v>
      </c>
      <c r="Q36" s="71">
        <f t="shared" si="29"/>
        <v>11872</v>
      </c>
      <c r="R36" s="71">
        <f t="shared" si="29"/>
        <v>11054</v>
      </c>
      <c r="S36" s="71">
        <f t="shared" si="29"/>
        <v>12310</v>
      </c>
      <c r="T36" s="71">
        <f t="shared" si="29"/>
        <v>12335</v>
      </c>
      <c r="U36" s="172">
        <f t="shared" si="29"/>
        <v>12985</v>
      </c>
      <c r="V36" s="172">
        <f t="shared" si="29"/>
        <v>12699</v>
      </c>
      <c r="W36" s="172">
        <f t="shared" si="29"/>
        <v>12825</v>
      </c>
      <c r="X36" s="162">
        <f t="shared" si="29"/>
        <v>12713</v>
      </c>
      <c r="Y36" s="162">
        <f t="shared" si="29"/>
        <v>12730</v>
      </c>
      <c r="Z36" s="162">
        <f t="shared" si="29"/>
        <v>11909</v>
      </c>
      <c r="AA36" s="162">
        <f t="shared" si="29"/>
        <v>12455</v>
      </c>
      <c r="AB36" s="162">
        <f t="shared" si="29"/>
        <v>12328</v>
      </c>
      <c r="AC36" s="162">
        <f t="shared" si="29"/>
        <v>9623</v>
      </c>
      <c r="AD36" s="251">
        <f t="shared" si="29"/>
        <v>9707</v>
      </c>
      <c r="AE36" s="251">
        <f t="shared" si="29"/>
        <v>8827</v>
      </c>
      <c r="AF36" s="251">
        <f t="shared" si="29"/>
        <v>11947</v>
      </c>
      <c r="AG36" s="251">
        <f t="shared" ref="AG36:AN36" si="30">SUM(AG31:AG35)</f>
        <v>12112</v>
      </c>
      <c r="AH36" s="251">
        <f t="shared" si="30"/>
        <v>10521</v>
      </c>
      <c r="AI36" s="251">
        <f t="shared" si="30"/>
        <v>8074</v>
      </c>
      <c r="AJ36" s="172">
        <f t="shared" si="30"/>
        <v>8674</v>
      </c>
      <c r="AK36" s="251">
        <f t="shared" si="30"/>
        <v>8387</v>
      </c>
      <c r="AL36" s="251">
        <f t="shared" si="30"/>
        <v>7801</v>
      </c>
      <c r="AM36" s="251">
        <f t="shared" si="30"/>
        <v>7351</v>
      </c>
      <c r="AN36" s="251">
        <f t="shared" si="30"/>
        <v>8924</v>
      </c>
      <c r="AO36" s="251">
        <f>SUM(AO31:AO35)</f>
        <v>15918</v>
      </c>
      <c r="AP36" s="251">
        <f>SUM(AP31:AP35)</f>
        <v>13680</v>
      </c>
      <c r="AQ36" s="251">
        <f>SUM(AQ31:AQ35)</f>
        <v>12815</v>
      </c>
      <c r="AR36" s="251">
        <f>SUM(AR31:AR35)</f>
        <v>10196</v>
      </c>
      <c r="AS36" s="251"/>
      <c r="AT36" s="251"/>
      <c r="AU36" s="251"/>
      <c r="AV36" s="251"/>
      <c r="AW36" s="71">
        <f t="shared" ref="AW36:BF36" si="31">SUM(AW31:AW35)</f>
        <v>-1901</v>
      </c>
      <c r="AX36" s="71">
        <f t="shared" si="31"/>
        <v>-1962</v>
      </c>
      <c r="AY36" s="71">
        <f t="shared" si="31"/>
        <v>-2513</v>
      </c>
      <c r="AZ36" s="71">
        <f t="shared" si="31"/>
        <v>112</v>
      </c>
      <c r="BA36" s="71">
        <f t="shared" si="31"/>
        <v>-295</v>
      </c>
      <c r="BB36" s="71">
        <f t="shared" si="31"/>
        <v>-28</v>
      </c>
      <c r="BC36" s="70">
        <f t="shared" si="31"/>
        <v>-859</v>
      </c>
      <c r="BD36" s="70">
        <f t="shared" si="31"/>
        <v>-1202</v>
      </c>
      <c r="BE36" s="70">
        <f t="shared" si="31"/>
        <v>-1542</v>
      </c>
      <c r="BF36" s="242">
        <f t="shared" si="31"/>
        <v>-2696</v>
      </c>
      <c r="BG36" s="242">
        <f t="shared" ref="BG36:BR36" si="32">M36-Y36</f>
        <v>-3951</v>
      </c>
      <c r="BH36" s="242">
        <f t="shared" si="32"/>
        <v>-3084</v>
      </c>
      <c r="BI36" s="242">
        <f t="shared" si="32"/>
        <v>-2635</v>
      </c>
      <c r="BJ36" s="242">
        <f t="shared" si="32"/>
        <v>-1237</v>
      </c>
      <c r="BK36" s="242">
        <f t="shared" si="32"/>
        <v>2249</v>
      </c>
      <c r="BL36" s="242">
        <f t="shared" si="32"/>
        <v>1347</v>
      </c>
      <c r="BM36" s="242">
        <f t="shared" si="32"/>
        <v>3483</v>
      </c>
      <c r="BN36" s="242">
        <f t="shared" si="32"/>
        <v>388</v>
      </c>
      <c r="BO36" s="242">
        <f t="shared" si="32"/>
        <v>873</v>
      </c>
      <c r="BP36" s="242">
        <f t="shared" si="32"/>
        <v>2178</v>
      </c>
      <c r="BQ36" s="242">
        <f t="shared" si="32"/>
        <v>4751</v>
      </c>
      <c r="BR36" s="242">
        <f t="shared" si="32"/>
        <v>4039</v>
      </c>
    </row>
    <row r="37" spans="1:70" x14ac:dyDescent="0.25">
      <c r="A37" s="4">
        <f>+A30+1</f>
        <v>5</v>
      </c>
      <c r="B37" s="42" t="s">
        <v>23</v>
      </c>
      <c r="C37" s="131"/>
      <c r="D37" s="71"/>
      <c r="E37" s="71"/>
      <c r="F37" s="71"/>
      <c r="G37" s="71"/>
      <c r="H37" s="71"/>
      <c r="I37" s="71"/>
      <c r="J37" s="71"/>
      <c r="K37" s="71"/>
      <c r="L37" s="162"/>
      <c r="M37" s="71"/>
      <c r="N37" s="71"/>
      <c r="O37" s="71"/>
      <c r="P37" s="71"/>
      <c r="Q37" s="71"/>
      <c r="R37" s="71"/>
      <c r="S37" s="71"/>
      <c r="T37" s="71"/>
      <c r="U37" s="172"/>
      <c r="V37" s="251"/>
      <c r="W37" s="251"/>
      <c r="X37" s="162"/>
      <c r="Y37" s="251"/>
      <c r="Z37" s="251"/>
      <c r="AA37" s="251"/>
      <c r="AB37" s="251"/>
      <c r="AC37" s="162"/>
      <c r="AD37" s="224"/>
      <c r="AE37" s="224"/>
      <c r="AF37" s="747"/>
      <c r="AG37" s="747"/>
      <c r="AH37" s="747"/>
      <c r="AI37" s="747"/>
      <c r="AJ37" s="867"/>
      <c r="AK37" s="747"/>
      <c r="AL37" s="747"/>
      <c r="AM37" s="747"/>
      <c r="AN37" s="747"/>
      <c r="AO37" s="747"/>
      <c r="AP37" s="747"/>
      <c r="AQ37" s="747"/>
      <c r="AR37" s="747"/>
      <c r="AS37" s="747"/>
      <c r="AT37" s="747"/>
      <c r="AU37" s="747"/>
      <c r="AV37" s="747"/>
      <c r="AW37" s="71"/>
      <c r="AX37" s="71"/>
      <c r="AY37" s="71"/>
      <c r="AZ37" s="71"/>
      <c r="BA37" s="71"/>
      <c r="BB37" s="71"/>
      <c r="BC37" s="70"/>
      <c r="BD37" s="313"/>
      <c r="BE37" s="313"/>
      <c r="BF37" s="313"/>
      <c r="BG37" s="403"/>
      <c r="BH37" s="69"/>
      <c r="BI37" s="171"/>
      <c r="BJ37" s="171"/>
      <c r="BK37" s="171"/>
      <c r="BL37" s="171"/>
      <c r="BM37" s="171"/>
      <c r="BN37" s="171"/>
      <c r="BO37" s="171"/>
      <c r="BP37" s="171"/>
      <c r="BQ37" s="171"/>
      <c r="BR37" s="171"/>
    </row>
    <row r="38" spans="1:70" x14ac:dyDescent="0.25">
      <c r="A38" s="4"/>
      <c r="B38" s="35" t="s">
        <v>36</v>
      </c>
      <c r="C38" s="131">
        <v>3667</v>
      </c>
      <c r="D38" s="71">
        <v>3500</v>
      </c>
      <c r="E38" s="71">
        <v>3951</v>
      </c>
      <c r="F38" s="71">
        <v>5033</v>
      </c>
      <c r="G38" s="71">
        <v>6056</v>
      </c>
      <c r="H38" s="71">
        <v>6331</v>
      </c>
      <c r="I38" s="71">
        <v>6164</v>
      </c>
      <c r="J38" s="71">
        <v>5868</v>
      </c>
      <c r="K38" s="71">
        <v>5709</v>
      </c>
      <c r="L38" s="162">
        <v>5403</v>
      </c>
      <c r="M38" s="71">
        <v>4593</v>
      </c>
      <c r="N38" s="71">
        <v>3723</v>
      </c>
      <c r="O38" s="71">
        <v>3891</v>
      </c>
      <c r="P38" s="71">
        <v>5009</v>
      </c>
      <c r="Q38" s="71">
        <v>5980</v>
      </c>
      <c r="R38" s="71">
        <v>7051</v>
      </c>
      <c r="S38" s="71">
        <v>7183</v>
      </c>
      <c r="T38" s="71">
        <v>7761</v>
      </c>
      <c r="U38" s="71">
        <v>7602</v>
      </c>
      <c r="V38" s="71">
        <v>7307</v>
      </c>
      <c r="W38" s="71">
        <f>7396+16</f>
        <v>7412</v>
      </c>
      <c r="X38" s="162">
        <f>7227+5</f>
        <v>7232</v>
      </c>
      <c r="Y38" s="71">
        <f>7252+4</f>
        <v>7256</v>
      </c>
      <c r="Z38" s="71">
        <f>7185</f>
        <v>7185</v>
      </c>
      <c r="AA38" s="71">
        <v>6968</v>
      </c>
      <c r="AB38" s="71">
        <v>7440</v>
      </c>
      <c r="AC38" s="224">
        <v>6312</v>
      </c>
      <c r="AD38" s="224">
        <f>298+5326+4</f>
        <v>5628</v>
      </c>
      <c r="AE38" s="224">
        <v>6533</v>
      </c>
      <c r="AF38" s="747">
        <v>6426</v>
      </c>
      <c r="AG38" s="747">
        <f>325+5952+8</f>
        <v>6285</v>
      </c>
      <c r="AH38" s="747">
        <v>6614</v>
      </c>
      <c r="AI38" s="747">
        <f>303+6144+6</f>
        <v>6453</v>
      </c>
      <c r="AJ38" s="867">
        <f>310+6047+5</f>
        <v>6362</v>
      </c>
      <c r="AK38" s="747">
        <f>344+5692</f>
        <v>6036</v>
      </c>
      <c r="AL38" s="747">
        <f>340+5287</f>
        <v>5627</v>
      </c>
      <c r="AM38" s="747">
        <f>329+4769</f>
        <v>5098</v>
      </c>
      <c r="AN38" s="747">
        <f>319+4474</f>
        <v>4793</v>
      </c>
      <c r="AO38" s="747">
        <f>1412+23124+60</f>
        <v>24596</v>
      </c>
      <c r="AP38" s="747">
        <f>385+343+415+255+7121+5766+6570+4065</f>
        <v>24920</v>
      </c>
      <c r="AQ38" s="747">
        <f>SUM(1401+24009+2)</f>
        <v>25412</v>
      </c>
      <c r="AR38" s="747">
        <f>1345+24179+3</f>
        <v>25527</v>
      </c>
      <c r="AS38" s="747"/>
      <c r="AT38" s="747"/>
      <c r="AU38" s="747"/>
      <c r="AV38" s="747"/>
      <c r="AW38" s="71">
        <f t="shared" ref="AW38:BF39" si="33">C38-O38</f>
        <v>-224</v>
      </c>
      <c r="AX38" s="71">
        <f t="shared" si="33"/>
        <v>-1509</v>
      </c>
      <c r="AY38" s="71">
        <f t="shared" si="33"/>
        <v>-2029</v>
      </c>
      <c r="AZ38" s="71">
        <f t="shared" si="33"/>
        <v>-2018</v>
      </c>
      <c r="BA38" s="71">
        <f t="shared" si="33"/>
        <v>-1127</v>
      </c>
      <c r="BB38" s="71">
        <f t="shared" si="33"/>
        <v>-1430</v>
      </c>
      <c r="BC38" s="70">
        <f t="shared" si="33"/>
        <v>-1438</v>
      </c>
      <c r="BD38" s="70">
        <f t="shared" si="33"/>
        <v>-1439</v>
      </c>
      <c r="BE38" s="70">
        <f t="shared" si="33"/>
        <v>-1703</v>
      </c>
      <c r="BF38" s="242">
        <f t="shared" si="33"/>
        <v>-1829</v>
      </c>
      <c r="BG38" s="242">
        <f t="shared" ref="BG38:BP39" si="34">M38-Y38</f>
        <v>-2663</v>
      </c>
      <c r="BH38" s="242">
        <f t="shared" si="34"/>
        <v>-3462</v>
      </c>
      <c r="BI38" s="242">
        <f t="shared" si="34"/>
        <v>-3077</v>
      </c>
      <c r="BJ38" s="242">
        <f t="shared" si="34"/>
        <v>-2431</v>
      </c>
      <c r="BK38" s="242">
        <f t="shared" si="34"/>
        <v>-332</v>
      </c>
      <c r="BL38" s="242">
        <f t="shared" si="34"/>
        <v>1423</v>
      </c>
      <c r="BM38" s="242">
        <f t="shared" si="34"/>
        <v>650</v>
      </c>
      <c r="BN38" s="242">
        <f t="shared" si="34"/>
        <v>1335</v>
      </c>
      <c r="BO38" s="242">
        <f t="shared" si="34"/>
        <v>1317</v>
      </c>
      <c r="BP38" s="242">
        <f t="shared" si="34"/>
        <v>693</v>
      </c>
      <c r="BQ38" s="242">
        <f t="shared" ref="BQ38:BR39" si="35">W38-AI38</f>
        <v>959</v>
      </c>
      <c r="BR38" s="242">
        <f t="shared" si="35"/>
        <v>870</v>
      </c>
    </row>
    <row r="39" spans="1:70" x14ac:dyDescent="0.25">
      <c r="A39" s="4"/>
      <c r="B39" s="35" t="s">
        <v>37</v>
      </c>
      <c r="C39" s="131">
        <v>2373</v>
      </c>
      <c r="D39" s="71">
        <v>1959</v>
      </c>
      <c r="E39" s="71">
        <v>1660</v>
      </c>
      <c r="F39" s="71">
        <v>2110</v>
      </c>
      <c r="G39" s="71">
        <v>2505</v>
      </c>
      <c r="H39" s="71">
        <v>3908</v>
      </c>
      <c r="I39" s="71">
        <v>3978</v>
      </c>
      <c r="J39" s="71">
        <v>3934</v>
      </c>
      <c r="K39" s="71">
        <v>3764</v>
      </c>
      <c r="L39" s="162">
        <v>3013</v>
      </c>
      <c r="M39" s="71">
        <v>2380</v>
      </c>
      <c r="N39" s="71">
        <v>2273</v>
      </c>
      <c r="O39" s="71">
        <v>2122</v>
      </c>
      <c r="P39" s="71">
        <v>2311</v>
      </c>
      <c r="Q39" s="71">
        <v>2316</v>
      </c>
      <c r="R39" s="71">
        <v>1208</v>
      </c>
      <c r="S39" s="71">
        <v>1126</v>
      </c>
      <c r="T39" s="71">
        <v>2721</v>
      </c>
      <c r="U39" s="71">
        <v>3075</v>
      </c>
      <c r="V39" s="71">
        <v>3331</v>
      </c>
      <c r="W39" s="71">
        <v>3647</v>
      </c>
      <c r="X39" s="162">
        <v>3528</v>
      </c>
      <c r="Y39" s="71">
        <v>3651</v>
      </c>
      <c r="Z39" s="71">
        <v>3686</v>
      </c>
      <c r="AA39" s="71">
        <v>3221</v>
      </c>
      <c r="AB39" s="71">
        <v>3019</v>
      </c>
      <c r="AC39" s="224">
        <v>1539</v>
      </c>
      <c r="AD39" s="224">
        <f>70+2638</f>
        <v>2708</v>
      </c>
      <c r="AE39" s="224">
        <v>2593</v>
      </c>
      <c r="AF39" s="747">
        <v>2651</v>
      </c>
      <c r="AG39" s="747">
        <f>53+3421</f>
        <v>3474</v>
      </c>
      <c r="AH39" s="747">
        <v>2556</v>
      </c>
      <c r="AI39" s="747">
        <f>47+1860</f>
        <v>1907</v>
      </c>
      <c r="AJ39" s="867">
        <f>59+1956</f>
        <v>2015</v>
      </c>
      <c r="AK39" s="747">
        <f>70+1917</f>
        <v>1987</v>
      </c>
      <c r="AL39" s="747">
        <f>69+1862</f>
        <v>1931</v>
      </c>
      <c r="AM39" s="747">
        <f>66+1842</f>
        <v>1908</v>
      </c>
      <c r="AN39" s="747">
        <f>64+1677</f>
        <v>1741</v>
      </c>
      <c r="AO39" s="747">
        <f>245+8361+1</f>
        <v>8607</v>
      </c>
      <c r="AP39" s="747">
        <f>84+73+65+32+2484+2060+1670+826</f>
        <v>7294</v>
      </c>
      <c r="AQ39" s="747">
        <f>SUM(252+7202+1)</f>
        <v>7455</v>
      </c>
      <c r="AR39" s="747">
        <f>261+7560+1</f>
        <v>7822</v>
      </c>
      <c r="AS39" s="747"/>
      <c r="AT39" s="747"/>
      <c r="AU39" s="747"/>
      <c r="AV39" s="747"/>
      <c r="AW39" s="71">
        <f t="shared" si="33"/>
        <v>251</v>
      </c>
      <c r="AX39" s="71">
        <f t="shared" si="33"/>
        <v>-352</v>
      </c>
      <c r="AY39" s="71">
        <f t="shared" si="33"/>
        <v>-656</v>
      </c>
      <c r="AZ39" s="71">
        <f t="shared" si="33"/>
        <v>902</v>
      </c>
      <c r="BA39" s="71">
        <f t="shared" si="33"/>
        <v>1379</v>
      </c>
      <c r="BB39" s="71">
        <f t="shared" si="33"/>
        <v>1187</v>
      </c>
      <c r="BC39" s="70">
        <f t="shared" si="33"/>
        <v>903</v>
      </c>
      <c r="BD39" s="70">
        <f t="shared" si="33"/>
        <v>603</v>
      </c>
      <c r="BE39" s="70">
        <f t="shared" si="33"/>
        <v>117</v>
      </c>
      <c r="BF39" s="242">
        <f t="shared" si="33"/>
        <v>-515</v>
      </c>
      <c r="BG39" s="242">
        <f t="shared" si="34"/>
        <v>-1271</v>
      </c>
      <c r="BH39" s="242">
        <f t="shared" si="34"/>
        <v>-1413</v>
      </c>
      <c r="BI39" s="242">
        <f t="shared" si="34"/>
        <v>-1099</v>
      </c>
      <c r="BJ39" s="242">
        <f t="shared" si="34"/>
        <v>-708</v>
      </c>
      <c r="BK39" s="242">
        <f t="shared" si="34"/>
        <v>777</v>
      </c>
      <c r="BL39" s="242">
        <f t="shared" si="34"/>
        <v>-1500</v>
      </c>
      <c r="BM39" s="242">
        <f t="shared" si="34"/>
        <v>-1467</v>
      </c>
      <c r="BN39" s="242">
        <f t="shared" si="34"/>
        <v>70</v>
      </c>
      <c r="BO39" s="242">
        <f t="shared" si="34"/>
        <v>-399</v>
      </c>
      <c r="BP39" s="242">
        <f t="shared" si="34"/>
        <v>775</v>
      </c>
      <c r="BQ39" s="242">
        <f t="shared" si="35"/>
        <v>1740</v>
      </c>
      <c r="BR39" s="242">
        <f t="shared" si="35"/>
        <v>1513</v>
      </c>
    </row>
    <row r="40" spans="1:70" x14ac:dyDescent="0.25">
      <c r="A40" s="4"/>
      <c r="B40" s="35" t="s">
        <v>38</v>
      </c>
      <c r="C40" s="203">
        <v>93</v>
      </c>
      <c r="D40" s="71">
        <v>106</v>
      </c>
      <c r="E40" s="71">
        <v>146</v>
      </c>
      <c r="F40" s="71">
        <v>157</v>
      </c>
      <c r="G40" s="71">
        <v>186</v>
      </c>
      <c r="H40" s="71">
        <v>205</v>
      </c>
      <c r="I40" s="71">
        <v>203</v>
      </c>
      <c r="J40" s="71">
        <v>153</v>
      </c>
      <c r="K40" s="71">
        <v>160</v>
      </c>
      <c r="L40" s="162">
        <v>153</v>
      </c>
      <c r="M40" s="71">
        <v>165</v>
      </c>
      <c r="N40" s="71">
        <v>113</v>
      </c>
      <c r="O40" s="71">
        <v>128</v>
      </c>
      <c r="P40" s="71">
        <v>181</v>
      </c>
      <c r="Q40" s="71">
        <v>257</v>
      </c>
      <c r="R40" s="71">
        <v>275</v>
      </c>
      <c r="S40" s="71">
        <v>277</v>
      </c>
      <c r="T40" s="71">
        <v>249</v>
      </c>
      <c r="U40" s="71">
        <v>217</v>
      </c>
      <c r="V40" s="71">
        <v>212</v>
      </c>
      <c r="W40" s="71">
        <v>247</v>
      </c>
      <c r="X40" s="162">
        <v>274</v>
      </c>
      <c r="Y40" s="71">
        <v>265</v>
      </c>
      <c r="Z40" s="71">
        <v>220</v>
      </c>
      <c r="AA40" s="71">
        <v>201</v>
      </c>
      <c r="AB40" s="71">
        <v>219</v>
      </c>
      <c r="AC40" s="224">
        <v>151</v>
      </c>
      <c r="AD40" s="224">
        <f>142+26+2</f>
        <v>170</v>
      </c>
      <c r="AE40" s="224">
        <v>243</v>
      </c>
      <c r="AF40" s="747">
        <v>247</v>
      </c>
      <c r="AG40" s="747">
        <v>263</v>
      </c>
      <c r="AH40" s="747">
        <v>248</v>
      </c>
      <c r="AI40" s="747">
        <f>201+34+2</f>
        <v>237</v>
      </c>
      <c r="AJ40" s="867">
        <v>220</v>
      </c>
      <c r="AK40" s="747">
        <v>220</v>
      </c>
      <c r="AL40" s="747">
        <v>208</v>
      </c>
      <c r="AM40" s="747">
        <v>193</v>
      </c>
      <c r="AN40" s="747">
        <f>154+31+2</f>
        <v>187</v>
      </c>
      <c r="AO40" s="747">
        <f>1174+199+47+12</f>
        <v>1432</v>
      </c>
      <c r="AP40" s="747">
        <f>255+210+201+129+45+40+44+23+2+2+4</f>
        <v>955</v>
      </c>
      <c r="AQ40" s="747">
        <f>SUM(813+148+0+4)</f>
        <v>965</v>
      </c>
      <c r="AR40" s="747">
        <f>832+149+4</f>
        <v>985</v>
      </c>
      <c r="AS40" s="747"/>
      <c r="AT40" s="747"/>
      <c r="AU40" s="747"/>
      <c r="AV40" s="747"/>
      <c r="AW40" s="71">
        <f>C26-O40</f>
        <v>419</v>
      </c>
      <c r="AX40" s="71">
        <f t="shared" ref="AX40:BG42" si="36">D40-P40</f>
        <v>-75</v>
      </c>
      <c r="AY40" s="71">
        <f t="shared" si="36"/>
        <v>-111</v>
      </c>
      <c r="AZ40" s="71">
        <f t="shared" si="36"/>
        <v>-118</v>
      </c>
      <c r="BA40" s="71">
        <f t="shared" si="36"/>
        <v>-91</v>
      </c>
      <c r="BB40" s="71">
        <f t="shared" si="36"/>
        <v>-44</v>
      </c>
      <c r="BC40" s="70">
        <f t="shared" si="36"/>
        <v>-14</v>
      </c>
      <c r="BD40" s="70">
        <f t="shared" si="36"/>
        <v>-59</v>
      </c>
      <c r="BE40" s="70">
        <f t="shared" si="36"/>
        <v>-87</v>
      </c>
      <c r="BF40" s="242">
        <f t="shared" si="36"/>
        <v>-121</v>
      </c>
      <c r="BG40" s="242">
        <f t="shared" si="36"/>
        <v>-100</v>
      </c>
      <c r="BH40" s="242">
        <f t="shared" ref="BH40:BQ42" si="37">N40-Z40</f>
        <v>-107</v>
      </c>
      <c r="BI40" s="242">
        <f t="shared" si="37"/>
        <v>-73</v>
      </c>
      <c r="BJ40" s="242">
        <f t="shared" si="37"/>
        <v>-38</v>
      </c>
      <c r="BK40" s="242">
        <f t="shared" si="37"/>
        <v>106</v>
      </c>
      <c r="BL40" s="242">
        <f t="shared" si="37"/>
        <v>105</v>
      </c>
      <c r="BM40" s="242">
        <f t="shared" si="37"/>
        <v>34</v>
      </c>
      <c r="BN40" s="242">
        <f t="shared" si="37"/>
        <v>2</v>
      </c>
      <c r="BO40" s="242">
        <f t="shared" si="37"/>
        <v>-46</v>
      </c>
      <c r="BP40" s="242">
        <f t="shared" si="37"/>
        <v>-36</v>
      </c>
      <c r="BQ40" s="242">
        <f t="shared" si="37"/>
        <v>10</v>
      </c>
      <c r="BR40" s="242">
        <f t="shared" ref="BR40:BR42" si="38">X40-AJ40</f>
        <v>54</v>
      </c>
    </row>
    <row r="41" spans="1:70" x14ac:dyDescent="0.25">
      <c r="A41" s="4"/>
      <c r="B41" s="35" t="s">
        <v>39</v>
      </c>
      <c r="C41" s="203">
        <v>6</v>
      </c>
      <c r="D41" s="71">
        <v>6</v>
      </c>
      <c r="E41" s="71">
        <v>7</v>
      </c>
      <c r="F41" s="71">
        <v>9</v>
      </c>
      <c r="G41" s="71">
        <v>11</v>
      </c>
      <c r="H41" s="71">
        <v>15</v>
      </c>
      <c r="I41" s="71">
        <v>14</v>
      </c>
      <c r="J41" s="71">
        <v>12</v>
      </c>
      <c r="K41" s="71">
        <v>12</v>
      </c>
      <c r="L41" s="162">
        <v>6</v>
      </c>
      <c r="M41" s="71">
        <v>4</v>
      </c>
      <c r="N41" s="71">
        <v>3</v>
      </c>
      <c r="O41" s="71">
        <v>2</v>
      </c>
      <c r="P41" s="71">
        <v>16</v>
      </c>
      <c r="Q41" s="71">
        <v>29</v>
      </c>
      <c r="R41" s="71">
        <v>34</v>
      </c>
      <c r="S41" s="71">
        <v>37</v>
      </c>
      <c r="T41" s="71">
        <v>33</v>
      </c>
      <c r="U41" s="71">
        <v>31</v>
      </c>
      <c r="V41" s="71">
        <v>28</v>
      </c>
      <c r="W41" s="71">
        <v>24</v>
      </c>
      <c r="X41" s="162">
        <v>18</v>
      </c>
      <c r="Y41" s="71">
        <v>18</v>
      </c>
      <c r="Z41" s="71">
        <v>17</v>
      </c>
      <c r="AA41" s="71">
        <v>12</v>
      </c>
      <c r="AB41" s="71">
        <v>12</v>
      </c>
      <c r="AC41" s="224">
        <v>10</v>
      </c>
      <c r="AD41" s="224">
        <f>5+4+7</f>
        <v>16</v>
      </c>
      <c r="AE41" s="224">
        <v>13</v>
      </c>
      <c r="AF41" s="747">
        <v>19</v>
      </c>
      <c r="AG41" s="747">
        <v>18</v>
      </c>
      <c r="AH41" s="747">
        <v>24</v>
      </c>
      <c r="AI41" s="747">
        <f>6+4+5</f>
        <v>15</v>
      </c>
      <c r="AJ41" s="867">
        <v>15</v>
      </c>
      <c r="AK41" s="747">
        <v>10</v>
      </c>
      <c r="AL41" s="747">
        <v>9</v>
      </c>
      <c r="AM41" s="747">
        <v>7</v>
      </c>
      <c r="AN41" s="747">
        <f>3+3+2+1</f>
        <v>9</v>
      </c>
      <c r="AO41" s="747">
        <f>47+35+18+11</f>
        <v>111</v>
      </c>
      <c r="AP41" s="747">
        <f>7+9+4+1+6+5+4+1+5+7+4+3</f>
        <v>56</v>
      </c>
      <c r="AQ41" s="747">
        <f>SUM(19+11+4+7)</f>
        <v>41</v>
      </c>
      <c r="AR41" s="747">
        <f>30+16+7+9</f>
        <v>62</v>
      </c>
      <c r="AS41" s="747"/>
      <c r="AT41" s="747"/>
      <c r="AU41" s="747"/>
      <c r="AV41" s="747"/>
      <c r="AW41" s="71">
        <f>C27-O41</f>
        <v>61</v>
      </c>
      <c r="AX41" s="71">
        <f t="shared" si="36"/>
        <v>-10</v>
      </c>
      <c r="AY41" s="71">
        <f t="shared" si="36"/>
        <v>-22</v>
      </c>
      <c r="AZ41" s="71">
        <f t="shared" si="36"/>
        <v>-25</v>
      </c>
      <c r="BA41" s="71">
        <f t="shared" si="36"/>
        <v>-26</v>
      </c>
      <c r="BB41" s="71">
        <f t="shared" si="36"/>
        <v>-18</v>
      </c>
      <c r="BC41" s="70">
        <f t="shared" si="36"/>
        <v>-17</v>
      </c>
      <c r="BD41" s="70">
        <f t="shared" si="36"/>
        <v>-16</v>
      </c>
      <c r="BE41" s="70">
        <f t="shared" si="36"/>
        <v>-12</v>
      </c>
      <c r="BF41" s="242">
        <f t="shared" si="36"/>
        <v>-12</v>
      </c>
      <c r="BG41" s="242">
        <f t="shared" si="36"/>
        <v>-14</v>
      </c>
      <c r="BH41" s="242">
        <f t="shared" si="37"/>
        <v>-14</v>
      </c>
      <c r="BI41" s="242">
        <f t="shared" si="37"/>
        <v>-10</v>
      </c>
      <c r="BJ41" s="242">
        <f t="shared" si="37"/>
        <v>4</v>
      </c>
      <c r="BK41" s="242">
        <f t="shared" si="37"/>
        <v>19</v>
      </c>
      <c r="BL41" s="242">
        <f t="shared" si="37"/>
        <v>18</v>
      </c>
      <c r="BM41" s="242">
        <f t="shared" si="37"/>
        <v>24</v>
      </c>
      <c r="BN41" s="242">
        <f t="shared" si="37"/>
        <v>14</v>
      </c>
      <c r="BO41" s="242">
        <f t="shared" si="37"/>
        <v>13</v>
      </c>
      <c r="BP41" s="242">
        <f t="shared" si="37"/>
        <v>4</v>
      </c>
      <c r="BQ41" s="242">
        <f t="shared" si="37"/>
        <v>9</v>
      </c>
      <c r="BR41" s="242">
        <f t="shared" si="38"/>
        <v>3</v>
      </c>
    </row>
    <row r="42" spans="1:70" x14ac:dyDescent="0.25">
      <c r="A42" s="4"/>
      <c r="B42" s="35" t="s">
        <v>40</v>
      </c>
      <c r="C42" s="131">
        <v>0</v>
      </c>
      <c r="D42" s="71">
        <v>0</v>
      </c>
      <c r="E42" s="71">
        <v>0</v>
      </c>
      <c r="F42" s="71">
        <v>0</v>
      </c>
      <c r="G42" s="71">
        <v>0</v>
      </c>
      <c r="H42" s="71">
        <v>0</v>
      </c>
      <c r="I42" s="71">
        <v>0</v>
      </c>
      <c r="J42" s="71">
        <v>0</v>
      </c>
      <c r="K42" s="71">
        <v>0</v>
      </c>
      <c r="L42" s="162">
        <v>1</v>
      </c>
      <c r="M42" s="71">
        <v>1</v>
      </c>
      <c r="N42" s="71">
        <v>1</v>
      </c>
      <c r="O42" s="71">
        <v>0</v>
      </c>
      <c r="P42" s="71">
        <v>0</v>
      </c>
      <c r="Q42" s="71">
        <v>0</v>
      </c>
      <c r="R42" s="71">
        <v>2</v>
      </c>
      <c r="S42" s="71">
        <v>2</v>
      </c>
      <c r="T42" s="71">
        <v>1</v>
      </c>
      <c r="U42" s="71">
        <v>1</v>
      </c>
      <c r="V42" s="71">
        <v>1</v>
      </c>
      <c r="W42" s="71">
        <v>1</v>
      </c>
      <c r="X42" s="162">
        <v>0</v>
      </c>
      <c r="Y42" s="71">
        <v>0</v>
      </c>
      <c r="Z42" s="71">
        <v>0</v>
      </c>
      <c r="AA42" s="71">
        <v>0</v>
      </c>
      <c r="AB42" s="71">
        <v>0</v>
      </c>
      <c r="AC42" s="224">
        <v>0</v>
      </c>
      <c r="AD42" s="224">
        <v>0</v>
      </c>
      <c r="AE42" s="224">
        <v>1</v>
      </c>
      <c r="AF42" s="747">
        <v>1</v>
      </c>
      <c r="AG42" s="747">
        <v>1</v>
      </c>
      <c r="AH42" s="747">
        <v>1</v>
      </c>
      <c r="AI42" s="747">
        <v>1</v>
      </c>
      <c r="AJ42" s="867">
        <v>0</v>
      </c>
      <c r="AK42" s="747">
        <v>1</v>
      </c>
      <c r="AL42" s="747">
        <v>1</v>
      </c>
      <c r="AM42" s="747">
        <v>0</v>
      </c>
      <c r="AN42" s="747">
        <v>0</v>
      </c>
      <c r="AO42" s="747">
        <f>2</f>
        <v>2</v>
      </c>
      <c r="AP42" s="747">
        <v>0</v>
      </c>
      <c r="AQ42" s="747">
        <v>0</v>
      </c>
      <c r="AR42" s="747">
        <v>0</v>
      </c>
      <c r="AS42" s="747"/>
      <c r="AT42" s="747"/>
      <c r="AU42" s="747"/>
      <c r="AV42" s="747"/>
      <c r="AW42" s="71">
        <f>C42-O42</f>
        <v>0</v>
      </c>
      <c r="AX42" s="71">
        <f t="shared" si="36"/>
        <v>0</v>
      </c>
      <c r="AY42" s="71">
        <f t="shared" si="36"/>
        <v>0</v>
      </c>
      <c r="AZ42" s="71">
        <f t="shared" si="36"/>
        <v>-2</v>
      </c>
      <c r="BA42" s="71">
        <f t="shared" si="36"/>
        <v>-2</v>
      </c>
      <c r="BB42" s="71">
        <f t="shared" si="36"/>
        <v>-1</v>
      </c>
      <c r="BC42" s="70">
        <f t="shared" si="36"/>
        <v>-1</v>
      </c>
      <c r="BD42" s="70">
        <f t="shared" si="36"/>
        <v>-1</v>
      </c>
      <c r="BE42" s="70">
        <f t="shared" si="36"/>
        <v>-1</v>
      </c>
      <c r="BF42" s="242">
        <f t="shared" si="36"/>
        <v>1</v>
      </c>
      <c r="BG42" s="242">
        <f t="shared" si="36"/>
        <v>1</v>
      </c>
      <c r="BH42" s="242">
        <f t="shared" si="37"/>
        <v>1</v>
      </c>
      <c r="BI42" s="242">
        <f t="shared" si="37"/>
        <v>0</v>
      </c>
      <c r="BJ42" s="242">
        <f t="shared" si="37"/>
        <v>0</v>
      </c>
      <c r="BK42" s="242">
        <f t="shared" si="37"/>
        <v>0</v>
      </c>
      <c r="BL42" s="242">
        <f t="shared" si="37"/>
        <v>2</v>
      </c>
      <c r="BM42" s="242">
        <f t="shared" si="37"/>
        <v>1</v>
      </c>
      <c r="BN42" s="242">
        <f t="shared" si="37"/>
        <v>0</v>
      </c>
      <c r="BO42" s="242">
        <f t="shared" si="37"/>
        <v>0</v>
      </c>
      <c r="BP42" s="242">
        <f t="shared" si="37"/>
        <v>0</v>
      </c>
      <c r="BQ42" s="242">
        <f t="shared" si="37"/>
        <v>0</v>
      </c>
      <c r="BR42" s="242">
        <f t="shared" si="38"/>
        <v>0</v>
      </c>
    </row>
    <row r="43" spans="1:70" ht="15.75" thickBot="1" x14ac:dyDescent="0.3">
      <c r="A43" s="4"/>
      <c r="B43" s="37" t="s">
        <v>41</v>
      </c>
      <c r="C43" s="122">
        <f t="shared" ref="C43:AD43" si="39">SUM(C38:C42)</f>
        <v>6139</v>
      </c>
      <c r="D43" s="60">
        <f t="shared" si="39"/>
        <v>5571</v>
      </c>
      <c r="E43" s="60">
        <f t="shared" si="39"/>
        <v>5764</v>
      </c>
      <c r="F43" s="60">
        <f t="shared" si="39"/>
        <v>7309</v>
      </c>
      <c r="G43" s="60">
        <f t="shared" si="39"/>
        <v>8758</v>
      </c>
      <c r="H43" s="60">
        <f t="shared" si="39"/>
        <v>10459</v>
      </c>
      <c r="I43" s="60">
        <f t="shared" si="39"/>
        <v>10359</v>
      </c>
      <c r="J43" s="60">
        <f t="shared" si="39"/>
        <v>9967</v>
      </c>
      <c r="K43" s="60">
        <f t="shared" si="39"/>
        <v>9645</v>
      </c>
      <c r="L43" s="163">
        <f t="shared" si="39"/>
        <v>8576</v>
      </c>
      <c r="M43" s="60">
        <f t="shared" si="39"/>
        <v>7143</v>
      </c>
      <c r="N43" s="60">
        <f t="shared" si="39"/>
        <v>6113</v>
      </c>
      <c r="O43" s="60">
        <f t="shared" si="39"/>
        <v>6143</v>
      </c>
      <c r="P43" s="60">
        <f t="shared" si="39"/>
        <v>7517</v>
      </c>
      <c r="Q43" s="60">
        <f t="shared" si="39"/>
        <v>8582</v>
      </c>
      <c r="R43" s="60">
        <f t="shared" si="39"/>
        <v>8570</v>
      </c>
      <c r="S43" s="60">
        <f t="shared" si="39"/>
        <v>8625</v>
      </c>
      <c r="T43" s="60">
        <f t="shared" si="39"/>
        <v>10765</v>
      </c>
      <c r="U43" s="173">
        <f t="shared" si="39"/>
        <v>10926</v>
      </c>
      <c r="V43" s="173">
        <f t="shared" si="39"/>
        <v>10879</v>
      </c>
      <c r="W43" s="173">
        <f t="shared" si="39"/>
        <v>11331</v>
      </c>
      <c r="X43" s="163">
        <f t="shared" si="39"/>
        <v>11052</v>
      </c>
      <c r="Y43" s="163">
        <f t="shared" si="39"/>
        <v>11190</v>
      </c>
      <c r="Z43" s="163">
        <f t="shared" si="39"/>
        <v>11108</v>
      </c>
      <c r="AA43" s="163">
        <f t="shared" si="39"/>
        <v>10402</v>
      </c>
      <c r="AB43" s="163">
        <f t="shared" si="39"/>
        <v>10690</v>
      </c>
      <c r="AC43" s="163">
        <f t="shared" si="39"/>
        <v>8012</v>
      </c>
      <c r="AD43" s="252">
        <f t="shared" si="39"/>
        <v>8522</v>
      </c>
      <c r="AE43" s="252">
        <f t="shared" ref="AE43:AN43" si="40">SUM(AE38:AE42)</f>
        <v>9383</v>
      </c>
      <c r="AF43" s="252">
        <f t="shared" si="40"/>
        <v>9344</v>
      </c>
      <c r="AG43" s="252">
        <f t="shared" si="40"/>
        <v>10041</v>
      </c>
      <c r="AH43" s="252">
        <f t="shared" si="40"/>
        <v>9443</v>
      </c>
      <c r="AI43" s="252">
        <f t="shared" si="40"/>
        <v>8613</v>
      </c>
      <c r="AJ43" s="173">
        <f t="shared" si="40"/>
        <v>8612</v>
      </c>
      <c r="AK43" s="252">
        <f t="shared" si="40"/>
        <v>8254</v>
      </c>
      <c r="AL43" s="252">
        <f t="shared" si="40"/>
        <v>7776</v>
      </c>
      <c r="AM43" s="252">
        <f t="shared" si="40"/>
        <v>7206</v>
      </c>
      <c r="AN43" s="252">
        <f t="shared" si="40"/>
        <v>6730</v>
      </c>
      <c r="AO43" s="252">
        <f>SUM(AO38:AO42)</f>
        <v>34748</v>
      </c>
      <c r="AP43" s="252">
        <f>SUM(AP38:AP42)</f>
        <v>33225</v>
      </c>
      <c r="AQ43" s="252">
        <f>SUM(AQ38:AQ42)</f>
        <v>33873</v>
      </c>
      <c r="AR43" s="252">
        <f>SUM(AR38:AR42)</f>
        <v>34396</v>
      </c>
      <c r="AS43" s="252"/>
      <c r="AT43" s="252"/>
      <c r="AU43" s="252"/>
      <c r="AV43" s="252"/>
      <c r="AW43" s="60">
        <f t="shared" ref="AW43:BF43" si="41">SUM(AW38:AW42)</f>
        <v>507</v>
      </c>
      <c r="AX43" s="60">
        <f t="shared" si="41"/>
        <v>-1946</v>
      </c>
      <c r="AY43" s="60">
        <f t="shared" si="41"/>
        <v>-2818</v>
      </c>
      <c r="AZ43" s="60">
        <f t="shared" si="41"/>
        <v>-1261</v>
      </c>
      <c r="BA43" s="60">
        <f t="shared" si="41"/>
        <v>133</v>
      </c>
      <c r="BB43" s="60">
        <f t="shared" si="41"/>
        <v>-306</v>
      </c>
      <c r="BC43" s="59">
        <f t="shared" si="41"/>
        <v>-567</v>
      </c>
      <c r="BD43" s="59">
        <f t="shared" si="41"/>
        <v>-912</v>
      </c>
      <c r="BE43" s="59">
        <f t="shared" si="41"/>
        <v>-1686</v>
      </c>
      <c r="BF43" s="262">
        <f t="shared" si="41"/>
        <v>-2476</v>
      </c>
      <c r="BG43" s="242">
        <f t="shared" ref="BG43:BR43" si="42">M43-Y43</f>
        <v>-4047</v>
      </c>
      <c r="BH43" s="242">
        <f t="shared" si="42"/>
        <v>-4995</v>
      </c>
      <c r="BI43" s="242">
        <f t="shared" si="42"/>
        <v>-4259</v>
      </c>
      <c r="BJ43" s="242">
        <f t="shared" si="42"/>
        <v>-3173</v>
      </c>
      <c r="BK43" s="242">
        <f t="shared" si="42"/>
        <v>570</v>
      </c>
      <c r="BL43" s="242">
        <f t="shared" si="42"/>
        <v>48</v>
      </c>
      <c r="BM43" s="242">
        <f t="shared" si="42"/>
        <v>-758</v>
      </c>
      <c r="BN43" s="242">
        <f t="shared" si="42"/>
        <v>1421</v>
      </c>
      <c r="BO43" s="242">
        <f t="shared" si="42"/>
        <v>885</v>
      </c>
      <c r="BP43" s="242">
        <f t="shared" si="42"/>
        <v>1436</v>
      </c>
      <c r="BQ43" s="242">
        <f t="shared" si="42"/>
        <v>2718</v>
      </c>
      <c r="BR43" s="242">
        <f t="shared" si="42"/>
        <v>2440</v>
      </c>
    </row>
    <row r="44" spans="1:70" x14ac:dyDescent="0.25">
      <c r="A44" s="4">
        <f>+A37+1</f>
        <v>6</v>
      </c>
      <c r="B44" s="41" t="s">
        <v>29</v>
      </c>
      <c r="C44" s="154"/>
      <c r="D44" s="76"/>
      <c r="E44" s="76"/>
      <c r="F44" s="76"/>
      <c r="G44" s="76"/>
      <c r="H44" s="76"/>
      <c r="I44" s="76"/>
      <c r="J44" s="76"/>
      <c r="K44" s="76"/>
      <c r="L44" s="164"/>
      <c r="M44" s="76"/>
      <c r="N44" s="76"/>
      <c r="O44" s="76"/>
      <c r="P44" s="76"/>
      <c r="Q44" s="76"/>
      <c r="R44" s="76"/>
      <c r="S44" s="76"/>
      <c r="T44" s="76"/>
      <c r="U44" s="174"/>
      <c r="V44" s="321"/>
      <c r="W44" s="321"/>
      <c r="X44" s="164"/>
      <c r="Y44" s="321"/>
      <c r="Z44" s="321"/>
      <c r="AA44" s="321"/>
      <c r="AB44" s="321"/>
      <c r="AC44" s="164"/>
      <c r="AD44" s="67"/>
      <c r="AE44" s="265"/>
      <c r="AF44" s="265"/>
      <c r="AG44" s="265"/>
      <c r="AH44" s="265"/>
      <c r="AI44" s="265"/>
      <c r="AJ44" s="868"/>
      <c r="AK44" s="265"/>
      <c r="AL44" s="265"/>
      <c r="AM44" s="265"/>
      <c r="AN44" s="265"/>
      <c r="AO44" s="265"/>
      <c r="AP44" s="265"/>
      <c r="AQ44" s="265"/>
      <c r="AR44" s="265"/>
      <c r="AS44" s="265"/>
      <c r="AT44" s="265"/>
      <c r="AU44" s="265"/>
      <c r="AV44" s="265"/>
      <c r="AW44" s="76"/>
      <c r="AX44" s="76"/>
      <c r="AY44" s="76"/>
      <c r="AZ44" s="76"/>
      <c r="BA44" s="76"/>
      <c r="BB44" s="76"/>
      <c r="BC44" s="75"/>
      <c r="BD44" s="314"/>
      <c r="BE44" s="314"/>
      <c r="BF44" s="314"/>
      <c r="BG44" s="405"/>
      <c r="BH44" s="77"/>
      <c r="BI44" s="189"/>
      <c r="BJ44" s="189"/>
      <c r="BK44" s="189"/>
      <c r="BL44" s="189"/>
      <c r="BM44" s="189"/>
      <c r="BN44" s="189"/>
      <c r="BO44" s="189"/>
      <c r="BP44" s="189"/>
      <c r="BQ44" s="189"/>
      <c r="BR44" s="189"/>
    </row>
    <row r="45" spans="1:70" x14ac:dyDescent="0.25">
      <c r="A45" s="4"/>
      <c r="B45" s="35" t="s">
        <v>36</v>
      </c>
      <c r="C45" s="108">
        <v>1821026</v>
      </c>
      <c r="D45" s="79">
        <v>1650998.76</v>
      </c>
      <c r="E45" s="79">
        <v>1176663.68</v>
      </c>
      <c r="F45" s="79">
        <v>669517.34</v>
      </c>
      <c r="G45" s="79">
        <v>380798</v>
      </c>
      <c r="H45" s="79">
        <v>295353.48</v>
      </c>
      <c r="I45" s="79">
        <v>256996.49</v>
      </c>
      <c r="J45" s="79">
        <v>252061.12</v>
      </c>
      <c r="K45" s="79">
        <v>280220.07</v>
      </c>
      <c r="L45" s="110">
        <v>637757.55000000005</v>
      </c>
      <c r="M45" s="79">
        <v>1216950.5900000001</v>
      </c>
      <c r="N45" s="79">
        <v>1662894.85</v>
      </c>
      <c r="O45" s="79">
        <v>1628760.39</v>
      </c>
      <c r="P45" s="79">
        <v>1498127.82</v>
      </c>
      <c r="Q45" s="79">
        <v>1326257.92</v>
      </c>
      <c r="R45" s="79">
        <v>968907.04</v>
      </c>
      <c r="S45" s="79">
        <v>392634.33</v>
      </c>
      <c r="T45" s="79">
        <v>321005.89</v>
      </c>
      <c r="U45" s="79">
        <v>331676.33</v>
      </c>
      <c r="V45" s="79">
        <v>289679.82</v>
      </c>
      <c r="W45" s="79">
        <f>380477.25+2182</f>
        <v>382659.25</v>
      </c>
      <c r="X45" s="110">
        <f>661772.88+10878</f>
        <v>672650.88</v>
      </c>
      <c r="Y45" s="79">
        <f>1203619.93+18751</f>
        <v>1222370.93</v>
      </c>
      <c r="Z45" s="79">
        <f>2176372.8</f>
        <v>2176372.7999999998</v>
      </c>
      <c r="AA45" s="79">
        <f>1888917.17+1688</f>
        <v>1890605.17</v>
      </c>
      <c r="AB45" s="79">
        <v>1762477.31</v>
      </c>
      <c r="AC45" s="580">
        <v>1394594</v>
      </c>
      <c r="AD45" s="333">
        <f>13964.41+821055.56+15818.39</f>
        <v>850838.3600000001</v>
      </c>
      <c r="AE45" s="748">
        <v>678380.57</v>
      </c>
      <c r="AF45" s="748">
        <v>336512.8</v>
      </c>
      <c r="AG45" s="748">
        <f>10480.01+253405.27+950.37</f>
        <v>264835.64999999997</v>
      </c>
      <c r="AH45" s="748">
        <v>248562.76</v>
      </c>
      <c r="AI45" s="748">
        <f>9567.49+219826.03+370.55</f>
        <v>229764.06999999998</v>
      </c>
      <c r="AJ45" s="869">
        <f>12323.79+268466.52+257.17</f>
        <v>281047.48</v>
      </c>
      <c r="AK45" s="748">
        <f>14836.2+544624.36</f>
        <v>559460.55999999994</v>
      </c>
      <c r="AL45" s="748">
        <f>18475.44+995803.94+48.47</f>
        <v>1014327.8499999999</v>
      </c>
      <c r="AM45" s="748">
        <f>26758.98+1808112.3+4687.98</f>
        <v>1839559.26</v>
      </c>
      <c r="AN45" s="748">
        <f>25844.13+1945237.97</f>
        <v>1971082.0999999999</v>
      </c>
      <c r="AO45" s="748">
        <f>20957.44+1533952.57+314</f>
        <v>1555224.01</v>
      </c>
      <c r="AP45" s="748">
        <f>24328.38+1228539+343.08</f>
        <v>1253210.46</v>
      </c>
      <c r="AQ45" s="748">
        <f>SUM(18941.56+820147.98+109.59)</f>
        <v>839199.13</v>
      </c>
      <c r="AR45" s="748">
        <f>7143.53+271290.04</f>
        <v>278433.57</v>
      </c>
      <c r="AS45" s="748"/>
      <c r="AT45" s="748"/>
      <c r="AU45" s="748"/>
      <c r="AV45" s="748"/>
      <c r="AW45" s="79">
        <f t="shared" ref="AW45:BF49" si="43">C45-O45</f>
        <v>192265.6100000001</v>
      </c>
      <c r="AX45" s="79">
        <f t="shared" si="43"/>
        <v>152870.93999999994</v>
      </c>
      <c r="AY45" s="79">
        <f t="shared" si="43"/>
        <v>-149594.23999999999</v>
      </c>
      <c r="AZ45" s="79">
        <f t="shared" si="43"/>
        <v>-299389.70000000007</v>
      </c>
      <c r="BA45" s="79">
        <f t="shared" si="43"/>
        <v>-11836.330000000016</v>
      </c>
      <c r="BB45" s="79">
        <f t="shared" si="43"/>
        <v>-25652.410000000033</v>
      </c>
      <c r="BC45" s="78">
        <f t="shared" si="43"/>
        <v>-74679.840000000026</v>
      </c>
      <c r="BD45" s="78">
        <f t="shared" si="43"/>
        <v>-37618.700000000012</v>
      </c>
      <c r="BE45" s="78">
        <f t="shared" si="43"/>
        <v>-102439.18</v>
      </c>
      <c r="BF45" s="254">
        <f t="shared" si="43"/>
        <v>-34893.329999999958</v>
      </c>
      <c r="BG45" s="254">
        <f t="shared" ref="BG45:BP49" si="44">M45-Y45</f>
        <v>-5420.339999999851</v>
      </c>
      <c r="BH45" s="254">
        <f t="shared" si="44"/>
        <v>-513477.94999999972</v>
      </c>
      <c r="BI45" s="254">
        <f t="shared" si="44"/>
        <v>-261844.78000000003</v>
      </c>
      <c r="BJ45" s="254">
        <f t="shared" si="44"/>
        <v>-264349.49</v>
      </c>
      <c r="BK45" s="254">
        <f t="shared" si="44"/>
        <v>-68336.080000000075</v>
      </c>
      <c r="BL45" s="254">
        <f t="shared" si="44"/>
        <v>118068.67999999993</v>
      </c>
      <c r="BM45" s="254">
        <f t="shared" si="44"/>
        <v>-285746.23999999993</v>
      </c>
      <c r="BN45" s="254">
        <f t="shared" si="44"/>
        <v>-15506.909999999974</v>
      </c>
      <c r="BO45" s="254">
        <f t="shared" si="44"/>
        <v>66840.680000000051</v>
      </c>
      <c r="BP45" s="254">
        <f t="shared" si="44"/>
        <v>41117.06</v>
      </c>
      <c r="BQ45" s="254">
        <f t="shared" ref="BQ45:BR49" si="45">W45-AI45</f>
        <v>152895.18000000002</v>
      </c>
      <c r="BR45" s="254">
        <f t="shared" si="45"/>
        <v>391603.4</v>
      </c>
    </row>
    <row r="46" spans="1:70" x14ac:dyDescent="0.25">
      <c r="A46" s="4"/>
      <c r="B46" s="35" t="s">
        <v>37</v>
      </c>
      <c r="C46" s="108">
        <v>590605.9</v>
      </c>
      <c r="D46" s="79">
        <v>500323.03</v>
      </c>
      <c r="E46" s="79">
        <v>333874.45</v>
      </c>
      <c r="F46" s="79">
        <v>211984.29</v>
      </c>
      <c r="G46" s="79">
        <v>150515.16</v>
      </c>
      <c r="H46" s="79">
        <v>117913.52</v>
      </c>
      <c r="I46" s="79">
        <v>112748.79</v>
      </c>
      <c r="J46" s="79">
        <v>117966.53</v>
      </c>
      <c r="K46" s="79">
        <v>129774.09</v>
      </c>
      <c r="L46" s="110">
        <v>268373.32</v>
      </c>
      <c r="M46" s="79">
        <v>394952.4</v>
      </c>
      <c r="N46" s="79">
        <v>414462.54</v>
      </c>
      <c r="O46" s="79">
        <v>365043.85</v>
      </c>
      <c r="P46" s="79">
        <v>405196.08</v>
      </c>
      <c r="Q46" s="79">
        <v>354244.1</v>
      </c>
      <c r="R46" s="79">
        <v>204185.13</v>
      </c>
      <c r="S46" s="79">
        <v>129915.89</v>
      </c>
      <c r="T46" s="79">
        <v>186838.2</v>
      </c>
      <c r="U46" s="79">
        <v>322511.13</v>
      </c>
      <c r="V46" s="79">
        <v>353504.64</v>
      </c>
      <c r="W46" s="79">
        <v>288567.96999999997</v>
      </c>
      <c r="X46" s="110">
        <v>293706.05</v>
      </c>
      <c r="Y46" s="79">
        <v>598931.29</v>
      </c>
      <c r="Z46" s="79">
        <v>909128.53</v>
      </c>
      <c r="AA46" s="79">
        <v>631457.32999999996</v>
      </c>
      <c r="AB46" s="79">
        <v>507075.97</v>
      </c>
      <c r="AC46" s="580">
        <v>287826.59999999998</v>
      </c>
      <c r="AD46" s="333">
        <f>2102.14+366711.51</f>
        <v>368813.65</v>
      </c>
      <c r="AE46" s="748">
        <v>208173.56</v>
      </c>
      <c r="AF46" s="748">
        <v>92424.52</v>
      </c>
      <c r="AG46" s="748">
        <f>1004.49+80448.88</f>
        <v>81453.37000000001</v>
      </c>
      <c r="AH46" s="748">
        <v>124892.89</v>
      </c>
      <c r="AI46" s="748">
        <f>1360.14+83116.61</f>
        <v>84476.75</v>
      </c>
      <c r="AJ46" s="869">
        <f>1568.5+75019.6</f>
        <v>76588.100000000006</v>
      </c>
      <c r="AK46" s="748">
        <f>1971.78+138001.98</f>
        <v>139973.76000000001</v>
      </c>
      <c r="AL46" s="748">
        <f>2263.81+244404.82</f>
        <v>246668.63</v>
      </c>
      <c r="AM46" s="748">
        <f>2788.2+404176.06</f>
        <v>406964.26</v>
      </c>
      <c r="AN46" s="748">
        <f>3694.81+618962.74</f>
        <v>622657.55000000005</v>
      </c>
      <c r="AO46" s="748">
        <f>2546.16+370331.63+0</f>
        <v>372877.79</v>
      </c>
      <c r="AP46" s="748">
        <f>3510.45+342806.24</f>
        <v>346316.69</v>
      </c>
      <c r="AQ46" s="748">
        <f>2815.01+245992.85+0</f>
        <v>248807.86000000002</v>
      </c>
      <c r="AR46" s="748">
        <f>1183.1+80261.89</f>
        <v>81444.990000000005</v>
      </c>
      <c r="AS46" s="748"/>
      <c r="AT46" s="748"/>
      <c r="AU46" s="748"/>
      <c r="AV46" s="748"/>
      <c r="AW46" s="79">
        <f t="shared" si="43"/>
        <v>225562.05000000005</v>
      </c>
      <c r="AX46" s="79">
        <f t="shared" si="43"/>
        <v>95126.950000000012</v>
      </c>
      <c r="AY46" s="79">
        <f t="shared" si="43"/>
        <v>-20369.649999999965</v>
      </c>
      <c r="AZ46" s="79">
        <f t="shared" si="43"/>
        <v>7799.1600000000035</v>
      </c>
      <c r="BA46" s="79">
        <f t="shared" si="43"/>
        <v>20599.270000000004</v>
      </c>
      <c r="BB46" s="79">
        <f t="shared" si="43"/>
        <v>-68924.680000000008</v>
      </c>
      <c r="BC46" s="78">
        <f t="shared" si="43"/>
        <v>-209762.34000000003</v>
      </c>
      <c r="BD46" s="78">
        <f t="shared" si="43"/>
        <v>-235538.11000000002</v>
      </c>
      <c r="BE46" s="78">
        <f t="shared" si="43"/>
        <v>-158793.87999999998</v>
      </c>
      <c r="BF46" s="254">
        <f t="shared" si="43"/>
        <v>-25332.729999999981</v>
      </c>
      <c r="BG46" s="254">
        <f t="shared" si="44"/>
        <v>-203978.89</v>
      </c>
      <c r="BH46" s="254">
        <f t="shared" si="44"/>
        <v>-494665.99000000005</v>
      </c>
      <c r="BI46" s="254">
        <f t="shared" si="44"/>
        <v>-266413.48</v>
      </c>
      <c r="BJ46" s="254">
        <f t="shared" si="44"/>
        <v>-101879.88999999996</v>
      </c>
      <c r="BK46" s="254">
        <f t="shared" si="44"/>
        <v>66417.5</v>
      </c>
      <c r="BL46" s="254">
        <f t="shared" si="44"/>
        <v>-164628.52000000002</v>
      </c>
      <c r="BM46" s="254">
        <f t="shared" si="44"/>
        <v>-78257.67</v>
      </c>
      <c r="BN46" s="254">
        <f t="shared" si="44"/>
        <v>94413.680000000008</v>
      </c>
      <c r="BO46" s="254">
        <f t="shared" si="44"/>
        <v>241057.76</v>
      </c>
      <c r="BP46" s="254">
        <f t="shared" si="44"/>
        <v>228611.75</v>
      </c>
      <c r="BQ46" s="254">
        <f t="shared" si="45"/>
        <v>204091.21999999997</v>
      </c>
      <c r="BR46" s="254">
        <f t="shared" si="45"/>
        <v>217117.94999999998</v>
      </c>
    </row>
    <row r="47" spans="1:70" x14ac:dyDescent="0.25">
      <c r="A47" s="4"/>
      <c r="B47" s="35" t="s">
        <v>38</v>
      </c>
      <c r="C47" s="108">
        <v>321241.65000000002</v>
      </c>
      <c r="D47" s="79">
        <v>140056.82</v>
      </c>
      <c r="E47" s="79">
        <v>88137.22</v>
      </c>
      <c r="F47" s="79">
        <v>49210.55</v>
      </c>
      <c r="G47" s="79">
        <v>26687.018</v>
      </c>
      <c r="H47" s="79">
        <v>22451.53</v>
      </c>
      <c r="I47" s="79">
        <v>21939.57</v>
      </c>
      <c r="J47" s="79">
        <v>17783.98</v>
      </c>
      <c r="K47" s="79">
        <v>22724.86</v>
      </c>
      <c r="L47" s="110">
        <v>42183.72</v>
      </c>
      <c r="M47" s="79">
        <v>112912.76</v>
      </c>
      <c r="N47" s="79">
        <v>216491.69</v>
      </c>
      <c r="O47" s="79">
        <v>161553.18</v>
      </c>
      <c r="P47" s="79">
        <v>209743.49</v>
      </c>
      <c r="Q47" s="79">
        <v>211740.41</v>
      </c>
      <c r="R47" s="79">
        <v>87297.72</v>
      </c>
      <c r="S47" s="79">
        <v>39719.300000000003</v>
      </c>
      <c r="T47" s="79">
        <v>187848.89</v>
      </c>
      <c r="U47" s="79">
        <v>21963.88</v>
      </c>
      <c r="V47" s="79">
        <v>21516.17</v>
      </c>
      <c r="W47" s="79">
        <v>32503.53</v>
      </c>
      <c r="X47" s="110">
        <v>59046.94</v>
      </c>
      <c r="Y47" s="79">
        <v>142827.85</v>
      </c>
      <c r="Z47" s="79">
        <v>262550.06</v>
      </c>
      <c r="AA47" s="79">
        <v>174627.74</v>
      </c>
      <c r="AB47" s="79">
        <v>162423.38</v>
      </c>
      <c r="AC47" s="580">
        <v>95867.69</v>
      </c>
      <c r="AD47" s="333">
        <f>46555.42+10194.37+20836.07+3357.77</f>
        <v>80943.63</v>
      </c>
      <c r="AE47" s="748">
        <v>48823.11</v>
      </c>
      <c r="AF47" s="748">
        <v>23180.98</v>
      </c>
      <c r="AG47" s="748">
        <v>16556.2</v>
      </c>
      <c r="AH47" s="748">
        <v>15540.91</v>
      </c>
      <c r="AI47" s="748">
        <f>11986.91+5159.4+130.26+59.88</f>
        <v>17336.449999999997</v>
      </c>
      <c r="AJ47" s="869">
        <v>19272.38</v>
      </c>
      <c r="AK47" s="748">
        <v>25771.9</v>
      </c>
      <c r="AL47" s="748">
        <v>50608.11</v>
      </c>
      <c r="AM47" s="748">
        <v>117527.9</v>
      </c>
      <c r="AN47" s="748">
        <f>109625.38+8288.32+679.2+811.63</f>
        <v>119404.53000000001</v>
      </c>
      <c r="AO47" s="748">
        <f>135289.7+14810.67+201.03+13248.28</f>
        <v>163549.68000000002</v>
      </c>
      <c r="AP47" s="748">
        <f>77314.7+12113.66+1242.01+695.98</f>
        <v>91366.349999999991</v>
      </c>
      <c r="AQ47" s="748">
        <f>41907.81+8738.43+282.98+937.33</f>
        <v>51866.55</v>
      </c>
      <c r="AR47" s="748">
        <f>8101.49+2887.6+78.08+118.2</f>
        <v>11185.37</v>
      </c>
      <c r="AS47" s="748"/>
      <c r="AT47" s="748"/>
      <c r="AU47" s="748"/>
      <c r="AV47" s="748"/>
      <c r="AW47" s="79">
        <f t="shared" si="43"/>
        <v>159688.47000000003</v>
      </c>
      <c r="AX47" s="79">
        <f t="shared" si="43"/>
        <v>-69686.669999999984</v>
      </c>
      <c r="AY47" s="79">
        <f t="shared" si="43"/>
        <v>-123603.19</v>
      </c>
      <c r="AZ47" s="79">
        <f t="shared" si="43"/>
        <v>-38087.17</v>
      </c>
      <c r="BA47" s="79">
        <f t="shared" si="43"/>
        <v>-13032.282000000003</v>
      </c>
      <c r="BB47" s="79">
        <f t="shared" si="43"/>
        <v>-165397.36000000002</v>
      </c>
      <c r="BC47" s="78">
        <f t="shared" si="43"/>
        <v>-24.31000000000131</v>
      </c>
      <c r="BD47" s="78">
        <f t="shared" si="43"/>
        <v>-3732.1899999999987</v>
      </c>
      <c r="BE47" s="78">
        <f t="shared" si="43"/>
        <v>-9778.6699999999983</v>
      </c>
      <c r="BF47" s="254">
        <f t="shared" si="43"/>
        <v>-16863.22</v>
      </c>
      <c r="BG47" s="254">
        <f t="shared" si="44"/>
        <v>-29915.090000000011</v>
      </c>
      <c r="BH47" s="254">
        <f t="shared" si="44"/>
        <v>-46058.369999999995</v>
      </c>
      <c r="BI47" s="254">
        <f t="shared" si="44"/>
        <v>-13074.559999999998</v>
      </c>
      <c r="BJ47" s="254">
        <f t="shared" si="44"/>
        <v>47320.109999999986</v>
      </c>
      <c r="BK47" s="254">
        <f t="shared" si="44"/>
        <v>115872.72</v>
      </c>
      <c r="BL47" s="254">
        <f t="shared" si="44"/>
        <v>6354.0899999999965</v>
      </c>
      <c r="BM47" s="254">
        <f t="shared" si="44"/>
        <v>-9103.8099999999977</v>
      </c>
      <c r="BN47" s="254">
        <f t="shared" si="44"/>
        <v>164667.91</v>
      </c>
      <c r="BO47" s="254">
        <f t="shared" si="44"/>
        <v>5407.68</v>
      </c>
      <c r="BP47" s="254">
        <f t="shared" si="44"/>
        <v>5975.2599999999984</v>
      </c>
      <c r="BQ47" s="254">
        <f t="shared" si="45"/>
        <v>15167.080000000002</v>
      </c>
      <c r="BR47" s="254">
        <f t="shared" si="45"/>
        <v>39774.559999999998</v>
      </c>
    </row>
    <row r="48" spans="1:70" x14ac:dyDescent="0.25">
      <c r="A48" s="4"/>
      <c r="B48" s="35" t="s">
        <v>39</v>
      </c>
      <c r="C48" s="108">
        <v>179234.14</v>
      </c>
      <c r="D48" s="79">
        <v>165981.01999999999</v>
      </c>
      <c r="E48" s="79">
        <v>97080.67</v>
      </c>
      <c r="F48" s="79">
        <v>57623.64</v>
      </c>
      <c r="G48" s="79">
        <v>19071.689999999999</v>
      </c>
      <c r="H48" s="79">
        <v>21025.47</v>
      </c>
      <c r="I48" s="79">
        <v>17006.86</v>
      </c>
      <c r="J48" s="79">
        <v>10391.27</v>
      </c>
      <c r="K48" s="79">
        <v>25417.82</v>
      </c>
      <c r="L48" s="110">
        <v>46100.17</v>
      </c>
      <c r="M48" s="79">
        <v>100128.11</v>
      </c>
      <c r="N48" s="79">
        <v>181222.06</v>
      </c>
      <c r="O48" s="79">
        <v>172104.03</v>
      </c>
      <c r="P48" s="79">
        <v>256307.41</v>
      </c>
      <c r="Q48" s="79">
        <v>188086.67</v>
      </c>
      <c r="R48" s="79">
        <v>110525.82</v>
      </c>
      <c r="S48" s="79">
        <v>39665.9</v>
      </c>
      <c r="T48" s="79">
        <v>47009.46</v>
      </c>
      <c r="U48" s="79">
        <v>24178.51</v>
      </c>
      <c r="V48" s="79">
        <v>73427.95</v>
      </c>
      <c r="W48" s="79">
        <v>48464.56</v>
      </c>
      <c r="X48" s="110">
        <v>112253.53</v>
      </c>
      <c r="Y48" s="79">
        <v>246635.57</v>
      </c>
      <c r="Z48" s="79">
        <v>507713.21</v>
      </c>
      <c r="AA48" s="79">
        <v>183978.61</v>
      </c>
      <c r="AB48" s="79">
        <v>218333.44</v>
      </c>
      <c r="AC48" s="580">
        <v>182295.4</v>
      </c>
      <c r="AD48" s="333">
        <f>55390.95+10830.84+109713.7+10174.39</f>
        <v>186109.88</v>
      </c>
      <c r="AE48" s="748">
        <v>53729.62</v>
      </c>
      <c r="AF48" s="748">
        <v>23242.59</v>
      </c>
      <c r="AG48" s="748">
        <v>28628.04</v>
      </c>
      <c r="AH48" s="748">
        <v>23713.13</v>
      </c>
      <c r="AI48" s="748">
        <f>15427.23+3292.14+2273.55+5606.71</f>
        <v>26599.629999999997</v>
      </c>
      <c r="AJ48" s="869">
        <v>38955.99</v>
      </c>
      <c r="AK48" s="748">
        <v>32295.22</v>
      </c>
      <c r="AL48" s="748">
        <v>57766.13</v>
      </c>
      <c r="AM48" s="748">
        <v>104517.14</v>
      </c>
      <c r="AN48" s="748">
        <f>47855.87+6499.79+24612.2+17981.77</f>
        <v>96949.63</v>
      </c>
      <c r="AO48" s="748">
        <f>94666.11+7716.9+36913.76+13248.28</f>
        <v>152545.04999999999</v>
      </c>
      <c r="AP48" s="748">
        <f>141085.02+11376.71+24440.73+7669.91</f>
        <v>184572.37</v>
      </c>
      <c r="AQ48" s="748">
        <f>39861.14+6611.63+28650.96+5650.1</f>
        <v>80773.83</v>
      </c>
      <c r="AR48" s="748">
        <f>752.76+3792.48+548.14+1514.84</f>
        <v>6608.22</v>
      </c>
      <c r="AS48" s="748"/>
      <c r="AT48" s="748"/>
      <c r="AU48" s="748"/>
      <c r="AV48" s="748"/>
      <c r="AW48" s="79">
        <f t="shared" si="43"/>
        <v>7130.1100000000151</v>
      </c>
      <c r="AX48" s="79">
        <f t="shared" si="43"/>
        <v>-90326.390000000014</v>
      </c>
      <c r="AY48" s="79">
        <f t="shared" si="43"/>
        <v>-91006.000000000015</v>
      </c>
      <c r="AZ48" s="79">
        <f t="shared" si="43"/>
        <v>-52902.180000000008</v>
      </c>
      <c r="BA48" s="79">
        <f t="shared" si="43"/>
        <v>-20594.210000000003</v>
      </c>
      <c r="BB48" s="79">
        <f t="shared" si="43"/>
        <v>-25983.989999999998</v>
      </c>
      <c r="BC48" s="78">
        <f t="shared" si="43"/>
        <v>-7171.6499999999978</v>
      </c>
      <c r="BD48" s="78">
        <f t="shared" si="43"/>
        <v>-63036.679999999993</v>
      </c>
      <c r="BE48" s="78">
        <f t="shared" si="43"/>
        <v>-23046.739999999998</v>
      </c>
      <c r="BF48" s="254">
        <f t="shared" si="43"/>
        <v>-66153.36</v>
      </c>
      <c r="BG48" s="254">
        <f t="shared" si="44"/>
        <v>-146507.46000000002</v>
      </c>
      <c r="BH48" s="254">
        <f t="shared" si="44"/>
        <v>-326491.15000000002</v>
      </c>
      <c r="BI48" s="254">
        <f t="shared" si="44"/>
        <v>-11874.579999999987</v>
      </c>
      <c r="BJ48" s="254">
        <f t="shared" si="44"/>
        <v>37973.97</v>
      </c>
      <c r="BK48" s="254">
        <f t="shared" si="44"/>
        <v>5791.2700000000186</v>
      </c>
      <c r="BL48" s="254">
        <f t="shared" si="44"/>
        <v>-75584.06</v>
      </c>
      <c r="BM48" s="254">
        <f t="shared" si="44"/>
        <v>-14063.720000000001</v>
      </c>
      <c r="BN48" s="254">
        <f t="shared" si="44"/>
        <v>23766.87</v>
      </c>
      <c r="BO48" s="254">
        <f t="shared" si="44"/>
        <v>-4449.5300000000025</v>
      </c>
      <c r="BP48" s="254">
        <f t="shared" si="44"/>
        <v>49714.819999999992</v>
      </c>
      <c r="BQ48" s="254">
        <f t="shared" si="45"/>
        <v>21864.93</v>
      </c>
      <c r="BR48" s="254">
        <f t="shared" si="45"/>
        <v>73297.540000000008</v>
      </c>
    </row>
    <row r="49" spans="1:87" x14ac:dyDescent="0.25">
      <c r="A49" s="4"/>
      <c r="B49" s="35" t="s">
        <v>40</v>
      </c>
      <c r="C49" s="108">
        <v>0</v>
      </c>
      <c r="D49" s="79">
        <v>17568.169999999998</v>
      </c>
      <c r="E49" s="79">
        <v>15.32</v>
      </c>
      <c r="F49" s="79">
        <v>16898.810000000001</v>
      </c>
      <c r="G49" s="79">
        <v>46.51</v>
      </c>
      <c r="H49" s="79">
        <v>950.14</v>
      </c>
      <c r="I49" s="79">
        <v>927.58</v>
      </c>
      <c r="J49" s="79">
        <v>9.19</v>
      </c>
      <c r="K49" s="79">
        <v>1553.41</v>
      </c>
      <c r="L49" s="110">
        <v>197.31</v>
      </c>
      <c r="M49" s="79">
        <v>12384.7</v>
      </c>
      <c r="N49" s="79">
        <v>17376.810000000001</v>
      </c>
      <c r="O49" s="79">
        <v>0</v>
      </c>
      <c r="P49" s="79">
        <v>63980.44</v>
      </c>
      <c r="Q49" s="79">
        <v>136991.03</v>
      </c>
      <c r="R49" s="79">
        <v>42200.47</v>
      </c>
      <c r="S49" s="79">
        <v>31614.11</v>
      </c>
      <c r="T49" s="79">
        <v>25374.49</v>
      </c>
      <c r="U49" s="79">
        <v>8174.55</v>
      </c>
      <c r="V49" s="79">
        <v>606.82000000000005</v>
      </c>
      <c r="W49" s="79">
        <v>40055.07</v>
      </c>
      <c r="X49" s="110">
        <v>16426.810000000001</v>
      </c>
      <c r="Y49" s="79">
        <v>33459.980000000003</v>
      </c>
      <c r="Z49" s="79">
        <v>85993.41</v>
      </c>
      <c r="AA49" s="79">
        <v>446.98</v>
      </c>
      <c r="AB49" s="79">
        <v>53577.47</v>
      </c>
      <c r="AC49" s="580">
        <v>11265.42</v>
      </c>
      <c r="AD49" s="333">
        <v>11265.42</v>
      </c>
      <c r="AE49" s="748">
        <v>21938.73</v>
      </c>
      <c r="AF49" s="748">
        <v>5560.35</v>
      </c>
      <c r="AG49" s="748">
        <v>4099.0200000000004</v>
      </c>
      <c r="AH49" s="748">
        <v>5995.23</v>
      </c>
      <c r="AI49" s="748">
        <f>926.05+7148.41</f>
        <v>8074.46</v>
      </c>
      <c r="AJ49" s="869">
        <v>7114.47</v>
      </c>
      <c r="AK49" s="748">
        <v>9153.7800000000007</v>
      </c>
      <c r="AL49" s="748">
        <v>14366.22</v>
      </c>
      <c r="AM49" s="748">
        <v>15662.95</v>
      </c>
      <c r="AN49" s="748">
        <v>25910.46</v>
      </c>
      <c r="AO49" s="748">
        <v>0</v>
      </c>
      <c r="AP49" s="748">
        <v>0</v>
      </c>
      <c r="AQ49" s="748">
        <v>0</v>
      </c>
      <c r="AR49" s="748">
        <v>0</v>
      </c>
      <c r="AS49" s="748"/>
      <c r="AT49" s="748"/>
      <c r="AU49" s="748"/>
      <c r="AV49" s="748"/>
      <c r="AW49" s="79">
        <f t="shared" si="43"/>
        <v>0</v>
      </c>
      <c r="AX49" s="79">
        <f t="shared" si="43"/>
        <v>-46412.270000000004</v>
      </c>
      <c r="AY49" s="79">
        <f t="shared" si="43"/>
        <v>-136975.71</v>
      </c>
      <c r="AZ49" s="79">
        <f t="shared" si="43"/>
        <v>-25301.66</v>
      </c>
      <c r="BA49" s="79">
        <f t="shared" si="43"/>
        <v>-31567.600000000002</v>
      </c>
      <c r="BB49" s="79">
        <f t="shared" si="43"/>
        <v>-24424.350000000002</v>
      </c>
      <c r="BC49" s="78">
        <f t="shared" si="43"/>
        <v>-7246.97</v>
      </c>
      <c r="BD49" s="78">
        <f t="shared" si="43"/>
        <v>-597.63</v>
      </c>
      <c r="BE49" s="78">
        <f t="shared" si="43"/>
        <v>-38501.659999999996</v>
      </c>
      <c r="BF49" s="254">
        <f t="shared" si="43"/>
        <v>-16229.500000000002</v>
      </c>
      <c r="BG49" s="254">
        <f t="shared" si="44"/>
        <v>-21075.280000000002</v>
      </c>
      <c r="BH49" s="254">
        <f t="shared" si="44"/>
        <v>-68616.600000000006</v>
      </c>
      <c r="BI49" s="254">
        <f t="shared" si="44"/>
        <v>-446.98</v>
      </c>
      <c r="BJ49" s="254">
        <f t="shared" si="44"/>
        <v>10402.970000000001</v>
      </c>
      <c r="BK49" s="254">
        <f t="shared" si="44"/>
        <v>125725.61</v>
      </c>
      <c r="BL49" s="254">
        <f t="shared" si="44"/>
        <v>30935.050000000003</v>
      </c>
      <c r="BM49" s="254">
        <f t="shared" si="44"/>
        <v>9675.380000000001</v>
      </c>
      <c r="BN49" s="254">
        <f t="shared" si="44"/>
        <v>19814.14</v>
      </c>
      <c r="BO49" s="254">
        <f t="shared" si="44"/>
        <v>4075.5299999999997</v>
      </c>
      <c r="BP49" s="254">
        <f t="shared" si="44"/>
        <v>-5388.41</v>
      </c>
      <c r="BQ49" s="254">
        <f t="shared" si="45"/>
        <v>31980.61</v>
      </c>
      <c r="BR49" s="254">
        <f t="shared" si="45"/>
        <v>9312.34</v>
      </c>
    </row>
    <row r="50" spans="1:87" x14ac:dyDescent="0.25">
      <c r="A50" s="4"/>
      <c r="B50" s="35" t="s">
        <v>41</v>
      </c>
      <c r="C50" s="108">
        <f t="shared" ref="C50:AC50" si="46">SUM(C45:C49)</f>
        <v>2912107.69</v>
      </c>
      <c r="D50" s="79">
        <f t="shared" si="46"/>
        <v>2474927.7999999998</v>
      </c>
      <c r="E50" s="79">
        <f t="shared" si="46"/>
        <v>1695771.3399999999</v>
      </c>
      <c r="F50" s="79">
        <f t="shared" si="46"/>
        <v>1005234.6300000001</v>
      </c>
      <c r="G50" s="79">
        <f t="shared" si="46"/>
        <v>577118.37800000003</v>
      </c>
      <c r="H50" s="79">
        <f t="shared" si="46"/>
        <v>457694.14</v>
      </c>
      <c r="I50" s="79">
        <f t="shared" si="46"/>
        <v>409619.29</v>
      </c>
      <c r="J50" s="79">
        <f t="shared" si="46"/>
        <v>398212.09</v>
      </c>
      <c r="K50" s="79">
        <f t="shared" si="46"/>
        <v>459690.25</v>
      </c>
      <c r="L50" s="110">
        <f t="shared" si="46"/>
        <v>994612.07000000018</v>
      </c>
      <c r="M50" s="79">
        <f t="shared" si="46"/>
        <v>1837328.5600000003</v>
      </c>
      <c r="N50" s="79">
        <f t="shared" si="46"/>
        <v>2492447.9500000002</v>
      </c>
      <c r="O50" s="79">
        <f t="shared" si="46"/>
        <v>2327461.4499999997</v>
      </c>
      <c r="P50" s="79">
        <f t="shared" si="46"/>
        <v>2433355.2400000002</v>
      </c>
      <c r="Q50" s="79">
        <f t="shared" si="46"/>
        <v>2217320.13</v>
      </c>
      <c r="R50" s="79">
        <f t="shared" si="46"/>
        <v>1413116.18</v>
      </c>
      <c r="S50" s="79">
        <f t="shared" si="46"/>
        <v>633549.53</v>
      </c>
      <c r="T50" s="79">
        <f t="shared" si="46"/>
        <v>768076.92999999993</v>
      </c>
      <c r="U50" s="175">
        <f t="shared" si="46"/>
        <v>708504.4</v>
      </c>
      <c r="V50" s="175">
        <f t="shared" si="46"/>
        <v>738735.39999999991</v>
      </c>
      <c r="W50" s="175">
        <f t="shared" si="46"/>
        <v>792250.38</v>
      </c>
      <c r="X50" s="110">
        <f t="shared" si="46"/>
        <v>1154084.21</v>
      </c>
      <c r="Y50" s="110">
        <f t="shared" si="46"/>
        <v>2244225.62</v>
      </c>
      <c r="Z50" s="110">
        <f t="shared" si="46"/>
        <v>3941758.0100000002</v>
      </c>
      <c r="AA50" s="110">
        <f t="shared" si="46"/>
        <v>2881115.83</v>
      </c>
      <c r="AB50" s="110">
        <f t="shared" si="46"/>
        <v>2703887.5700000003</v>
      </c>
      <c r="AC50" s="110">
        <f t="shared" si="46"/>
        <v>1971849.1099999999</v>
      </c>
      <c r="AD50" s="334">
        <f t="shared" ref="AD50:AI50" si="47">SUM(AD45:AD49)</f>
        <v>1497970.94</v>
      </c>
      <c r="AE50" s="334">
        <f t="shared" si="47"/>
        <v>1011045.5899999999</v>
      </c>
      <c r="AF50" s="334">
        <f t="shared" si="47"/>
        <v>480921.24</v>
      </c>
      <c r="AG50" s="334">
        <f t="shared" si="47"/>
        <v>395572.27999999997</v>
      </c>
      <c r="AH50" s="334">
        <f t="shared" si="47"/>
        <v>418704.92</v>
      </c>
      <c r="AI50" s="334">
        <f t="shared" si="47"/>
        <v>366251.36</v>
      </c>
      <c r="AJ50" s="870">
        <f t="shared" ref="AJ50:AN50" si="48">SUM(AJ45:AJ49)</f>
        <v>422978.41999999993</v>
      </c>
      <c r="AK50" s="334">
        <f t="shared" si="48"/>
        <v>766655.22</v>
      </c>
      <c r="AL50" s="334">
        <f t="shared" si="48"/>
        <v>1383736.94</v>
      </c>
      <c r="AM50" s="334">
        <f t="shared" si="48"/>
        <v>2484231.5100000002</v>
      </c>
      <c r="AN50" s="334">
        <f t="shared" si="48"/>
        <v>2836004.2699999996</v>
      </c>
      <c r="AO50" s="334">
        <f>SUM(AO45:AO49)</f>
        <v>2244196.5299999998</v>
      </c>
      <c r="AP50" s="334">
        <f>SUM(AP45:AP49)</f>
        <v>1875465.87</v>
      </c>
      <c r="AQ50" s="334">
        <f>SUM(AQ45:AQ49)</f>
        <v>1220647.3700000001</v>
      </c>
      <c r="AR50" s="334">
        <f>SUM(AR45:AR49)</f>
        <v>377672.14999999997</v>
      </c>
      <c r="AS50" s="334"/>
      <c r="AT50" s="334"/>
      <c r="AU50" s="334"/>
      <c r="AV50" s="334"/>
      <c r="AW50" s="79">
        <f t="shared" ref="AW50:BF50" si="49">SUM(AW45:AW49)</f>
        <v>584646.24000000011</v>
      </c>
      <c r="AX50" s="79">
        <f t="shared" si="49"/>
        <v>41572.559999999954</v>
      </c>
      <c r="AY50" s="79">
        <f t="shared" si="49"/>
        <v>-521548.78999999992</v>
      </c>
      <c r="AZ50" s="79">
        <f t="shared" si="49"/>
        <v>-407881.55</v>
      </c>
      <c r="BA50" s="79">
        <f t="shared" si="49"/>
        <v>-56431.152000000016</v>
      </c>
      <c r="BB50" s="79">
        <f t="shared" si="49"/>
        <v>-310382.79000000004</v>
      </c>
      <c r="BC50" s="78">
        <f t="shared" si="49"/>
        <v>-298885.11000000004</v>
      </c>
      <c r="BD50" s="78">
        <f t="shared" si="49"/>
        <v>-340523.31000000006</v>
      </c>
      <c r="BE50" s="78">
        <f t="shared" si="49"/>
        <v>-332560.12999999995</v>
      </c>
      <c r="BF50" s="254">
        <f t="shared" si="49"/>
        <v>-159472.13999999996</v>
      </c>
      <c r="BG50" s="254">
        <f t="shared" ref="BG50:BR50" si="50">M50-Y50</f>
        <v>-406897.05999999982</v>
      </c>
      <c r="BH50" s="254">
        <f t="shared" si="50"/>
        <v>-1449310.06</v>
      </c>
      <c r="BI50" s="254">
        <f t="shared" si="50"/>
        <v>-553654.38000000035</v>
      </c>
      <c r="BJ50" s="254">
        <f t="shared" si="50"/>
        <v>-270532.33000000007</v>
      </c>
      <c r="BK50" s="254">
        <f t="shared" si="50"/>
        <v>245471.02000000002</v>
      </c>
      <c r="BL50" s="254">
        <f t="shared" si="50"/>
        <v>-84854.760000000009</v>
      </c>
      <c r="BM50" s="254">
        <f t="shared" si="50"/>
        <v>-377496.05999999982</v>
      </c>
      <c r="BN50" s="254">
        <f t="shared" si="50"/>
        <v>287155.68999999994</v>
      </c>
      <c r="BO50" s="254">
        <f t="shared" si="50"/>
        <v>312932.12000000005</v>
      </c>
      <c r="BP50" s="254">
        <f t="shared" si="50"/>
        <v>320030.47999999992</v>
      </c>
      <c r="BQ50" s="254">
        <f t="shared" si="50"/>
        <v>425999.02</v>
      </c>
      <c r="BR50" s="254">
        <f t="shared" si="50"/>
        <v>731105.79</v>
      </c>
      <c r="CF50" s="239">
        <v>43970</v>
      </c>
      <c r="CG50" s="239">
        <v>43971</v>
      </c>
    </row>
    <row r="51" spans="1:87" x14ac:dyDescent="0.25">
      <c r="A51" s="4">
        <f>+A44+1</f>
        <v>7</v>
      </c>
      <c r="B51" s="42" t="s">
        <v>30</v>
      </c>
      <c r="C51" s="108"/>
      <c r="D51" s="79"/>
      <c r="E51" s="79"/>
      <c r="F51" s="79"/>
      <c r="G51" s="79"/>
      <c r="H51" s="79"/>
      <c r="I51" s="79"/>
      <c r="J51" s="79"/>
      <c r="K51" s="79"/>
      <c r="L51" s="110"/>
      <c r="M51" s="79"/>
      <c r="N51" s="79"/>
      <c r="O51" s="79"/>
      <c r="P51" s="79"/>
      <c r="Q51" s="79"/>
      <c r="R51" s="79"/>
      <c r="S51" s="79"/>
      <c r="T51" s="79"/>
      <c r="U51" s="175"/>
      <c r="V51" s="109"/>
      <c r="W51" s="109"/>
      <c r="X51" s="110"/>
      <c r="Y51" s="109"/>
      <c r="Z51" s="109"/>
      <c r="AA51" s="109"/>
      <c r="AB51" s="109"/>
      <c r="AC51" s="110"/>
      <c r="AD51" s="333"/>
      <c r="AE51" s="748"/>
      <c r="AF51" s="748"/>
      <c r="AG51" s="748"/>
      <c r="AH51" s="748"/>
      <c r="AI51" s="748"/>
      <c r="AJ51" s="869"/>
      <c r="AK51" s="748"/>
      <c r="AL51" s="748"/>
      <c r="AM51" s="748"/>
      <c r="AN51" s="748"/>
      <c r="AO51" s="748"/>
      <c r="AP51" s="748"/>
      <c r="AQ51" s="748"/>
      <c r="AR51" s="748"/>
      <c r="AS51" s="748"/>
      <c r="AT51" s="748"/>
      <c r="AU51" s="748"/>
      <c r="AV51" s="748"/>
      <c r="AW51" s="79"/>
      <c r="AX51" s="79"/>
      <c r="AY51" s="79"/>
      <c r="AZ51" s="79"/>
      <c r="BA51" s="79"/>
      <c r="BB51" s="79"/>
      <c r="BC51" s="78"/>
      <c r="BD51" s="314"/>
      <c r="BE51" s="314"/>
      <c r="BF51" s="314"/>
      <c r="BG51" s="405"/>
      <c r="BH51" s="77"/>
      <c r="BI51" s="189"/>
      <c r="BJ51" s="189"/>
      <c r="BK51" s="189"/>
      <c r="BL51" s="189"/>
      <c r="BM51" s="189"/>
      <c r="BN51" s="189"/>
      <c r="BO51" s="189"/>
      <c r="BP51" s="189"/>
      <c r="BQ51" s="189"/>
      <c r="BR51" s="189"/>
      <c r="CE51" s="2" t="s">
        <v>49</v>
      </c>
      <c r="CF51" s="238">
        <f>SUM(E45+E46+E52+E53+E59+E60)</f>
        <v>4024345.31</v>
      </c>
      <c r="CG51" s="238">
        <f>SUM(Q45+Q46+Q52+Q53+Q59+Q60)</f>
        <v>5924166.9000000004</v>
      </c>
      <c r="CH51" s="238">
        <f>CG51-CF51</f>
        <v>1899821.5900000003</v>
      </c>
      <c r="CI51" s="2">
        <f>((CH51/CF51)/2)*100</f>
        <v>23.60410754612904</v>
      </c>
    </row>
    <row r="52" spans="1:87" x14ac:dyDescent="0.25">
      <c r="A52" s="4"/>
      <c r="B52" s="35" t="s">
        <v>36</v>
      </c>
      <c r="C52" s="108">
        <v>565183.17000000004</v>
      </c>
      <c r="D52" s="79">
        <v>768273.07</v>
      </c>
      <c r="E52" s="79">
        <v>763312.6</v>
      </c>
      <c r="F52" s="79">
        <v>715276.34</v>
      </c>
      <c r="G52" s="79">
        <v>372135</v>
      </c>
      <c r="H52" s="204">
        <v>250136.21</v>
      </c>
      <c r="I52" s="79">
        <v>194954.51</v>
      </c>
      <c r="J52" s="79">
        <v>160335.88</v>
      </c>
      <c r="K52" s="79">
        <v>169676.32</v>
      </c>
      <c r="L52" s="110">
        <v>173297.3</v>
      </c>
      <c r="M52" s="79">
        <v>332931.3</v>
      </c>
      <c r="N52" s="79">
        <v>591048.44999999995</v>
      </c>
      <c r="O52" s="79">
        <v>901434.11</v>
      </c>
      <c r="P52" s="79">
        <v>977566.32</v>
      </c>
      <c r="Q52" s="79">
        <v>1003179.1</v>
      </c>
      <c r="R52" s="79">
        <v>905172.67</v>
      </c>
      <c r="S52" s="79">
        <v>670836.28</v>
      </c>
      <c r="T52" s="79">
        <v>288998.94</v>
      </c>
      <c r="U52" s="79">
        <v>234806.17</v>
      </c>
      <c r="V52" s="79">
        <v>241391.74</v>
      </c>
      <c r="W52" s="79">
        <f>233041.26+600</f>
        <v>233641.26</v>
      </c>
      <c r="X52" s="110">
        <f>259108.76+378</f>
        <v>259486.76</v>
      </c>
      <c r="Y52" s="79">
        <f>453036.02+323</f>
        <v>453359.02</v>
      </c>
      <c r="Z52" s="79">
        <f>787441.66</f>
        <v>787441.66</v>
      </c>
      <c r="AA52" s="79">
        <f>1267810.14+44</f>
        <v>1267854.1399999999</v>
      </c>
      <c r="AB52" s="79">
        <v>1280857.1499999999</v>
      </c>
      <c r="AC52" s="580">
        <v>1141169.3999999999</v>
      </c>
      <c r="AD52" s="333">
        <f>12301.14+868795.93+2319.21</f>
        <v>883416.28</v>
      </c>
      <c r="AE52" s="748">
        <v>532763.78</v>
      </c>
      <c r="AF52" s="748">
        <v>512255.17</v>
      </c>
      <c r="AG52" s="748">
        <f>8375.04+249798.51+406.51</f>
        <v>258580.06000000003</v>
      </c>
      <c r="AH52" s="748">
        <v>216073.34</v>
      </c>
      <c r="AI52" s="748">
        <f>6797.22+189566.6+188.36</f>
        <v>196552.18</v>
      </c>
      <c r="AJ52" s="869">
        <f>7867.05+180697.69+209.38</f>
        <v>188774.12</v>
      </c>
      <c r="AK52" s="748">
        <f>8912.69+185102.26</f>
        <v>194014.95</v>
      </c>
      <c r="AL52" s="748">
        <f>11472.45+402922.19</f>
        <v>414394.64</v>
      </c>
      <c r="AM52" s="748">
        <f>14113.02+721224.42</f>
        <v>735337.44000000006</v>
      </c>
      <c r="AN52" s="748">
        <f>19759.84+1235974.09</f>
        <v>1255733.9300000002</v>
      </c>
      <c r="AO52" s="748">
        <f>21005.8+1633052.03+431.67</f>
        <v>1654489.5</v>
      </c>
      <c r="AP52" s="748">
        <f>22302.81+1501845.76+416.14</f>
        <v>1524564.71</v>
      </c>
      <c r="AQ52" s="748">
        <f>23177.37+1366058.31+5.75</f>
        <v>1389241.4300000002</v>
      </c>
      <c r="AR52" s="748">
        <f>10989.5+416299.56+69.02</f>
        <v>427358.08</v>
      </c>
      <c r="AS52" s="748"/>
      <c r="AT52" s="748"/>
      <c r="AU52" s="748"/>
      <c r="AV52" s="748"/>
      <c r="AW52" s="79">
        <f t="shared" ref="AW52:BA56" si="51">C52-O52</f>
        <v>-336250.93999999994</v>
      </c>
      <c r="AX52" s="79">
        <f t="shared" si="51"/>
        <v>-209293.25</v>
      </c>
      <c r="AY52" s="79">
        <f t="shared" si="51"/>
        <v>-239866.5</v>
      </c>
      <c r="AZ52" s="79">
        <f t="shared" si="51"/>
        <v>-189896.33000000007</v>
      </c>
      <c r="BA52" s="79">
        <f t="shared" si="51"/>
        <v>-298701.28000000003</v>
      </c>
      <c r="BB52" s="79">
        <f>H45-T52</f>
        <v>6354.539999999979</v>
      </c>
      <c r="BC52" s="78">
        <f t="shared" ref="BC52:BR56" si="52">I52-U52</f>
        <v>-39851.660000000003</v>
      </c>
      <c r="BD52" s="78">
        <f t="shared" si="52"/>
        <v>-81055.859999999986</v>
      </c>
      <c r="BE52" s="78">
        <f t="shared" si="52"/>
        <v>-63964.94</v>
      </c>
      <c r="BF52" s="254">
        <f t="shared" si="52"/>
        <v>-86189.460000000021</v>
      </c>
      <c r="BG52" s="254">
        <f t="shared" si="52"/>
        <v>-120427.72000000003</v>
      </c>
      <c r="BH52" s="254">
        <f t="shared" si="52"/>
        <v>-196393.21000000008</v>
      </c>
      <c r="BI52" s="254">
        <f t="shared" si="52"/>
        <v>-366420.02999999991</v>
      </c>
      <c r="BJ52" s="254">
        <f t="shared" si="52"/>
        <v>-303290.82999999996</v>
      </c>
      <c r="BK52" s="254">
        <f t="shared" si="52"/>
        <v>-137990.29999999993</v>
      </c>
      <c r="BL52" s="254">
        <f t="shared" si="52"/>
        <v>21756.390000000014</v>
      </c>
      <c r="BM52" s="254">
        <f t="shared" si="52"/>
        <v>138072.5</v>
      </c>
      <c r="BN52" s="254">
        <f t="shared" si="52"/>
        <v>-223256.22999999998</v>
      </c>
      <c r="BO52" s="254">
        <f t="shared" si="52"/>
        <v>-23773.890000000014</v>
      </c>
      <c r="BP52" s="254">
        <f t="shared" si="52"/>
        <v>25318.399999999994</v>
      </c>
      <c r="BQ52" s="254">
        <f t="shared" si="52"/>
        <v>37089.080000000016</v>
      </c>
      <c r="BR52" s="254">
        <f t="shared" si="52"/>
        <v>70712.640000000014</v>
      </c>
      <c r="CE52" s="2" t="s">
        <v>50</v>
      </c>
      <c r="CF52" s="238">
        <f>SUM(E47+E48+E49+E54+E55+E56+E61+E62+E63)</f>
        <v>335201.68000000005</v>
      </c>
      <c r="CG52" s="238">
        <f>SUM(Q47+Q48+Q49+Q54+Q55+Q56+Q61+Q62+Q63)</f>
        <v>1039671.3</v>
      </c>
      <c r="CH52" s="238">
        <f>CG52-CF52</f>
        <v>704469.62</v>
      </c>
      <c r="CI52" s="2">
        <f>((CH52/CF52)/2)*100</f>
        <v>105.08145722897331</v>
      </c>
    </row>
    <row r="53" spans="1:87" x14ac:dyDescent="0.25">
      <c r="A53" s="4"/>
      <c r="B53" s="35" t="s">
        <v>37</v>
      </c>
      <c r="C53" s="108">
        <v>311636.96999999997</v>
      </c>
      <c r="D53" s="79">
        <v>362843</v>
      </c>
      <c r="E53" s="79">
        <v>295236.59000000003</v>
      </c>
      <c r="F53" s="79">
        <v>263094.82</v>
      </c>
      <c r="G53" s="79">
        <v>169028.75</v>
      </c>
      <c r="H53" s="204">
        <v>126438.23</v>
      </c>
      <c r="I53" s="79">
        <v>98609.39</v>
      </c>
      <c r="J53" s="79">
        <v>91376.68</v>
      </c>
      <c r="K53" s="79">
        <v>96553.15</v>
      </c>
      <c r="L53" s="110">
        <v>87987.87</v>
      </c>
      <c r="M53" s="79">
        <v>177203.05</v>
      </c>
      <c r="N53" s="79">
        <v>304470.94</v>
      </c>
      <c r="O53" s="79">
        <v>341119.79</v>
      </c>
      <c r="P53" s="79">
        <v>316785.14</v>
      </c>
      <c r="Q53" s="79">
        <v>311960.15999999997</v>
      </c>
      <c r="R53" s="79">
        <v>141613.45000000001</v>
      </c>
      <c r="S53" s="79">
        <v>132979.01</v>
      </c>
      <c r="T53" s="79">
        <v>109082.29</v>
      </c>
      <c r="U53" s="79">
        <v>170562.86</v>
      </c>
      <c r="V53" s="79">
        <v>277996.78999999998</v>
      </c>
      <c r="W53" s="79">
        <v>316108.44</v>
      </c>
      <c r="X53" s="110">
        <v>250640.85</v>
      </c>
      <c r="Y53" s="79">
        <v>250858.89</v>
      </c>
      <c r="Z53" s="79">
        <v>426725.75</v>
      </c>
      <c r="AA53" s="79">
        <v>655520.25</v>
      </c>
      <c r="AB53" s="79">
        <v>469496.26</v>
      </c>
      <c r="AC53" s="580">
        <v>266788.14</v>
      </c>
      <c r="AD53" s="333">
        <f>2069.49+377821.22</f>
        <v>379890.70999999996</v>
      </c>
      <c r="AE53" s="748">
        <v>279505.63</v>
      </c>
      <c r="AF53" s="748">
        <v>182182.97</v>
      </c>
      <c r="AG53" s="748">
        <f>711.45+788292.15</f>
        <v>789003.6</v>
      </c>
      <c r="AH53" s="748">
        <v>71645.73</v>
      </c>
      <c r="AI53" s="748">
        <f>1114.65+75695.6</f>
        <v>76810.25</v>
      </c>
      <c r="AJ53" s="869">
        <f>1191.75+74597.6</f>
        <v>75789.350000000006</v>
      </c>
      <c r="AK53" s="748">
        <f>1291.93+66648.54</f>
        <v>67940.469999999987</v>
      </c>
      <c r="AL53" s="748">
        <f>1434.93+108719.93</f>
        <v>110154.85999999999</v>
      </c>
      <c r="AM53" s="748">
        <f>1952.96+210253.6</f>
        <v>212206.56</v>
      </c>
      <c r="AN53" s="748">
        <f>3220.62+427171.5</f>
        <v>430392.12</v>
      </c>
      <c r="AO53" s="748">
        <f>1812.69+(-264495.76)+0</f>
        <v>-262683.07</v>
      </c>
      <c r="AP53" s="748">
        <f>4490.42+439869.39</f>
        <v>444359.81</v>
      </c>
      <c r="AQ53" s="748">
        <f>4388.01+427424.17+0</f>
        <v>431812.18</v>
      </c>
      <c r="AR53" s="748">
        <f>2222.98+141114.77</f>
        <v>143337.75</v>
      </c>
      <c r="AS53" s="748"/>
      <c r="AT53" s="748"/>
      <c r="AU53" s="748"/>
      <c r="AV53" s="748"/>
      <c r="AW53" s="79">
        <f t="shared" si="51"/>
        <v>-29482.820000000007</v>
      </c>
      <c r="AX53" s="79">
        <f t="shared" si="51"/>
        <v>46057.859999999986</v>
      </c>
      <c r="AY53" s="79">
        <f t="shared" si="51"/>
        <v>-16723.569999999949</v>
      </c>
      <c r="AZ53" s="79">
        <f t="shared" si="51"/>
        <v>121481.37</v>
      </c>
      <c r="BA53" s="79">
        <f t="shared" si="51"/>
        <v>36049.739999999991</v>
      </c>
      <c r="BB53" s="79">
        <f>H46-T53</f>
        <v>8831.2300000000105</v>
      </c>
      <c r="BC53" s="78">
        <f t="shared" si="52"/>
        <v>-71953.469999999987</v>
      </c>
      <c r="BD53" s="78">
        <f t="shared" si="52"/>
        <v>-186620.11</v>
      </c>
      <c r="BE53" s="78">
        <f t="shared" si="52"/>
        <v>-219555.29</v>
      </c>
      <c r="BF53" s="254">
        <f t="shared" si="52"/>
        <v>-162652.98000000001</v>
      </c>
      <c r="BG53" s="254">
        <f t="shared" si="52"/>
        <v>-73655.840000000026</v>
      </c>
      <c r="BH53" s="254">
        <f t="shared" si="52"/>
        <v>-122254.81</v>
      </c>
      <c r="BI53" s="254">
        <f t="shared" si="52"/>
        <v>-314400.46000000002</v>
      </c>
      <c r="BJ53" s="254">
        <f t="shared" si="52"/>
        <v>-152711.12</v>
      </c>
      <c r="BK53" s="254">
        <f t="shared" si="52"/>
        <v>45172.01999999996</v>
      </c>
      <c r="BL53" s="254">
        <f t="shared" si="52"/>
        <v>-238277.25999999995</v>
      </c>
      <c r="BM53" s="254">
        <f t="shared" si="52"/>
        <v>-146526.62</v>
      </c>
      <c r="BN53" s="254">
        <f t="shared" si="52"/>
        <v>-73100.680000000008</v>
      </c>
      <c r="BO53" s="254">
        <f t="shared" si="52"/>
        <v>-618440.74</v>
      </c>
      <c r="BP53" s="254">
        <f t="shared" si="52"/>
        <v>206351.06</v>
      </c>
      <c r="BQ53" s="254">
        <f t="shared" si="52"/>
        <v>239298.19</v>
      </c>
      <c r="BR53" s="254">
        <f t="shared" si="52"/>
        <v>174851.5</v>
      </c>
    </row>
    <row r="54" spans="1:87" x14ac:dyDescent="0.25">
      <c r="A54" s="4"/>
      <c r="B54" s="35" t="s">
        <v>38</v>
      </c>
      <c r="C54" s="108">
        <v>22026.82</v>
      </c>
      <c r="D54" s="79">
        <v>39949.379999999997</v>
      </c>
      <c r="E54" s="79">
        <v>38481.879999999997</v>
      </c>
      <c r="F54" s="79">
        <v>34563.61</v>
      </c>
      <c r="G54" s="79">
        <v>17058.490000000002</v>
      </c>
      <c r="H54" s="79">
        <v>12137.06</v>
      </c>
      <c r="I54" s="79">
        <v>9229.06</v>
      </c>
      <c r="J54" s="79">
        <v>7415.67</v>
      </c>
      <c r="K54" s="79">
        <v>8722.85</v>
      </c>
      <c r="L54" s="110">
        <v>9783.5499999999993</v>
      </c>
      <c r="M54" s="79">
        <v>11083.03</v>
      </c>
      <c r="N54" s="79">
        <v>30654</v>
      </c>
      <c r="O54" s="79">
        <v>94776.79</v>
      </c>
      <c r="P54" s="79">
        <v>80308.47</v>
      </c>
      <c r="Q54" s="79">
        <v>106834.29</v>
      </c>
      <c r="R54" s="79">
        <v>67424.75</v>
      </c>
      <c r="S54" s="79">
        <v>47303.16</v>
      </c>
      <c r="T54" s="79">
        <v>27257.7</v>
      </c>
      <c r="U54" s="79">
        <v>9244.34</v>
      </c>
      <c r="V54" s="79">
        <v>10003.379999999999</v>
      </c>
      <c r="W54" s="79">
        <v>12268.17</v>
      </c>
      <c r="X54" s="110">
        <v>14628.96</v>
      </c>
      <c r="Y54" s="79">
        <v>17522.919999999998</v>
      </c>
      <c r="Z54" s="79">
        <v>44895.839999999997</v>
      </c>
      <c r="AA54" s="79">
        <v>51635.94</v>
      </c>
      <c r="AB54" s="79">
        <v>56675.38</v>
      </c>
      <c r="AC54" s="580">
        <v>43262.39</v>
      </c>
      <c r="AD54" s="333">
        <f>43728.15+5229.55+7864.13+589.33</f>
        <v>57411.16</v>
      </c>
      <c r="AE54" s="748">
        <v>29689.75</v>
      </c>
      <c r="AF54" s="748">
        <v>30648.27</v>
      </c>
      <c r="AG54" s="748">
        <v>13867.55</v>
      </c>
      <c r="AH54" s="748">
        <v>12334.75</v>
      </c>
      <c r="AI54" s="748">
        <f>8017.1+3114.62+58.47</f>
        <v>11190.19</v>
      </c>
      <c r="AJ54" s="869">
        <v>12131.57</v>
      </c>
      <c r="AK54" s="748">
        <v>10958.96</v>
      </c>
      <c r="AL54" s="748">
        <v>17704.8</v>
      </c>
      <c r="AM54" s="748">
        <v>34721.69</v>
      </c>
      <c r="AN54" s="748">
        <f>55437.45+6252.53+836.88+122.65</f>
        <v>62649.509999999995</v>
      </c>
      <c r="AO54" s="748">
        <f>56580.61+4360.16+(-1376.42)+(-1982.15)</f>
        <v>57582.200000000004</v>
      </c>
      <c r="AP54" s="748">
        <f>134469.22+10545.88+966.47+752.44</f>
        <v>146734.01</v>
      </c>
      <c r="AQ54" s="748">
        <f>75675.84+8439.56+22.11+752.44</f>
        <v>84889.95</v>
      </c>
      <c r="AR54" s="748">
        <f>15480.72+4171.62+95.93+408.46</f>
        <v>20156.73</v>
      </c>
      <c r="AS54" s="748"/>
      <c r="AT54" s="748"/>
      <c r="AU54" s="748"/>
      <c r="AV54" s="748"/>
      <c r="AW54" s="79">
        <f t="shared" si="51"/>
        <v>-72749.97</v>
      </c>
      <c r="AX54" s="79">
        <f t="shared" si="51"/>
        <v>-40359.090000000004</v>
      </c>
      <c r="AY54" s="79">
        <f t="shared" si="51"/>
        <v>-68352.41</v>
      </c>
      <c r="AZ54" s="79">
        <f t="shared" si="51"/>
        <v>-32861.14</v>
      </c>
      <c r="BA54" s="79">
        <f t="shared" si="51"/>
        <v>-30244.670000000002</v>
      </c>
      <c r="BB54" s="79">
        <f>H54-T54</f>
        <v>-15120.640000000001</v>
      </c>
      <c r="BC54" s="78">
        <f t="shared" si="52"/>
        <v>-15.280000000000655</v>
      </c>
      <c r="BD54" s="78">
        <f t="shared" si="52"/>
        <v>-2587.7099999999991</v>
      </c>
      <c r="BE54" s="78">
        <f t="shared" si="52"/>
        <v>-3545.3199999999997</v>
      </c>
      <c r="BF54" s="254">
        <f t="shared" si="52"/>
        <v>-4845.41</v>
      </c>
      <c r="BG54" s="254">
        <f t="shared" si="52"/>
        <v>-6439.8899999999976</v>
      </c>
      <c r="BH54" s="254">
        <f t="shared" si="52"/>
        <v>-14241.839999999997</v>
      </c>
      <c r="BI54" s="254">
        <f t="shared" si="52"/>
        <v>43140.849999999991</v>
      </c>
      <c r="BJ54" s="254">
        <f t="shared" si="52"/>
        <v>23633.090000000004</v>
      </c>
      <c r="BK54" s="254">
        <f t="shared" si="52"/>
        <v>63571.899999999994</v>
      </c>
      <c r="BL54" s="254">
        <f t="shared" si="52"/>
        <v>10013.589999999997</v>
      </c>
      <c r="BM54" s="254">
        <f t="shared" si="52"/>
        <v>17613.410000000003</v>
      </c>
      <c r="BN54" s="254">
        <f t="shared" si="52"/>
        <v>-3390.5699999999997</v>
      </c>
      <c r="BO54" s="254">
        <f t="shared" si="52"/>
        <v>-4623.2099999999991</v>
      </c>
      <c r="BP54" s="254">
        <f t="shared" si="52"/>
        <v>-2331.3700000000008</v>
      </c>
      <c r="BQ54" s="254">
        <f t="shared" si="52"/>
        <v>1077.9799999999996</v>
      </c>
      <c r="BR54" s="254">
        <f t="shared" si="52"/>
        <v>2497.3899999999994</v>
      </c>
      <c r="CF54" s="239">
        <v>44001</v>
      </c>
      <c r="CG54" s="239">
        <v>44002</v>
      </c>
    </row>
    <row r="55" spans="1:87" x14ac:dyDescent="0.25">
      <c r="A55" s="4"/>
      <c r="B55" s="35" t="s">
        <v>39</v>
      </c>
      <c r="C55" s="108">
        <v>5534.49</v>
      </c>
      <c r="D55" s="79">
        <v>39453.089999999997</v>
      </c>
      <c r="E55" s="79">
        <v>33265</v>
      </c>
      <c r="F55" s="79">
        <v>28762.7</v>
      </c>
      <c r="G55" s="79">
        <v>10652.73</v>
      </c>
      <c r="H55" s="79">
        <v>3559.7</v>
      </c>
      <c r="I55" s="79">
        <v>3559.74</v>
      </c>
      <c r="J55" s="79">
        <v>2181.9</v>
      </c>
      <c r="K55" s="79">
        <v>5107.8999999999996</v>
      </c>
      <c r="L55" s="110">
        <v>4680.21</v>
      </c>
      <c r="M55" s="79">
        <v>11144.76</v>
      </c>
      <c r="N55" s="79">
        <v>24862.84</v>
      </c>
      <c r="O55" s="79">
        <v>40777.69</v>
      </c>
      <c r="P55" s="79">
        <v>112536.49</v>
      </c>
      <c r="Q55" s="79">
        <v>153401.39000000001</v>
      </c>
      <c r="R55" s="79">
        <v>85734.79</v>
      </c>
      <c r="S55" s="79">
        <v>56262.77</v>
      </c>
      <c r="T55" s="79">
        <v>22342.16</v>
      </c>
      <c r="U55" s="79">
        <v>10322.44</v>
      </c>
      <c r="V55" s="79">
        <v>14465.34</v>
      </c>
      <c r="W55" s="79">
        <v>7141.64</v>
      </c>
      <c r="X55" s="110">
        <v>9133.86</v>
      </c>
      <c r="Y55" s="79">
        <v>29959.3</v>
      </c>
      <c r="Z55" s="79">
        <v>78470.34</v>
      </c>
      <c r="AA55" s="79">
        <v>75994.98</v>
      </c>
      <c r="AB55" s="79">
        <v>76436.25</v>
      </c>
      <c r="AC55" s="580">
        <v>69451.600000000006</v>
      </c>
      <c r="AD55" s="333">
        <f>33867.58+6458.94+81173.86</f>
        <v>121500.38</v>
      </c>
      <c r="AE55" s="748">
        <v>34219.89</v>
      </c>
      <c r="AF55" s="748">
        <v>36261.919999999998</v>
      </c>
      <c r="AG55" s="748">
        <v>18296.150000000001</v>
      </c>
      <c r="AH55" s="748">
        <v>22432.75</v>
      </c>
      <c r="AI55" s="748">
        <f>3969.94+3291.61+702.58+3289.3</f>
        <v>11253.43</v>
      </c>
      <c r="AJ55" s="869">
        <v>12660.62</v>
      </c>
      <c r="AK55" s="748">
        <v>10139.99</v>
      </c>
      <c r="AL55" s="748">
        <v>27665.439999999999</v>
      </c>
      <c r="AM55" s="748">
        <v>28863.58</v>
      </c>
      <c r="AN55" s="748">
        <f>24458.62+5018.21+9452.49+13019.5</f>
        <v>51948.82</v>
      </c>
      <c r="AO55" s="748">
        <f>40673.55+13764.24+17799.14</f>
        <v>72236.929999999993</v>
      </c>
      <c r="AP55" s="748">
        <f>79099.02+5944.91+2909.04+7250.85</f>
        <v>95203.82</v>
      </c>
      <c r="AQ55" s="748">
        <f>81957.84+4687.33+2055.09+8248.97</f>
        <v>96949.23</v>
      </c>
      <c r="AR55" s="748">
        <f>8336.28+4602.21+25861.91+4353.06</f>
        <v>43153.46</v>
      </c>
      <c r="AS55" s="748"/>
      <c r="AT55" s="748"/>
      <c r="AU55" s="748"/>
      <c r="AV55" s="748"/>
      <c r="AW55" s="79">
        <f t="shared" si="51"/>
        <v>-35243.200000000004</v>
      </c>
      <c r="AX55" s="79">
        <f t="shared" si="51"/>
        <v>-73083.400000000009</v>
      </c>
      <c r="AY55" s="79">
        <f t="shared" si="51"/>
        <v>-120136.39000000001</v>
      </c>
      <c r="AZ55" s="79">
        <f t="shared" si="51"/>
        <v>-56972.09</v>
      </c>
      <c r="BA55" s="79">
        <f t="shared" si="51"/>
        <v>-45610.039999999994</v>
      </c>
      <c r="BB55" s="79">
        <f>H55-T55</f>
        <v>-18782.46</v>
      </c>
      <c r="BC55" s="78">
        <f t="shared" si="52"/>
        <v>-6762.7000000000007</v>
      </c>
      <c r="BD55" s="78">
        <f t="shared" si="52"/>
        <v>-12283.44</v>
      </c>
      <c r="BE55" s="78">
        <f t="shared" si="52"/>
        <v>-2033.7400000000007</v>
      </c>
      <c r="BF55" s="254">
        <f t="shared" si="52"/>
        <v>-4453.6500000000005</v>
      </c>
      <c r="BG55" s="254">
        <f t="shared" si="52"/>
        <v>-18814.54</v>
      </c>
      <c r="BH55" s="254">
        <f t="shared" si="52"/>
        <v>-53607.5</v>
      </c>
      <c r="BI55" s="254">
        <f t="shared" si="52"/>
        <v>-35217.289999999994</v>
      </c>
      <c r="BJ55" s="254">
        <f t="shared" si="52"/>
        <v>36100.240000000005</v>
      </c>
      <c r="BK55" s="254">
        <f t="shared" si="52"/>
        <v>83949.790000000008</v>
      </c>
      <c r="BL55" s="254">
        <f t="shared" si="52"/>
        <v>-35765.590000000011</v>
      </c>
      <c r="BM55" s="254">
        <f t="shared" si="52"/>
        <v>22042.879999999997</v>
      </c>
      <c r="BN55" s="254">
        <f t="shared" si="52"/>
        <v>-13919.759999999998</v>
      </c>
      <c r="BO55" s="254">
        <f t="shared" si="52"/>
        <v>-7973.7100000000009</v>
      </c>
      <c r="BP55" s="254">
        <f t="shared" si="52"/>
        <v>-7967.41</v>
      </c>
      <c r="BQ55" s="254">
        <f t="shared" si="52"/>
        <v>-4111.79</v>
      </c>
      <c r="BR55" s="254">
        <f t="shared" si="52"/>
        <v>-3526.76</v>
      </c>
      <c r="CE55" s="2" t="s">
        <v>49</v>
      </c>
      <c r="CF55" s="238">
        <f>SUM(E45+E46+E52+E53+E59+E60)</f>
        <v>4024345.31</v>
      </c>
      <c r="CG55" s="238">
        <f>SUM(R45+R46+R52+R53+R59+R60)</f>
        <v>5183823.4800000004</v>
      </c>
      <c r="CH55" s="238">
        <f>CG55-CF55</f>
        <v>1159478.1700000004</v>
      </c>
      <c r="CI55" s="2">
        <f>((CH55/CF55)/2)*100</f>
        <v>14.405798716114651</v>
      </c>
    </row>
    <row r="56" spans="1:87" x14ac:dyDescent="0.25">
      <c r="A56" s="4"/>
      <c r="B56" s="35" t="s">
        <v>40</v>
      </c>
      <c r="C56" s="108">
        <v>0</v>
      </c>
      <c r="D56" s="79">
        <v>0</v>
      </c>
      <c r="E56" s="79">
        <v>0</v>
      </c>
      <c r="F56" s="79">
        <v>0</v>
      </c>
      <c r="G56" s="79">
        <v>0</v>
      </c>
      <c r="H56" s="79">
        <v>0</v>
      </c>
      <c r="I56" s="79">
        <v>19.53</v>
      </c>
      <c r="J56" s="79">
        <v>0</v>
      </c>
      <c r="K56" s="79">
        <v>9.19</v>
      </c>
      <c r="L56" s="110">
        <v>0</v>
      </c>
      <c r="M56" s="79">
        <v>2.19</v>
      </c>
      <c r="N56" s="79">
        <v>12384.7</v>
      </c>
      <c r="O56" s="79">
        <v>0</v>
      </c>
      <c r="P56" s="79">
        <v>0</v>
      </c>
      <c r="Q56" s="79">
        <v>43104.74</v>
      </c>
      <c r="R56" s="79">
        <v>117764.4</v>
      </c>
      <c r="S56" s="79">
        <v>918.5</v>
      </c>
      <c r="T56" s="79">
        <v>25110.5</v>
      </c>
      <c r="U56" s="79">
        <v>1252.43</v>
      </c>
      <c r="V56" s="79">
        <v>1316.52</v>
      </c>
      <c r="W56" s="79">
        <v>606.82000000000005</v>
      </c>
      <c r="X56" s="110">
        <v>0</v>
      </c>
      <c r="Y56" s="79">
        <v>7954.2</v>
      </c>
      <c r="Z56" s="79">
        <v>0</v>
      </c>
      <c r="AA56" s="79">
        <v>0</v>
      </c>
      <c r="AB56" s="79">
        <v>0</v>
      </c>
      <c r="AC56" s="580">
        <v>20739.28</v>
      </c>
      <c r="AD56" s="333">
        <v>20739.28</v>
      </c>
      <c r="AE56" s="748">
        <v>11265.42</v>
      </c>
      <c r="AF56" s="748">
        <v>5463.48</v>
      </c>
      <c r="AG56" s="748">
        <v>4305.21</v>
      </c>
      <c r="AH56" s="748">
        <v>3180.52</v>
      </c>
      <c r="AI56" s="748">
        <f>5995.23</f>
        <v>5995.23</v>
      </c>
      <c r="AJ56" s="869">
        <v>7148.41</v>
      </c>
      <c r="AK56" s="748">
        <v>6188.42</v>
      </c>
      <c r="AL56" s="748">
        <v>9153.7800000000007</v>
      </c>
      <c r="AM56" s="748">
        <v>0</v>
      </c>
      <c r="AN56" s="748">
        <v>4.4000000000000004</v>
      </c>
      <c r="AO56" s="748">
        <v>0</v>
      </c>
      <c r="AP56" s="748">
        <v>0</v>
      </c>
      <c r="AQ56" s="748">
        <v>0</v>
      </c>
      <c r="AR56" s="748">
        <v>0</v>
      </c>
      <c r="AS56" s="748"/>
      <c r="AT56" s="748"/>
      <c r="AU56" s="748"/>
      <c r="AV56" s="748"/>
      <c r="AW56" s="79">
        <f t="shared" si="51"/>
        <v>0</v>
      </c>
      <c r="AX56" s="79">
        <f t="shared" si="51"/>
        <v>0</v>
      </c>
      <c r="AY56" s="79">
        <f t="shared" si="51"/>
        <v>-43104.74</v>
      </c>
      <c r="AZ56" s="79">
        <f t="shared" si="51"/>
        <v>-117764.4</v>
      </c>
      <c r="BA56" s="79">
        <f t="shared" si="51"/>
        <v>-918.5</v>
      </c>
      <c r="BB56" s="79">
        <f>H56-T56</f>
        <v>-25110.5</v>
      </c>
      <c r="BC56" s="78">
        <f t="shared" si="52"/>
        <v>-1232.9000000000001</v>
      </c>
      <c r="BD56" s="78">
        <f t="shared" si="52"/>
        <v>-1316.52</v>
      </c>
      <c r="BE56" s="78">
        <f t="shared" si="52"/>
        <v>-597.63</v>
      </c>
      <c r="BF56" s="254">
        <f t="shared" si="52"/>
        <v>0</v>
      </c>
      <c r="BG56" s="254">
        <f t="shared" si="52"/>
        <v>-7952.01</v>
      </c>
      <c r="BH56" s="254">
        <f t="shared" si="52"/>
        <v>12384.7</v>
      </c>
      <c r="BI56" s="254">
        <f t="shared" si="52"/>
        <v>0</v>
      </c>
      <c r="BJ56" s="254">
        <f t="shared" si="52"/>
        <v>0</v>
      </c>
      <c r="BK56" s="254">
        <f t="shared" si="52"/>
        <v>22365.46</v>
      </c>
      <c r="BL56" s="254">
        <f t="shared" si="52"/>
        <v>97025.12</v>
      </c>
      <c r="BM56" s="254">
        <f t="shared" si="52"/>
        <v>-10346.92</v>
      </c>
      <c r="BN56" s="254">
        <f t="shared" si="52"/>
        <v>19647.02</v>
      </c>
      <c r="BO56" s="254">
        <f t="shared" si="52"/>
        <v>-3052.7799999999997</v>
      </c>
      <c r="BP56" s="254">
        <f t="shared" si="52"/>
        <v>-1864</v>
      </c>
      <c r="BQ56" s="254">
        <f t="shared" si="52"/>
        <v>-5388.41</v>
      </c>
      <c r="BR56" s="254">
        <f t="shared" si="52"/>
        <v>-7148.41</v>
      </c>
      <c r="CE56" s="2" t="s">
        <v>50</v>
      </c>
      <c r="CF56" s="238">
        <f>SUM(F47+F48+F49+F54+F55+F56+F61+F62+F63)</f>
        <v>280640.96000000002</v>
      </c>
      <c r="CG56" s="238">
        <f>SUM(R47+R48+R49+R54+R55+R56+R61+R62+R63)</f>
        <v>843577.2</v>
      </c>
      <c r="CH56" s="238">
        <f>CG56-CF56</f>
        <v>562936.24</v>
      </c>
      <c r="CI56" s="2">
        <f>((CH56/CF56)/2)*100</f>
        <v>100.29473958469926</v>
      </c>
    </row>
    <row r="57" spans="1:87" x14ac:dyDescent="0.25">
      <c r="A57" s="4"/>
      <c r="B57" s="35" t="s">
        <v>41</v>
      </c>
      <c r="C57" s="108">
        <f>SUM(C52:C56)</f>
        <v>904381.45</v>
      </c>
      <c r="D57" s="79">
        <f>SUM(D52:D56)</f>
        <v>1210518.5399999998</v>
      </c>
      <c r="E57" s="79">
        <f>SUM(E52:E56)</f>
        <v>1130296.0699999998</v>
      </c>
      <c r="F57" s="79">
        <f>SUM(F52:F56)</f>
        <v>1041697.4699999999</v>
      </c>
      <c r="G57" s="79">
        <f>SUM(G52:G56)</f>
        <v>568874.97</v>
      </c>
      <c r="H57" s="79">
        <f>SUM(H45:H56)</f>
        <v>1307659.48</v>
      </c>
      <c r="I57" s="79">
        <f t="shared" ref="I57:AC57" si="53">SUM(I52:I56)</f>
        <v>306372.23000000004</v>
      </c>
      <c r="J57" s="79">
        <f t="shared" si="53"/>
        <v>261310.13</v>
      </c>
      <c r="K57" s="79">
        <f t="shared" si="53"/>
        <v>280069.40999999997</v>
      </c>
      <c r="L57" s="110">
        <f t="shared" si="53"/>
        <v>275748.93</v>
      </c>
      <c r="M57" s="79">
        <f t="shared" si="53"/>
        <v>532364.32999999996</v>
      </c>
      <c r="N57" s="79">
        <f t="shared" si="53"/>
        <v>963420.92999999982</v>
      </c>
      <c r="O57" s="79">
        <f t="shared" si="53"/>
        <v>1378108.38</v>
      </c>
      <c r="P57" s="79">
        <f t="shared" si="53"/>
        <v>1487196.42</v>
      </c>
      <c r="Q57" s="79">
        <f t="shared" si="53"/>
        <v>1618479.68</v>
      </c>
      <c r="R57" s="79">
        <f t="shared" si="53"/>
        <v>1317710.06</v>
      </c>
      <c r="S57" s="79">
        <f t="shared" si="53"/>
        <v>908299.72000000009</v>
      </c>
      <c r="T57" s="79">
        <f t="shared" si="53"/>
        <v>472791.58999999997</v>
      </c>
      <c r="U57" s="175">
        <f t="shared" si="53"/>
        <v>426188.24000000005</v>
      </c>
      <c r="V57" s="175">
        <f t="shared" si="53"/>
        <v>545173.7699999999</v>
      </c>
      <c r="W57" s="175">
        <f t="shared" si="53"/>
        <v>569766.32999999996</v>
      </c>
      <c r="X57" s="110">
        <f t="shared" si="53"/>
        <v>533890.42999999993</v>
      </c>
      <c r="Y57" s="110">
        <f t="shared" si="53"/>
        <v>759654.33000000007</v>
      </c>
      <c r="Z57" s="110">
        <f t="shared" si="53"/>
        <v>1337533.5900000003</v>
      </c>
      <c r="AA57" s="110">
        <f t="shared" si="53"/>
        <v>2051005.3099999998</v>
      </c>
      <c r="AB57" s="110">
        <f t="shared" si="53"/>
        <v>1883465.0399999998</v>
      </c>
      <c r="AC57" s="110">
        <f t="shared" si="53"/>
        <v>1541410.81</v>
      </c>
      <c r="AD57" s="334">
        <f t="shared" ref="AD57:AI57" si="54">SUM(AD52:AD56)</f>
        <v>1462957.8099999998</v>
      </c>
      <c r="AE57" s="334">
        <f t="shared" si="54"/>
        <v>887444.47000000009</v>
      </c>
      <c r="AF57" s="334">
        <f t="shared" si="54"/>
        <v>766811.81</v>
      </c>
      <c r="AG57" s="334">
        <f t="shared" si="54"/>
        <v>1084052.5699999998</v>
      </c>
      <c r="AH57" s="334">
        <f t="shared" si="54"/>
        <v>325667.09000000003</v>
      </c>
      <c r="AI57" s="334">
        <f t="shared" si="54"/>
        <v>301801.27999999997</v>
      </c>
      <c r="AJ57" s="870">
        <f t="shared" ref="AJ57:AN57" si="55">SUM(AJ52:AJ56)</f>
        <v>296504.06999999995</v>
      </c>
      <c r="AK57" s="334">
        <f t="shared" si="55"/>
        <v>289242.78999999998</v>
      </c>
      <c r="AL57" s="334">
        <f t="shared" si="55"/>
        <v>579073.52</v>
      </c>
      <c r="AM57" s="334">
        <f t="shared" si="55"/>
        <v>1011129.2699999999</v>
      </c>
      <c r="AN57" s="334">
        <f t="shared" si="55"/>
        <v>1800728.7800000003</v>
      </c>
      <c r="AO57" s="334">
        <f>SUM(AO52:AO56)</f>
        <v>1521625.5599999998</v>
      </c>
      <c r="AP57" s="334">
        <f>SUM(AP52:AP56)</f>
        <v>2210862.35</v>
      </c>
      <c r="AQ57" s="334">
        <f>SUM(AQ52:AQ56)</f>
        <v>2002892.79</v>
      </c>
      <c r="AR57" s="334">
        <f>SUM(AR52:AR56)</f>
        <v>634006.02</v>
      </c>
      <c r="AS57" s="334"/>
      <c r="AT57" s="334"/>
      <c r="AU57" s="334"/>
      <c r="AV57" s="334"/>
      <c r="AW57" s="79">
        <f t="shared" ref="AW57:BF57" si="56">SUM(AW52:AW56)</f>
        <v>-473726.93</v>
      </c>
      <c r="AX57" s="79">
        <f t="shared" si="56"/>
        <v>-276677.88</v>
      </c>
      <c r="AY57" s="79">
        <f t="shared" si="56"/>
        <v>-488183.61</v>
      </c>
      <c r="AZ57" s="79">
        <f t="shared" si="56"/>
        <v>-276012.59000000008</v>
      </c>
      <c r="BA57" s="79">
        <f t="shared" si="56"/>
        <v>-339424.75</v>
      </c>
      <c r="BB57" s="79">
        <f t="shared" si="56"/>
        <v>-43827.830000000009</v>
      </c>
      <c r="BC57" s="78">
        <f t="shared" si="56"/>
        <v>-119816.00999999998</v>
      </c>
      <c r="BD57" s="78">
        <f t="shared" si="56"/>
        <v>-283863.64</v>
      </c>
      <c r="BE57" s="78">
        <f t="shared" si="56"/>
        <v>-289696.92</v>
      </c>
      <c r="BF57" s="254">
        <f t="shared" si="56"/>
        <v>-258141.50000000003</v>
      </c>
      <c r="BG57" s="254">
        <f t="shared" ref="BG57:BR57" si="57">M57-Y57</f>
        <v>-227290.00000000012</v>
      </c>
      <c r="BH57" s="254">
        <f t="shared" si="57"/>
        <v>-374112.6600000005</v>
      </c>
      <c r="BI57" s="254">
        <f t="shared" si="57"/>
        <v>-672896.92999999993</v>
      </c>
      <c r="BJ57" s="254">
        <f t="shared" si="57"/>
        <v>-396268.61999999988</v>
      </c>
      <c r="BK57" s="254">
        <f t="shared" si="57"/>
        <v>77068.869999999879</v>
      </c>
      <c r="BL57" s="254">
        <f t="shared" si="57"/>
        <v>-145247.74999999977</v>
      </c>
      <c r="BM57" s="254">
        <f t="shared" si="57"/>
        <v>20855.25</v>
      </c>
      <c r="BN57" s="254">
        <f t="shared" si="57"/>
        <v>-294020.22000000009</v>
      </c>
      <c r="BO57" s="254">
        <f t="shared" si="57"/>
        <v>-657864.32999999984</v>
      </c>
      <c r="BP57" s="254">
        <f t="shared" si="57"/>
        <v>219506.67999999988</v>
      </c>
      <c r="BQ57" s="254">
        <f t="shared" si="57"/>
        <v>267965.05</v>
      </c>
      <c r="BR57" s="254">
        <f t="shared" si="57"/>
        <v>237386.36</v>
      </c>
    </row>
    <row r="58" spans="1:87" x14ac:dyDescent="0.25">
      <c r="A58" s="4">
        <f>+A51+1</f>
        <v>8</v>
      </c>
      <c r="B58" s="42" t="s">
        <v>31</v>
      </c>
      <c r="C58" s="108"/>
      <c r="D58" s="79"/>
      <c r="E58" s="79"/>
      <c r="F58" s="79"/>
      <c r="G58" s="79"/>
      <c r="H58" s="79"/>
      <c r="I58" s="79"/>
      <c r="J58" s="79"/>
      <c r="K58" s="79"/>
      <c r="L58" s="110"/>
      <c r="M58" s="79"/>
      <c r="N58" s="79"/>
      <c r="O58" s="79"/>
      <c r="P58" s="79"/>
      <c r="Q58" s="79"/>
      <c r="R58" s="79"/>
      <c r="S58" s="79"/>
      <c r="T58" s="79"/>
      <c r="U58" s="175"/>
      <c r="V58" s="109"/>
      <c r="W58" s="109"/>
      <c r="X58" s="110"/>
      <c r="Y58" s="109"/>
      <c r="Z58" s="109"/>
      <c r="AA58" s="109"/>
      <c r="AB58" s="109"/>
      <c r="AC58" s="110"/>
      <c r="AD58" s="333"/>
      <c r="AE58" s="748"/>
      <c r="AF58" s="748"/>
      <c r="AG58" s="748"/>
      <c r="AH58" s="748"/>
      <c r="AI58" s="748"/>
      <c r="AJ58" s="869"/>
      <c r="AK58" s="748"/>
      <c r="AL58" s="748"/>
      <c r="AM58" s="748"/>
      <c r="AN58" s="748"/>
      <c r="AO58" s="748"/>
      <c r="AP58" s="748"/>
      <c r="AQ58" s="748"/>
      <c r="AR58" s="748"/>
      <c r="AS58" s="748"/>
      <c r="AT58" s="748"/>
      <c r="AU58" s="748"/>
      <c r="AV58" s="748"/>
      <c r="AW58" s="79"/>
      <c r="AX58" s="79"/>
      <c r="AY58" s="79"/>
      <c r="AZ58" s="79"/>
      <c r="BA58" s="79"/>
      <c r="BB58" s="79"/>
      <c r="BC58" s="78"/>
      <c r="BD58" s="314"/>
      <c r="BE58" s="314"/>
      <c r="BF58" s="314"/>
      <c r="BG58" s="405"/>
      <c r="BH58" s="77"/>
      <c r="BI58" s="189"/>
      <c r="BJ58" s="189"/>
      <c r="BK58" s="189"/>
      <c r="BL58" s="189"/>
      <c r="BM58" s="189"/>
      <c r="BN58" s="189"/>
      <c r="BO58" s="189"/>
      <c r="BP58" s="189"/>
      <c r="BQ58" s="189"/>
      <c r="BR58" s="189"/>
      <c r="CF58" s="239">
        <v>44031</v>
      </c>
      <c r="CG58" s="239">
        <v>44032</v>
      </c>
    </row>
    <row r="59" spans="1:87" x14ac:dyDescent="0.25">
      <c r="A59" s="4"/>
      <c r="B59" s="35" t="s">
        <v>36</v>
      </c>
      <c r="C59" s="108">
        <v>692742</v>
      </c>
      <c r="D59" s="79">
        <v>761355.51</v>
      </c>
      <c r="E59" s="79">
        <v>921170.16</v>
      </c>
      <c r="F59" s="79">
        <v>1091876.23</v>
      </c>
      <c r="G59" s="79">
        <v>1224051.96</v>
      </c>
      <c r="H59" s="79">
        <v>1079570.78</v>
      </c>
      <c r="I59" s="79">
        <v>880273.3</v>
      </c>
      <c r="J59" s="79">
        <v>745109.21</v>
      </c>
      <c r="K59" s="79">
        <v>687006.25</v>
      </c>
      <c r="L59" s="110">
        <v>660494.64</v>
      </c>
      <c r="M59" s="79">
        <v>594467.72</v>
      </c>
      <c r="N59" s="79">
        <v>625282.68000000005</v>
      </c>
      <c r="O59" s="79">
        <v>863217.86</v>
      </c>
      <c r="P59" s="79">
        <v>1315075.23</v>
      </c>
      <c r="Q59" s="79">
        <v>1829147.8</v>
      </c>
      <c r="R59" s="79">
        <v>2573409.9500000002</v>
      </c>
      <c r="S59" s="79">
        <v>2791178.75</v>
      </c>
      <c r="T59" s="79">
        <v>3010399.39</v>
      </c>
      <c r="U59" s="79">
        <v>2872721.99</v>
      </c>
      <c r="V59" s="79">
        <v>2697880.22</v>
      </c>
      <c r="W59" s="79">
        <f>2553291.3+910</f>
        <v>2554201.2999999998</v>
      </c>
      <c r="X59" s="110">
        <f>2449862.46+317</f>
        <v>2450179.46</v>
      </c>
      <c r="Y59" s="79">
        <f>2509027.76+38</f>
        <v>2509065.7599999998</v>
      </c>
      <c r="Z59" s="79">
        <v>2535710.2799999998</v>
      </c>
      <c r="AA59" s="79">
        <v>2906393.01</v>
      </c>
      <c r="AB59" s="79">
        <v>3540537.11</v>
      </c>
      <c r="AC59" s="561">
        <v>3881123.24</v>
      </c>
      <c r="AD59" s="595">
        <f>255.27+63901.05+3618273.38</f>
        <v>3682429.6999999997</v>
      </c>
      <c r="AE59" s="595">
        <v>4317937.46</v>
      </c>
      <c r="AF59" s="595">
        <v>4472218.0599999996</v>
      </c>
      <c r="AG59" s="595">
        <f>71839.32+4204612.25+517.15</f>
        <v>4276968.7200000007</v>
      </c>
      <c r="AH59" s="595">
        <v>4092360.91</v>
      </c>
      <c r="AI59" s="595">
        <f>70947.49+3845224.47+319.72</f>
        <v>3916491.6800000006</v>
      </c>
      <c r="AJ59" s="871">
        <f>70569.38+3803633.02+309.53</f>
        <v>3874511.9299999997</v>
      </c>
      <c r="AK59" s="595">
        <f>71962.44+3508928.3</f>
        <v>3580890.7399999998</v>
      </c>
      <c r="AL59" s="595">
        <f>73019.07+3347179.62</f>
        <v>3420198.69</v>
      </c>
      <c r="AM59" s="595">
        <f>74355.72+3247575.82</f>
        <v>3321931.54</v>
      </c>
      <c r="AN59" s="595">
        <f>80781.77+3633837.85</f>
        <v>3714619.62</v>
      </c>
      <c r="AO59" s="595">
        <f>129592.19+6990915.24+3092.02</f>
        <v>7123599.4500000002</v>
      </c>
      <c r="AP59" s="595">
        <f>153449.72+7962772.35</f>
        <v>8116222.0699999994</v>
      </c>
      <c r="AQ59" s="595">
        <f>153826.443+8161193.19+81.02</f>
        <v>8315100.6529999999</v>
      </c>
      <c r="AR59" s="595">
        <f>170828.9+9007933.65+65.59</f>
        <v>9178828.1400000006</v>
      </c>
      <c r="AS59" s="595"/>
      <c r="AT59" s="595"/>
      <c r="AU59" s="595"/>
      <c r="AV59" s="595"/>
      <c r="AW59" s="79">
        <f t="shared" ref="AW59:BF63" si="58">C59-O59</f>
        <v>-170475.86</v>
      </c>
      <c r="AX59" s="79">
        <f t="shared" si="58"/>
        <v>-553719.72</v>
      </c>
      <c r="AY59" s="79">
        <f t="shared" si="58"/>
        <v>-907977.64</v>
      </c>
      <c r="AZ59" s="79">
        <f t="shared" si="58"/>
        <v>-1481533.7200000002</v>
      </c>
      <c r="BA59" s="79">
        <f t="shared" si="58"/>
        <v>-1567126.79</v>
      </c>
      <c r="BB59" s="79">
        <f t="shared" si="58"/>
        <v>-1930828.61</v>
      </c>
      <c r="BC59" s="78">
        <f t="shared" si="58"/>
        <v>-1992448.6900000002</v>
      </c>
      <c r="BD59" s="78">
        <f t="shared" si="58"/>
        <v>-1952771.0100000002</v>
      </c>
      <c r="BE59" s="78">
        <f t="shared" si="58"/>
        <v>-1867195.0499999998</v>
      </c>
      <c r="BF59" s="254">
        <f t="shared" si="58"/>
        <v>-1789684.8199999998</v>
      </c>
      <c r="BG59" s="254">
        <f t="shared" ref="BG59:BP63" si="59">M59-Y59</f>
        <v>-1914598.0399999998</v>
      </c>
      <c r="BH59" s="254">
        <f t="shared" si="59"/>
        <v>-1910427.5999999996</v>
      </c>
      <c r="BI59" s="254">
        <f t="shared" si="59"/>
        <v>-2043175.15</v>
      </c>
      <c r="BJ59" s="254">
        <f t="shared" si="59"/>
        <v>-2225461.88</v>
      </c>
      <c r="BK59" s="254">
        <f t="shared" si="59"/>
        <v>-2051975.4400000002</v>
      </c>
      <c r="BL59" s="254">
        <f t="shared" si="59"/>
        <v>-1109019.7499999995</v>
      </c>
      <c r="BM59" s="254">
        <f t="shared" si="59"/>
        <v>-1526758.71</v>
      </c>
      <c r="BN59" s="254">
        <f t="shared" si="59"/>
        <v>-1461818.6699999995</v>
      </c>
      <c r="BO59" s="254">
        <f t="shared" si="59"/>
        <v>-1404246.7300000004</v>
      </c>
      <c r="BP59" s="254">
        <f t="shared" si="59"/>
        <v>-1394480.69</v>
      </c>
      <c r="BQ59" s="254">
        <f t="shared" ref="BQ59:BR63" si="60">W59-AI59</f>
        <v>-1362290.3800000008</v>
      </c>
      <c r="BR59" s="254">
        <f t="shared" si="60"/>
        <v>-1424332.4699999997</v>
      </c>
      <c r="CE59" s="2" t="s">
        <v>49</v>
      </c>
      <c r="CF59" s="238">
        <f>SUM(G45+G46+G52+G53+G59+G60)</f>
        <v>2972986.3000000003</v>
      </c>
      <c r="CG59" s="238">
        <f>SUM(S45+S46+S52+S53+S59+S60)</f>
        <v>4362843.4799999995</v>
      </c>
      <c r="CH59" s="238">
        <f>CG59-CF59</f>
        <v>1389857.1799999992</v>
      </c>
      <c r="CI59" s="2">
        <f>((CH59/CF59)/2)*100</f>
        <v>23.374765971844525</v>
      </c>
    </row>
    <row r="60" spans="1:87" x14ac:dyDescent="0.25">
      <c r="A60" s="4"/>
      <c r="B60" s="35" t="s">
        <v>37</v>
      </c>
      <c r="C60" s="108">
        <v>594995.82999999996</v>
      </c>
      <c r="D60" s="79">
        <v>606294.09</v>
      </c>
      <c r="E60" s="79">
        <v>534087.82999999996</v>
      </c>
      <c r="F60" s="79">
        <v>596637.91</v>
      </c>
      <c r="G60" s="79">
        <v>676457.43</v>
      </c>
      <c r="H60" s="79">
        <v>650001.76</v>
      </c>
      <c r="I60" s="79">
        <v>617001.74</v>
      </c>
      <c r="J60" s="79">
        <v>578274.38</v>
      </c>
      <c r="K60" s="79">
        <v>597781.9</v>
      </c>
      <c r="L60" s="110">
        <v>592014.32999999996</v>
      </c>
      <c r="M60" s="79">
        <v>537463.1</v>
      </c>
      <c r="N60" s="79">
        <v>626707.49</v>
      </c>
      <c r="O60" s="79">
        <v>771807.74</v>
      </c>
      <c r="P60" s="79">
        <v>995564.77</v>
      </c>
      <c r="Q60" s="79">
        <v>1099377.82</v>
      </c>
      <c r="R60" s="79">
        <v>390535.24</v>
      </c>
      <c r="S60" s="79">
        <v>245299.22</v>
      </c>
      <c r="T60" s="79">
        <v>332350.06</v>
      </c>
      <c r="U60" s="79">
        <v>474910.78</v>
      </c>
      <c r="V60" s="79">
        <v>431373.76</v>
      </c>
      <c r="W60" s="79">
        <v>669625.74</v>
      </c>
      <c r="X60" s="110">
        <v>878237</v>
      </c>
      <c r="Y60" s="79">
        <v>1014364.72</v>
      </c>
      <c r="Z60" s="79">
        <v>1136633.51</v>
      </c>
      <c r="AA60" s="79">
        <v>1355122.52</v>
      </c>
      <c r="AB60" s="79">
        <v>1767526.73</v>
      </c>
      <c r="AC60" s="218">
        <v>1140935.3500000001</v>
      </c>
      <c r="AD60" s="333">
        <f>14982.96+1922739.94</f>
        <v>1937722.9</v>
      </c>
      <c r="AE60" s="748">
        <v>1978695.8</v>
      </c>
      <c r="AF60" s="748">
        <v>2086637.66</v>
      </c>
      <c r="AG60" s="748">
        <v>2280151.59</v>
      </c>
      <c r="AH60" s="748">
        <v>1885262.8</v>
      </c>
      <c r="AI60" s="748">
        <f>9905.96+1629547.56</f>
        <v>1639453.52</v>
      </c>
      <c r="AJ60" s="869">
        <f>10038.23+1614996.6</f>
        <v>1625034.83</v>
      </c>
      <c r="AK60" s="748">
        <f>11275.49+1584824.73</f>
        <v>1596100.22</v>
      </c>
      <c r="AL60" s="748">
        <f>11683.31+1535928.73</f>
        <v>1547612.04</v>
      </c>
      <c r="AM60" s="748">
        <f>12438.66+1534999.83</f>
        <v>1547438.49</v>
      </c>
      <c r="AN60" s="748">
        <f>14072.64+1482803.7</f>
        <v>1496876.3399999999</v>
      </c>
      <c r="AO60" s="748">
        <f>15658.58+1846829.54+12.05</f>
        <v>1862500.1700000002</v>
      </c>
      <c r="AP60" s="748">
        <f>21207.99+2334082.67</f>
        <v>2355290.66</v>
      </c>
      <c r="AQ60" s="748">
        <f>21765.22+2375154.21+12.05</f>
        <v>2396931.48</v>
      </c>
      <c r="AR60" s="748">
        <f>26309.92+2690549.1+12.05</f>
        <v>2716871.07</v>
      </c>
      <c r="AS60" s="748"/>
      <c r="AT60" s="748"/>
      <c r="AU60" s="748"/>
      <c r="AV60" s="748"/>
      <c r="AW60" s="79">
        <f t="shared" si="58"/>
        <v>-176811.91000000003</v>
      </c>
      <c r="AX60" s="79">
        <f t="shared" si="58"/>
        <v>-389270.68000000005</v>
      </c>
      <c r="AY60" s="79">
        <f t="shared" si="58"/>
        <v>-565289.99000000011</v>
      </c>
      <c r="AZ60" s="79">
        <f t="shared" si="58"/>
        <v>206102.67000000004</v>
      </c>
      <c r="BA60" s="79">
        <f t="shared" si="58"/>
        <v>431158.21000000008</v>
      </c>
      <c r="BB60" s="79">
        <f t="shared" si="58"/>
        <v>317651.7</v>
      </c>
      <c r="BC60" s="78">
        <f t="shared" si="58"/>
        <v>142090.95999999996</v>
      </c>
      <c r="BD60" s="78">
        <f t="shared" si="58"/>
        <v>146900.62</v>
      </c>
      <c r="BE60" s="78">
        <f t="shared" si="58"/>
        <v>-71843.839999999967</v>
      </c>
      <c r="BF60" s="254">
        <f t="shared" si="58"/>
        <v>-286222.67000000004</v>
      </c>
      <c r="BG60" s="254">
        <f t="shared" si="59"/>
        <v>-476901.62</v>
      </c>
      <c r="BH60" s="254">
        <f t="shared" si="59"/>
        <v>-509926.02</v>
      </c>
      <c r="BI60" s="254">
        <f t="shared" si="59"/>
        <v>-583314.78</v>
      </c>
      <c r="BJ60" s="254">
        <f t="shared" si="59"/>
        <v>-771961.96</v>
      </c>
      <c r="BK60" s="254">
        <f t="shared" si="59"/>
        <v>-41557.530000000028</v>
      </c>
      <c r="BL60" s="254">
        <f t="shared" si="59"/>
        <v>-1547187.66</v>
      </c>
      <c r="BM60" s="254">
        <f t="shared" si="59"/>
        <v>-1733396.58</v>
      </c>
      <c r="BN60" s="254">
        <f t="shared" si="59"/>
        <v>-1754287.5999999999</v>
      </c>
      <c r="BO60" s="254">
        <f t="shared" si="59"/>
        <v>-1805240.8099999998</v>
      </c>
      <c r="BP60" s="254">
        <f t="shared" si="59"/>
        <v>-1453889.04</v>
      </c>
      <c r="BQ60" s="254">
        <f t="shared" si="60"/>
        <v>-969827.78</v>
      </c>
      <c r="BR60" s="254">
        <f t="shared" si="60"/>
        <v>-746797.83000000007</v>
      </c>
      <c r="CE60" s="2" t="s">
        <v>50</v>
      </c>
      <c r="CF60" s="238">
        <f>SUM(G47+G48+G49+G54+G55+G56+G61+G62+G63)</f>
        <v>155764.96799999999</v>
      </c>
      <c r="CG60" s="238">
        <f>SUM(S47+S48+S49+S54+S55+S56+S61+S62+S63)</f>
        <v>687616.20000000007</v>
      </c>
      <c r="CH60" s="238">
        <f>CG60-CF60</f>
        <v>531851.23200000008</v>
      </c>
      <c r="CI60" s="2">
        <f>((CH60/CF60)/2)*100</f>
        <v>170.72235138262928</v>
      </c>
    </row>
    <row r="61" spans="1:87" x14ac:dyDescent="0.25">
      <c r="A61" s="4"/>
      <c r="B61" s="35" t="s">
        <v>38</v>
      </c>
      <c r="C61" s="108">
        <v>18671.939999999999</v>
      </c>
      <c r="D61" s="79">
        <v>23528.560000000001</v>
      </c>
      <c r="E61" s="79">
        <v>47485.83</v>
      </c>
      <c r="F61" s="79">
        <v>50287.82</v>
      </c>
      <c r="G61" s="79">
        <v>53176.01</v>
      </c>
      <c r="H61" s="79">
        <v>42734.400000000001</v>
      </c>
      <c r="I61" s="79">
        <v>35577.599999999999</v>
      </c>
      <c r="J61" s="79">
        <v>28656.83</v>
      </c>
      <c r="K61" s="79">
        <v>25016.720000000001</v>
      </c>
      <c r="L61" s="110">
        <v>17608.330000000002</v>
      </c>
      <c r="M61" s="79">
        <v>16247.36</v>
      </c>
      <c r="N61" s="79">
        <v>17230.52</v>
      </c>
      <c r="O61" s="79">
        <v>23840.560000000001</v>
      </c>
      <c r="P61" s="79">
        <v>50575.73</v>
      </c>
      <c r="Q61" s="79">
        <v>83775.23</v>
      </c>
      <c r="R61" s="79">
        <v>108921.66</v>
      </c>
      <c r="S61" s="79">
        <v>128317.57</v>
      </c>
      <c r="T61" s="79">
        <v>120448.86</v>
      </c>
      <c r="U61" s="79">
        <v>74143.47</v>
      </c>
      <c r="V61" s="79">
        <v>42034.31</v>
      </c>
      <c r="W61" s="79">
        <v>42982.51</v>
      </c>
      <c r="X61" s="110">
        <v>43547.519999999997</v>
      </c>
      <c r="Y61" s="79">
        <v>43378.62</v>
      </c>
      <c r="Z61" s="79">
        <v>44001.2</v>
      </c>
      <c r="AA61" s="79">
        <v>60860.3</v>
      </c>
      <c r="AB61" s="79">
        <v>86844.89</v>
      </c>
      <c r="AC61" s="218">
        <v>78048.28</v>
      </c>
      <c r="AD61" s="333">
        <f>85583.48+16108.96+97.25</f>
        <v>101789.69</v>
      </c>
      <c r="AE61" s="748">
        <v>149112.37</v>
      </c>
      <c r="AF61" s="748">
        <v>164093.46</v>
      </c>
      <c r="AG61" s="748">
        <v>188368.94</v>
      </c>
      <c r="AH61" s="748">
        <v>166112.97</v>
      </c>
      <c r="AI61" s="748">
        <f>132975.03+22007.89+26.2</f>
        <v>155009.12</v>
      </c>
      <c r="AJ61" s="869">
        <v>150320.38</v>
      </c>
      <c r="AK61" s="748">
        <v>122534.27</v>
      </c>
      <c r="AL61" s="748">
        <v>114564.22</v>
      </c>
      <c r="AM61" s="748">
        <v>120761.92</v>
      </c>
      <c r="AN61" s="748">
        <f>107353.14+24130.65+102.84</f>
        <v>131586.63</v>
      </c>
      <c r="AO61" s="748">
        <f>30907.1+1489.4+(-11968.09)+(-903.42)</f>
        <v>19524.990000000002</v>
      </c>
      <c r="AP61" s="748">
        <f>306226.41+45337.84+810.37+411.16</f>
        <v>352785.77999999997</v>
      </c>
      <c r="AQ61" s="748">
        <f>382881.58+45974.24+0+411.16</f>
        <v>429266.98</v>
      </c>
      <c r="AR61" s="748">
        <f>393636.25+53917.4+327.85</f>
        <v>447881.5</v>
      </c>
      <c r="AS61" s="748"/>
      <c r="AT61" s="748"/>
      <c r="AU61" s="748"/>
      <c r="AV61" s="748"/>
      <c r="AW61" s="79">
        <f t="shared" si="58"/>
        <v>-5168.6200000000026</v>
      </c>
      <c r="AX61" s="79">
        <f t="shared" si="58"/>
        <v>-27047.170000000002</v>
      </c>
      <c r="AY61" s="79">
        <f t="shared" si="58"/>
        <v>-36289.399999999994</v>
      </c>
      <c r="AZ61" s="79">
        <f t="shared" si="58"/>
        <v>-58633.840000000004</v>
      </c>
      <c r="BA61" s="79">
        <f t="shared" si="58"/>
        <v>-75141.56</v>
      </c>
      <c r="BB61" s="79">
        <f t="shared" si="58"/>
        <v>-77714.459999999992</v>
      </c>
      <c r="BC61" s="78">
        <f t="shared" si="58"/>
        <v>-38565.870000000003</v>
      </c>
      <c r="BD61" s="78">
        <f t="shared" si="58"/>
        <v>-13377.479999999996</v>
      </c>
      <c r="BE61" s="78">
        <f t="shared" si="58"/>
        <v>-17965.79</v>
      </c>
      <c r="BF61" s="254">
        <f t="shared" si="58"/>
        <v>-25939.189999999995</v>
      </c>
      <c r="BG61" s="254">
        <f t="shared" si="59"/>
        <v>-27131.260000000002</v>
      </c>
      <c r="BH61" s="254">
        <f t="shared" si="59"/>
        <v>-26770.679999999997</v>
      </c>
      <c r="BI61" s="254">
        <f t="shared" si="59"/>
        <v>-37019.740000000005</v>
      </c>
      <c r="BJ61" s="254">
        <f t="shared" si="59"/>
        <v>-36269.159999999996</v>
      </c>
      <c r="BK61" s="254">
        <f t="shared" si="59"/>
        <v>5726.9499999999971</v>
      </c>
      <c r="BL61" s="254">
        <f t="shared" si="59"/>
        <v>7131.9700000000012</v>
      </c>
      <c r="BM61" s="254">
        <f t="shared" si="59"/>
        <v>-20794.799999999988</v>
      </c>
      <c r="BN61" s="254">
        <f t="shared" si="59"/>
        <v>-43644.599999999991</v>
      </c>
      <c r="BO61" s="254">
        <f t="shared" si="59"/>
        <v>-114225.47</v>
      </c>
      <c r="BP61" s="254">
        <f t="shared" si="59"/>
        <v>-124078.66</v>
      </c>
      <c r="BQ61" s="254">
        <f t="shared" si="60"/>
        <v>-112026.60999999999</v>
      </c>
      <c r="BR61" s="254">
        <f t="shared" si="60"/>
        <v>-106772.86000000002</v>
      </c>
    </row>
    <row r="62" spans="1:87" x14ac:dyDescent="0.25">
      <c r="A62" s="4"/>
      <c r="B62" s="35" t="s">
        <v>39</v>
      </c>
      <c r="C62" s="108">
        <v>6436.51</v>
      </c>
      <c r="D62" s="79">
        <v>2351.38</v>
      </c>
      <c r="E62" s="79">
        <v>30735.759999999998</v>
      </c>
      <c r="F62" s="79">
        <v>43293.83</v>
      </c>
      <c r="G62" s="79">
        <v>29072.52</v>
      </c>
      <c r="H62" s="79">
        <v>26548.560000000001</v>
      </c>
      <c r="I62" s="79">
        <v>22905.73</v>
      </c>
      <c r="J62" s="79">
        <v>20243.080000000002</v>
      </c>
      <c r="K62" s="79">
        <v>14202.77</v>
      </c>
      <c r="L62" s="110">
        <v>11601.94</v>
      </c>
      <c r="M62" s="79">
        <v>4112.78</v>
      </c>
      <c r="N62" s="79">
        <v>7812.56</v>
      </c>
      <c r="O62" s="79">
        <v>18959.310000000001</v>
      </c>
      <c r="P62" s="79">
        <v>53415.67</v>
      </c>
      <c r="Q62" s="79">
        <v>115737.54</v>
      </c>
      <c r="R62" s="79">
        <v>198284.34</v>
      </c>
      <c r="S62" s="79">
        <v>231699.51</v>
      </c>
      <c r="T62" s="79">
        <v>239389.4</v>
      </c>
      <c r="U62" s="79">
        <v>136698.09</v>
      </c>
      <c r="V62" s="79">
        <v>128130.21</v>
      </c>
      <c r="W62" s="79">
        <v>132673</v>
      </c>
      <c r="X62" s="110">
        <v>113569.51</v>
      </c>
      <c r="Y62" s="79">
        <v>86869.56</v>
      </c>
      <c r="Z62" s="79">
        <v>68948.39</v>
      </c>
      <c r="AA62" s="79">
        <v>70552.820000000007</v>
      </c>
      <c r="AB62" s="79">
        <v>88899.11</v>
      </c>
      <c r="AC62" s="218">
        <v>98340.12</v>
      </c>
      <c r="AD62" s="333">
        <f>73136.02+20759.16+21300.89</f>
        <v>115196.07</v>
      </c>
      <c r="AE62" s="748">
        <v>114304.82</v>
      </c>
      <c r="AF62" s="748">
        <v>135794.94</v>
      </c>
      <c r="AG62" s="748">
        <v>146764.82</v>
      </c>
      <c r="AH62" s="748">
        <v>132103.03</v>
      </c>
      <c r="AI62" s="748">
        <f>62755.09+25612.44+24563.49</f>
        <v>112931.02</v>
      </c>
      <c r="AJ62" s="869">
        <v>107025.60000000001</v>
      </c>
      <c r="AK62" s="748">
        <v>79289.94</v>
      </c>
      <c r="AL62" s="748">
        <v>68723.89</v>
      </c>
      <c r="AM62" s="748">
        <v>75712.13</v>
      </c>
      <c r="AN62" s="748">
        <f>40825.04+24942.74+7033.68</f>
        <v>72801.459999999992</v>
      </c>
      <c r="AO62" s="748">
        <f>(-38375.07)+14889.4+35627.27+10008.56</f>
        <v>22150.159999999996</v>
      </c>
      <c r="AP62" s="748">
        <f>121013.18+43686.04+4064.08+21080.99</f>
        <v>189844.28999999998</v>
      </c>
      <c r="AQ62" s="748">
        <f>117902.06+37350.7+2156.77+22763.22</f>
        <v>180172.75</v>
      </c>
      <c r="AR62" s="748">
        <f>200380.24+39684.43+5828.45+25383.78</f>
        <v>271276.90000000002</v>
      </c>
      <c r="AS62" s="748"/>
      <c r="AT62" s="748"/>
      <c r="AU62" s="748"/>
      <c r="AV62" s="748"/>
      <c r="AW62" s="79">
        <f t="shared" si="58"/>
        <v>-12522.800000000001</v>
      </c>
      <c r="AX62" s="79">
        <f t="shared" si="58"/>
        <v>-51064.29</v>
      </c>
      <c r="AY62" s="79">
        <f t="shared" si="58"/>
        <v>-85001.78</v>
      </c>
      <c r="AZ62" s="79">
        <f t="shared" si="58"/>
        <v>-154990.51</v>
      </c>
      <c r="BA62" s="79">
        <f t="shared" si="58"/>
        <v>-202626.99000000002</v>
      </c>
      <c r="BB62" s="79">
        <f t="shared" si="58"/>
        <v>-212840.84</v>
      </c>
      <c r="BC62" s="78">
        <f t="shared" si="58"/>
        <v>-113792.36</v>
      </c>
      <c r="BD62" s="78">
        <f t="shared" si="58"/>
        <v>-107887.13</v>
      </c>
      <c r="BE62" s="78">
        <f t="shared" si="58"/>
        <v>-118470.23</v>
      </c>
      <c r="BF62" s="254">
        <f t="shared" si="58"/>
        <v>-101967.56999999999</v>
      </c>
      <c r="BG62" s="254">
        <f t="shared" si="59"/>
        <v>-82756.78</v>
      </c>
      <c r="BH62" s="254">
        <f t="shared" si="59"/>
        <v>-61135.83</v>
      </c>
      <c r="BI62" s="254">
        <f t="shared" si="59"/>
        <v>-51593.510000000009</v>
      </c>
      <c r="BJ62" s="254">
        <f t="shared" si="59"/>
        <v>-35483.440000000002</v>
      </c>
      <c r="BK62" s="254">
        <f t="shared" si="59"/>
        <v>17397.419999999998</v>
      </c>
      <c r="BL62" s="254">
        <f t="shared" si="59"/>
        <v>83088.26999999999</v>
      </c>
      <c r="BM62" s="254">
        <f t="shared" si="59"/>
        <v>117394.69</v>
      </c>
      <c r="BN62" s="254">
        <f t="shared" si="59"/>
        <v>103594.45999999999</v>
      </c>
      <c r="BO62" s="254">
        <f t="shared" si="59"/>
        <v>-10066.73000000001</v>
      </c>
      <c r="BP62" s="254">
        <f t="shared" si="59"/>
        <v>-3972.8199999999924</v>
      </c>
      <c r="BQ62" s="254">
        <f t="shared" si="60"/>
        <v>19741.979999999996</v>
      </c>
      <c r="BR62" s="254">
        <f t="shared" si="60"/>
        <v>6543.9099999999889</v>
      </c>
      <c r="CF62" s="239">
        <v>44062</v>
      </c>
      <c r="CG62" s="239">
        <v>44063</v>
      </c>
    </row>
    <row r="63" spans="1:87" x14ac:dyDescent="0.25">
      <c r="A63" s="4"/>
      <c r="B63" s="35" t="s">
        <v>40</v>
      </c>
      <c r="C63" s="108">
        <v>0</v>
      </c>
      <c r="D63" s="79">
        <v>0</v>
      </c>
      <c r="E63" s="79">
        <v>0</v>
      </c>
      <c r="F63" s="79">
        <v>0</v>
      </c>
      <c r="G63" s="79">
        <v>0</v>
      </c>
      <c r="H63" s="79">
        <v>0</v>
      </c>
      <c r="I63" s="79">
        <v>0</v>
      </c>
      <c r="J63" s="79">
        <v>0</v>
      </c>
      <c r="K63" s="79">
        <v>0</v>
      </c>
      <c r="L63" s="110">
        <v>44.71</v>
      </c>
      <c r="M63" s="79">
        <v>239.83</v>
      </c>
      <c r="N63" s="79">
        <v>242.02</v>
      </c>
      <c r="O63" s="79">
        <v>0</v>
      </c>
      <c r="P63" s="79">
        <v>0</v>
      </c>
      <c r="Q63" s="79">
        <v>0</v>
      </c>
      <c r="R63" s="79">
        <v>25423.25</v>
      </c>
      <c r="S63" s="79">
        <v>112115.38</v>
      </c>
      <c r="T63" s="79">
        <v>36715.9</v>
      </c>
      <c r="U63" s="79">
        <v>1972.37</v>
      </c>
      <c r="V63" s="79">
        <v>1252.43</v>
      </c>
      <c r="W63" s="79">
        <v>2568.9499999999998</v>
      </c>
      <c r="X63" s="110">
        <v>0</v>
      </c>
      <c r="Y63" s="79">
        <v>0</v>
      </c>
      <c r="Z63" s="79">
        <v>0</v>
      </c>
      <c r="AA63" s="79">
        <v>0</v>
      </c>
      <c r="AB63" s="79">
        <v>0</v>
      </c>
      <c r="AC63" s="218">
        <v>0</v>
      </c>
      <c r="AD63" s="333">
        <v>0</v>
      </c>
      <c r="AE63" s="748">
        <v>2933.47</v>
      </c>
      <c r="AF63" s="748">
        <v>13280.39</v>
      </c>
      <c r="AG63" s="748">
        <v>17825.37</v>
      </c>
      <c r="AH63" s="748">
        <v>3228.3</v>
      </c>
      <c r="AI63" s="748">
        <f>6408.82</f>
        <v>6408.82</v>
      </c>
      <c r="AJ63" s="869">
        <v>0</v>
      </c>
      <c r="AK63" s="748">
        <v>19552.46</v>
      </c>
      <c r="AL63" s="748">
        <v>12442.4</v>
      </c>
      <c r="AM63" s="748">
        <v>0</v>
      </c>
      <c r="AN63" s="748">
        <v>0</v>
      </c>
      <c r="AO63" s="748">
        <v>0</v>
      </c>
      <c r="AP63" s="748">
        <v>0</v>
      </c>
      <c r="AQ63" s="748">
        <v>0</v>
      </c>
      <c r="AR63" s="748">
        <v>0</v>
      </c>
      <c r="AS63" s="748"/>
      <c r="AT63" s="748"/>
      <c r="AU63" s="748"/>
      <c r="AV63" s="748"/>
      <c r="AW63" s="79">
        <f t="shared" si="58"/>
        <v>0</v>
      </c>
      <c r="AX63" s="79">
        <f t="shared" si="58"/>
        <v>0</v>
      </c>
      <c r="AY63" s="79">
        <f t="shared" si="58"/>
        <v>0</v>
      </c>
      <c r="AZ63" s="79">
        <f t="shared" si="58"/>
        <v>-25423.25</v>
      </c>
      <c r="BA63" s="79">
        <f t="shared" si="58"/>
        <v>-112115.38</v>
      </c>
      <c r="BB63" s="79">
        <f t="shared" si="58"/>
        <v>-36715.9</v>
      </c>
      <c r="BC63" s="78">
        <f t="shared" si="58"/>
        <v>-1972.37</v>
      </c>
      <c r="BD63" s="78">
        <f t="shared" si="58"/>
        <v>-1252.43</v>
      </c>
      <c r="BE63" s="78">
        <f t="shared" si="58"/>
        <v>-2568.9499999999998</v>
      </c>
      <c r="BF63" s="254">
        <f t="shared" si="58"/>
        <v>44.71</v>
      </c>
      <c r="BG63" s="254">
        <f t="shared" si="59"/>
        <v>239.83</v>
      </c>
      <c r="BH63" s="254">
        <f t="shared" si="59"/>
        <v>242.02</v>
      </c>
      <c r="BI63" s="254">
        <f t="shared" si="59"/>
        <v>0</v>
      </c>
      <c r="BJ63" s="254">
        <f t="shared" si="59"/>
        <v>0</v>
      </c>
      <c r="BK63" s="254">
        <f t="shared" si="59"/>
        <v>0</v>
      </c>
      <c r="BL63" s="254">
        <f t="shared" si="59"/>
        <v>25423.25</v>
      </c>
      <c r="BM63" s="254">
        <f t="shared" si="59"/>
        <v>109181.91</v>
      </c>
      <c r="BN63" s="254">
        <f t="shared" si="59"/>
        <v>23435.510000000002</v>
      </c>
      <c r="BO63" s="254">
        <f t="shared" si="59"/>
        <v>-15853</v>
      </c>
      <c r="BP63" s="254">
        <f t="shared" si="59"/>
        <v>-1975.8700000000001</v>
      </c>
      <c r="BQ63" s="254">
        <f t="shared" si="60"/>
        <v>-3839.87</v>
      </c>
      <c r="BR63" s="254">
        <f t="shared" si="60"/>
        <v>0</v>
      </c>
      <c r="CE63" s="2" t="s">
        <v>49</v>
      </c>
      <c r="CF63" s="238">
        <f>SUM(H45+H52+H59+H46+H53+H60)</f>
        <v>2519413.98</v>
      </c>
      <c r="CG63" s="238">
        <f>SUM(T45+T46+T52+T59+T53+T60)</f>
        <v>4248674.7699999996</v>
      </c>
      <c r="CH63" s="238">
        <f>CG63-CF63</f>
        <v>1729260.7899999996</v>
      </c>
      <c r="CI63" s="2">
        <f>((CH63/CF63)/2)*100</f>
        <v>34.318710694778311</v>
      </c>
    </row>
    <row r="64" spans="1:87" x14ac:dyDescent="0.25">
      <c r="A64" s="4"/>
      <c r="B64" s="35" t="s">
        <v>41</v>
      </c>
      <c r="C64" s="108">
        <f t="shared" ref="C64:AC64" si="61">SUM(C59:C63)</f>
        <v>1312846.28</v>
      </c>
      <c r="D64" s="79">
        <f t="shared" si="61"/>
        <v>1393529.54</v>
      </c>
      <c r="E64" s="79">
        <f t="shared" si="61"/>
        <v>1533479.58</v>
      </c>
      <c r="F64" s="79">
        <f t="shared" si="61"/>
        <v>1782095.7900000003</v>
      </c>
      <c r="G64" s="79">
        <f t="shared" si="61"/>
        <v>1982757.9200000002</v>
      </c>
      <c r="H64" s="79">
        <f t="shared" si="61"/>
        <v>1798855.5</v>
      </c>
      <c r="I64" s="79">
        <f t="shared" si="61"/>
        <v>1555758.37</v>
      </c>
      <c r="J64" s="79">
        <f t="shared" si="61"/>
        <v>1372283.5</v>
      </c>
      <c r="K64" s="79">
        <f t="shared" si="61"/>
        <v>1324007.6399999999</v>
      </c>
      <c r="L64" s="110">
        <f t="shared" si="61"/>
        <v>1281763.95</v>
      </c>
      <c r="M64" s="79">
        <f t="shared" si="61"/>
        <v>1152530.79</v>
      </c>
      <c r="N64" s="79">
        <f t="shared" si="61"/>
        <v>1277275.27</v>
      </c>
      <c r="O64" s="79">
        <f t="shared" si="61"/>
        <v>1677825.4700000002</v>
      </c>
      <c r="P64" s="79">
        <f t="shared" si="61"/>
        <v>2414631.4</v>
      </c>
      <c r="Q64" s="79">
        <f t="shared" si="61"/>
        <v>3128038.39</v>
      </c>
      <c r="R64" s="79">
        <f t="shared" si="61"/>
        <v>3296574.4400000004</v>
      </c>
      <c r="S64" s="79">
        <f t="shared" si="61"/>
        <v>3508610.4299999997</v>
      </c>
      <c r="T64" s="79">
        <f t="shared" si="61"/>
        <v>3739303.61</v>
      </c>
      <c r="U64" s="175">
        <f t="shared" si="61"/>
        <v>3560446.7000000007</v>
      </c>
      <c r="V64" s="175">
        <f t="shared" si="61"/>
        <v>3300670.9300000006</v>
      </c>
      <c r="W64" s="175">
        <f t="shared" si="61"/>
        <v>3402051.5</v>
      </c>
      <c r="X64" s="110">
        <f t="shared" si="61"/>
        <v>3485533.4899999998</v>
      </c>
      <c r="Y64" s="110">
        <f t="shared" si="61"/>
        <v>3653678.6599999997</v>
      </c>
      <c r="Z64" s="110">
        <f t="shared" si="61"/>
        <v>3785293.3800000004</v>
      </c>
      <c r="AA64" s="110">
        <f t="shared" si="61"/>
        <v>4392928.6499999994</v>
      </c>
      <c r="AB64" s="110">
        <f t="shared" si="61"/>
        <v>5483807.8399999999</v>
      </c>
      <c r="AC64" s="110">
        <f t="shared" si="61"/>
        <v>5198446.99</v>
      </c>
      <c r="AD64" s="334">
        <f t="shared" ref="AD64:AI64" si="62">SUM(AD59:AD63)</f>
        <v>5837138.3600000003</v>
      </c>
      <c r="AE64" s="334">
        <f t="shared" si="62"/>
        <v>6562983.9199999999</v>
      </c>
      <c r="AF64" s="334">
        <f t="shared" si="62"/>
        <v>6872024.5099999998</v>
      </c>
      <c r="AG64" s="334">
        <f t="shared" si="62"/>
        <v>6910079.4400000013</v>
      </c>
      <c r="AH64" s="334">
        <f t="shared" si="62"/>
        <v>6279068.0099999998</v>
      </c>
      <c r="AI64" s="334">
        <f t="shared" si="62"/>
        <v>5830294.1600000011</v>
      </c>
      <c r="AJ64" s="870">
        <f t="shared" ref="AJ64:AN64" si="63">SUM(AJ59:AJ63)</f>
        <v>5756892.7399999993</v>
      </c>
      <c r="AK64" s="334">
        <f t="shared" si="63"/>
        <v>5398367.6299999999</v>
      </c>
      <c r="AL64" s="334">
        <f t="shared" si="63"/>
        <v>5163541.24</v>
      </c>
      <c r="AM64" s="334">
        <f t="shared" si="63"/>
        <v>5065844.08</v>
      </c>
      <c r="AN64" s="334">
        <f t="shared" si="63"/>
        <v>5415884.0499999998</v>
      </c>
      <c r="AO64" s="334">
        <f>SUM(AO59:AO63)</f>
        <v>9027774.7700000014</v>
      </c>
      <c r="AP64" s="334">
        <f>SUM(AP59:AP63)</f>
        <v>11014142.799999999</v>
      </c>
      <c r="AQ64" s="334">
        <f>SUM(AQ59:AQ63)</f>
        <v>11321471.863</v>
      </c>
      <c r="AR64" s="334">
        <f>SUM(AR59:AR63)</f>
        <v>12614857.610000001</v>
      </c>
      <c r="AS64" s="334"/>
      <c r="AT64" s="334"/>
      <c r="AU64" s="334"/>
      <c r="AV64" s="334"/>
      <c r="AW64" s="79">
        <f t="shared" ref="AW64:BF64" si="64">SUM(AW59:AW63)</f>
        <v>-364979.19</v>
      </c>
      <c r="AX64" s="79">
        <f t="shared" si="64"/>
        <v>-1021101.8600000001</v>
      </c>
      <c r="AY64" s="79">
        <f t="shared" si="64"/>
        <v>-1594558.81</v>
      </c>
      <c r="AZ64" s="79">
        <f t="shared" si="64"/>
        <v>-1514478.6500000004</v>
      </c>
      <c r="BA64" s="79">
        <f t="shared" si="64"/>
        <v>-1525852.5100000002</v>
      </c>
      <c r="BB64" s="79">
        <f t="shared" si="64"/>
        <v>-1940448.11</v>
      </c>
      <c r="BC64" s="78">
        <f t="shared" si="64"/>
        <v>-2004688.3300000005</v>
      </c>
      <c r="BD64" s="78">
        <f t="shared" si="64"/>
        <v>-1928387.43</v>
      </c>
      <c r="BE64" s="78">
        <f t="shared" si="64"/>
        <v>-2078043.8599999996</v>
      </c>
      <c r="BF64" s="254">
        <f t="shared" si="64"/>
        <v>-2203769.5399999996</v>
      </c>
      <c r="BG64" s="254">
        <f t="shared" ref="BG64:BR64" si="65">M64-Y64</f>
        <v>-2501147.8699999996</v>
      </c>
      <c r="BH64" s="254">
        <f t="shared" si="65"/>
        <v>-2508018.1100000003</v>
      </c>
      <c r="BI64" s="254">
        <f t="shared" si="65"/>
        <v>-2715103.1799999992</v>
      </c>
      <c r="BJ64" s="254">
        <f t="shared" si="65"/>
        <v>-3069176.44</v>
      </c>
      <c r="BK64" s="254">
        <f t="shared" si="65"/>
        <v>-2070408.6</v>
      </c>
      <c r="BL64" s="254">
        <f t="shared" si="65"/>
        <v>-2540563.92</v>
      </c>
      <c r="BM64" s="254">
        <f t="shared" si="65"/>
        <v>-3054373.49</v>
      </c>
      <c r="BN64" s="254">
        <f t="shared" si="65"/>
        <v>-3132720.9</v>
      </c>
      <c r="BO64" s="254">
        <f t="shared" si="65"/>
        <v>-3349632.7400000007</v>
      </c>
      <c r="BP64" s="254">
        <f t="shared" si="65"/>
        <v>-2978397.0799999991</v>
      </c>
      <c r="BQ64" s="254">
        <f t="shared" si="65"/>
        <v>-2428242.6600000011</v>
      </c>
      <c r="BR64" s="254">
        <f t="shared" si="65"/>
        <v>-2271359.2499999995</v>
      </c>
      <c r="CE64" s="2" t="s">
        <v>50</v>
      </c>
      <c r="CF64" s="238">
        <f>SUM(H47+H48+H49+H54+H55+H56+H61+H62+H63)</f>
        <v>129406.85999999999</v>
      </c>
      <c r="CG64" s="238">
        <f>SUM(T47+T48+T49+T54+T55+T56+T61+T62+T63)</f>
        <v>731497.36</v>
      </c>
      <c r="CH64" s="238">
        <f>CG64-CF64</f>
        <v>602090.5</v>
      </c>
      <c r="CI64" s="2">
        <f>((CH64/CF64)/2)*100</f>
        <v>232.63469185482131</v>
      </c>
    </row>
    <row r="65" spans="1:70" x14ac:dyDescent="0.25">
      <c r="A65" s="4">
        <f>+A58+1</f>
        <v>9</v>
      </c>
      <c r="B65" s="42" t="s">
        <v>42</v>
      </c>
      <c r="C65" s="108"/>
      <c r="D65" s="79"/>
      <c r="E65" s="79"/>
      <c r="F65" s="79"/>
      <c r="G65" s="79"/>
      <c r="H65" s="79"/>
      <c r="I65" s="79"/>
      <c r="J65" s="79"/>
      <c r="K65" s="79"/>
      <c r="L65" s="110"/>
      <c r="M65" s="79"/>
      <c r="N65" s="79"/>
      <c r="O65" s="79"/>
      <c r="P65" s="79"/>
      <c r="Q65" s="79"/>
      <c r="R65" s="79"/>
      <c r="S65" s="79"/>
      <c r="T65" s="79"/>
      <c r="U65" s="175"/>
      <c r="V65" s="109"/>
      <c r="W65" s="109"/>
      <c r="X65" s="110"/>
      <c r="Y65" s="109"/>
      <c r="Z65" s="109"/>
      <c r="AA65" s="109"/>
      <c r="AB65" s="109"/>
      <c r="AC65" s="110"/>
      <c r="AD65" s="110"/>
      <c r="AE65" s="109"/>
      <c r="AF65" s="109"/>
      <c r="AG65" s="109"/>
      <c r="AH65" s="109"/>
      <c r="AI65" s="109"/>
      <c r="AJ65" s="175"/>
      <c r="AK65" s="109"/>
      <c r="AL65" s="109"/>
      <c r="AM65" s="109"/>
      <c r="AN65" s="109"/>
      <c r="AO65" s="109"/>
      <c r="AP65" s="109"/>
      <c r="AQ65" s="109"/>
      <c r="AR65" s="109"/>
      <c r="AS65" s="109"/>
      <c r="AT65" s="109"/>
      <c r="AU65" s="109"/>
      <c r="AV65" s="109"/>
      <c r="AW65" s="79"/>
      <c r="AX65" s="79"/>
      <c r="AY65" s="79"/>
      <c r="AZ65" s="79"/>
      <c r="BA65" s="79"/>
      <c r="BB65" s="79"/>
      <c r="BC65" s="78"/>
      <c r="BD65" s="314"/>
      <c r="BE65" s="314"/>
      <c r="BF65" s="314"/>
      <c r="BG65" s="405"/>
      <c r="BH65" s="77"/>
      <c r="BI65" s="189"/>
      <c r="BJ65" s="189"/>
      <c r="BK65" s="189"/>
      <c r="BL65" s="189"/>
      <c r="BM65" s="189"/>
      <c r="BN65" s="189"/>
      <c r="BO65" s="189"/>
      <c r="BP65" s="189"/>
      <c r="BQ65" s="189"/>
      <c r="BR65" s="189"/>
    </row>
    <row r="66" spans="1:70" x14ac:dyDescent="0.25">
      <c r="A66" s="4"/>
      <c r="B66" s="35" t="s">
        <v>36</v>
      </c>
      <c r="C66" s="108">
        <f t="shared" ref="C66:G70" si="66">SUM(C45+C52+C59)</f>
        <v>3078951.17</v>
      </c>
      <c r="D66" s="77">
        <f t="shared" si="66"/>
        <v>3180627.34</v>
      </c>
      <c r="E66" s="77">
        <f t="shared" si="66"/>
        <v>2861146.44</v>
      </c>
      <c r="F66" s="77">
        <f t="shared" si="66"/>
        <v>2476669.91</v>
      </c>
      <c r="G66" s="77">
        <f t="shared" si="66"/>
        <v>1976984.96</v>
      </c>
      <c r="H66" s="77">
        <f>SUM(H45+H59+H52)</f>
        <v>1625060.47</v>
      </c>
      <c r="I66" s="77">
        <f t="shared" ref="I66:AB66" si="67">SUM(I45+I52+I59)</f>
        <v>1332224.3</v>
      </c>
      <c r="J66" s="77">
        <f t="shared" si="67"/>
        <v>1157506.21</v>
      </c>
      <c r="K66" s="77">
        <f t="shared" si="67"/>
        <v>1136902.6400000001</v>
      </c>
      <c r="L66" s="78">
        <f t="shared" si="67"/>
        <v>1471549.4900000002</v>
      </c>
      <c r="M66" s="79">
        <f t="shared" si="67"/>
        <v>2144349.6100000003</v>
      </c>
      <c r="N66" s="79">
        <f t="shared" si="67"/>
        <v>2879225.98</v>
      </c>
      <c r="O66" s="79">
        <f t="shared" si="67"/>
        <v>3393412.36</v>
      </c>
      <c r="P66" s="79">
        <f t="shared" si="67"/>
        <v>3790769.37</v>
      </c>
      <c r="Q66" s="79">
        <f t="shared" si="67"/>
        <v>4158584.8200000003</v>
      </c>
      <c r="R66" s="79">
        <f t="shared" si="67"/>
        <v>4447489.66</v>
      </c>
      <c r="S66" s="79">
        <f t="shared" si="67"/>
        <v>3854649.3600000003</v>
      </c>
      <c r="T66" s="79">
        <f t="shared" si="67"/>
        <v>3620404.22</v>
      </c>
      <c r="U66" s="189">
        <f t="shared" si="67"/>
        <v>3439204.49</v>
      </c>
      <c r="V66" s="189">
        <f t="shared" si="67"/>
        <v>3228951.7800000003</v>
      </c>
      <c r="W66" s="189">
        <f t="shared" si="67"/>
        <v>3170501.8099999996</v>
      </c>
      <c r="X66" s="78">
        <f t="shared" si="67"/>
        <v>3382317.1</v>
      </c>
      <c r="Y66" s="78">
        <f t="shared" si="67"/>
        <v>4184795.71</v>
      </c>
      <c r="Z66" s="78">
        <f t="shared" si="67"/>
        <v>5499524.7400000002</v>
      </c>
      <c r="AA66" s="78">
        <f t="shared" si="67"/>
        <v>6064852.3199999994</v>
      </c>
      <c r="AB66" s="78">
        <f t="shared" si="67"/>
        <v>6583871.5700000003</v>
      </c>
      <c r="AC66" s="579">
        <f t="shared" ref="AC66:AF70" si="68">SUM(AC45+AC52+AC59)</f>
        <v>6416886.6400000006</v>
      </c>
      <c r="AD66" s="579">
        <f t="shared" si="68"/>
        <v>5416684.3399999999</v>
      </c>
      <c r="AE66" s="579">
        <f t="shared" si="68"/>
        <v>5529081.8100000005</v>
      </c>
      <c r="AF66" s="579">
        <f t="shared" si="68"/>
        <v>5320986.0299999993</v>
      </c>
      <c r="AG66" s="579">
        <f t="shared" ref="AG66:AN66" si="69">SUM(AG45+AG52+AG59)</f>
        <v>4800384.4300000006</v>
      </c>
      <c r="AH66" s="579">
        <f t="shared" si="69"/>
        <v>4556997.01</v>
      </c>
      <c r="AI66" s="579">
        <f t="shared" si="69"/>
        <v>4342807.9300000006</v>
      </c>
      <c r="AJ66" s="872">
        <f t="shared" si="69"/>
        <v>4344333.5299999993</v>
      </c>
      <c r="AK66" s="812">
        <f t="shared" si="69"/>
        <v>4334366.25</v>
      </c>
      <c r="AL66" s="812">
        <f t="shared" si="69"/>
        <v>4848921.18</v>
      </c>
      <c r="AM66" s="812">
        <f t="shared" si="69"/>
        <v>5896828.2400000002</v>
      </c>
      <c r="AN66" s="812">
        <f t="shared" si="69"/>
        <v>6941435.6500000004</v>
      </c>
      <c r="AO66" s="812">
        <f>AO59+AO52+AO45</f>
        <v>10333312.959999999</v>
      </c>
      <c r="AP66" s="812">
        <f t="shared" ref="AP66:AQ69" si="70">AP45+AP52+AP59</f>
        <v>10893997.239999998</v>
      </c>
      <c r="AQ66" s="812">
        <f t="shared" si="70"/>
        <v>10543541.213</v>
      </c>
      <c r="AR66" s="812">
        <f>AR45+AR52+AR59</f>
        <v>9884619.790000001</v>
      </c>
      <c r="AS66" s="812"/>
      <c r="AT66" s="812"/>
      <c r="AU66" s="812"/>
      <c r="AV66" s="812"/>
      <c r="AW66" s="79">
        <f t="shared" ref="AW66:BF70" si="71">C66-O66</f>
        <v>-314461.18999999994</v>
      </c>
      <c r="AX66" s="79">
        <f t="shared" si="71"/>
        <v>-610142.03000000026</v>
      </c>
      <c r="AY66" s="79">
        <f t="shared" si="71"/>
        <v>-1297438.3800000004</v>
      </c>
      <c r="AZ66" s="79">
        <f t="shared" si="71"/>
        <v>-1970819.75</v>
      </c>
      <c r="BA66" s="79">
        <f t="shared" si="71"/>
        <v>-1877664.4000000004</v>
      </c>
      <c r="BB66" s="79">
        <f t="shared" si="71"/>
        <v>-1995343.7500000002</v>
      </c>
      <c r="BC66" s="78">
        <f t="shared" si="71"/>
        <v>-2106980.1900000004</v>
      </c>
      <c r="BD66" s="78">
        <f t="shared" si="71"/>
        <v>-2071445.5700000003</v>
      </c>
      <c r="BE66" s="78">
        <f t="shared" si="71"/>
        <v>-2033599.1699999995</v>
      </c>
      <c r="BF66" s="254">
        <f t="shared" si="71"/>
        <v>-1910767.6099999999</v>
      </c>
      <c r="BG66" s="254">
        <f t="shared" ref="BG66:BP70" si="72">M66-Y66</f>
        <v>-2040446.0999999996</v>
      </c>
      <c r="BH66" s="254">
        <f t="shared" si="72"/>
        <v>-2620298.7600000002</v>
      </c>
      <c r="BI66" s="254">
        <f t="shared" si="72"/>
        <v>-2671439.9599999995</v>
      </c>
      <c r="BJ66" s="254">
        <f t="shared" si="72"/>
        <v>-2793102.2</v>
      </c>
      <c r="BK66" s="254">
        <f t="shared" si="72"/>
        <v>-2258301.8200000003</v>
      </c>
      <c r="BL66" s="254">
        <f t="shared" si="72"/>
        <v>-969194.6799999997</v>
      </c>
      <c r="BM66" s="254">
        <f t="shared" si="72"/>
        <v>-1674432.4500000002</v>
      </c>
      <c r="BN66" s="254">
        <f t="shared" si="72"/>
        <v>-1700581.8099999991</v>
      </c>
      <c r="BO66" s="254">
        <f t="shared" si="72"/>
        <v>-1361179.9400000004</v>
      </c>
      <c r="BP66" s="254">
        <f t="shared" si="72"/>
        <v>-1328045.2299999995</v>
      </c>
      <c r="BQ66" s="254">
        <f t="shared" ref="BQ66:BR70" si="73">W66-AI66</f>
        <v>-1172306.120000001</v>
      </c>
      <c r="BR66" s="254">
        <f t="shared" si="73"/>
        <v>-962016.42999999924</v>
      </c>
    </row>
    <row r="67" spans="1:70" x14ac:dyDescent="0.25">
      <c r="A67" s="4"/>
      <c r="B67" s="35" t="s">
        <v>37</v>
      </c>
      <c r="C67" s="108">
        <f t="shared" si="66"/>
        <v>1497238.7</v>
      </c>
      <c r="D67" s="77">
        <f t="shared" si="66"/>
        <v>1469460.12</v>
      </c>
      <c r="E67" s="77">
        <f t="shared" si="66"/>
        <v>1163198.8700000001</v>
      </c>
      <c r="F67" s="77">
        <f t="shared" si="66"/>
        <v>1071717.02</v>
      </c>
      <c r="G67" s="77">
        <f t="shared" si="66"/>
        <v>996001.34000000008</v>
      </c>
      <c r="H67" s="77">
        <f>SUM(H46+H53+H60)</f>
        <v>894353.51</v>
      </c>
      <c r="I67" s="77">
        <f t="shared" ref="I67:AB67" si="74">SUM(I46+I53+I60)</f>
        <v>828359.91999999993</v>
      </c>
      <c r="J67" s="77">
        <f t="shared" si="74"/>
        <v>787617.59</v>
      </c>
      <c r="K67" s="77">
        <f t="shared" si="74"/>
        <v>824109.14</v>
      </c>
      <c r="L67" s="109">
        <f t="shared" si="74"/>
        <v>948375.52</v>
      </c>
      <c r="M67" s="108">
        <f t="shared" si="74"/>
        <v>1109618.5499999998</v>
      </c>
      <c r="N67" s="77">
        <f t="shared" si="74"/>
        <v>1345640.97</v>
      </c>
      <c r="O67" s="77">
        <f t="shared" si="74"/>
        <v>1477971.38</v>
      </c>
      <c r="P67" s="77">
        <f t="shared" si="74"/>
        <v>1717545.99</v>
      </c>
      <c r="Q67" s="77">
        <f t="shared" si="74"/>
        <v>1765582.08</v>
      </c>
      <c r="R67" s="77">
        <f t="shared" si="74"/>
        <v>736333.82000000007</v>
      </c>
      <c r="S67" s="77">
        <f t="shared" si="74"/>
        <v>508194.12</v>
      </c>
      <c r="T67" s="77">
        <f t="shared" si="74"/>
        <v>628270.55000000005</v>
      </c>
      <c r="U67" s="189">
        <f t="shared" si="74"/>
        <v>967984.77</v>
      </c>
      <c r="V67" s="189">
        <f t="shared" si="74"/>
        <v>1062875.19</v>
      </c>
      <c r="W67" s="189">
        <f t="shared" si="74"/>
        <v>1274302.1499999999</v>
      </c>
      <c r="X67" s="78">
        <f t="shared" si="74"/>
        <v>1422583.9</v>
      </c>
      <c r="Y67" s="78">
        <f t="shared" si="74"/>
        <v>1864154.9</v>
      </c>
      <c r="Z67" s="78">
        <f t="shared" si="74"/>
        <v>2472487.79</v>
      </c>
      <c r="AA67" s="78">
        <f t="shared" si="74"/>
        <v>2642100.1</v>
      </c>
      <c r="AB67" s="78">
        <f t="shared" si="74"/>
        <v>2744098.96</v>
      </c>
      <c r="AC67" s="579">
        <f t="shared" si="68"/>
        <v>1695550.09</v>
      </c>
      <c r="AD67" s="579">
        <f t="shared" si="68"/>
        <v>2686427.26</v>
      </c>
      <c r="AE67" s="579">
        <f t="shared" ref="AE67:AF70" si="75">SUM(AE46+AE53+AE60)</f>
        <v>2466374.9900000002</v>
      </c>
      <c r="AF67" s="579">
        <f t="shared" si="75"/>
        <v>2361245.15</v>
      </c>
      <c r="AG67" s="579">
        <f t="shared" ref="AG67:AI71" si="76">SUM(AG46+AG53+AG60)</f>
        <v>3150608.5599999996</v>
      </c>
      <c r="AH67" s="579">
        <f t="shared" si="76"/>
        <v>2081801.42</v>
      </c>
      <c r="AI67" s="579">
        <f t="shared" si="76"/>
        <v>1800740.52</v>
      </c>
      <c r="AJ67" s="872">
        <f t="shared" ref="AJ67:AN67" si="77">SUM(AJ46+AJ53+AJ60)</f>
        <v>1777412.28</v>
      </c>
      <c r="AK67" s="812">
        <f t="shared" si="77"/>
        <v>1804014.45</v>
      </c>
      <c r="AL67" s="812">
        <f t="shared" si="77"/>
        <v>1904435.53</v>
      </c>
      <c r="AM67" s="812">
        <f t="shared" si="77"/>
        <v>2166609.31</v>
      </c>
      <c r="AN67" s="812">
        <f t="shared" si="77"/>
        <v>2549926.0099999998</v>
      </c>
      <c r="AO67" s="812">
        <f>AO60+AO53+AO46</f>
        <v>1972694.8900000001</v>
      </c>
      <c r="AP67" s="812">
        <f t="shared" si="70"/>
        <v>3145967.16</v>
      </c>
      <c r="AQ67" s="812">
        <f t="shared" si="70"/>
        <v>3077551.52</v>
      </c>
      <c r="AR67" s="812">
        <f>AR46+AR53+AR60</f>
        <v>2941653.8099999996</v>
      </c>
      <c r="AS67" s="812"/>
      <c r="AT67" s="812"/>
      <c r="AU67" s="812"/>
      <c r="AV67" s="812"/>
      <c r="AW67" s="79">
        <f t="shared" si="71"/>
        <v>19267.320000000065</v>
      </c>
      <c r="AX67" s="79">
        <f t="shared" si="71"/>
        <v>-248085.86999999988</v>
      </c>
      <c r="AY67" s="79">
        <f t="shared" si="71"/>
        <v>-602383.21</v>
      </c>
      <c r="AZ67" s="79">
        <f t="shared" si="71"/>
        <v>335383.19999999995</v>
      </c>
      <c r="BA67" s="79">
        <f t="shared" si="71"/>
        <v>487807.22000000009</v>
      </c>
      <c r="BB67" s="79">
        <f t="shared" si="71"/>
        <v>266082.95999999996</v>
      </c>
      <c r="BC67" s="78">
        <f t="shared" si="71"/>
        <v>-139624.85000000009</v>
      </c>
      <c r="BD67" s="78">
        <f t="shared" si="71"/>
        <v>-275257.59999999998</v>
      </c>
      <c r="BE67" s="78">
        <f t="shared" si="71"/>
        <v>-450193.00999999989</v>
      </c>
      <c r="BF67" s="254">
        <f t="shared" si="71"/>
        <v>-474208.37999999989</v>
      </c>
      <c r="BG67" s="254">
        <f t="shared" si="72"/>
        <v>-754536.35000000009</v>
      </c>
      <c r="BH67" s="254">
        <f t="shared" si="72"/>
        <v>-1126846.82</v>
      </c>
      <c r="BI67" s="254">
        <f t="shared" si="72"/>
        <v>-1164128.7200000002</v>
      </c>
      <c r="BJ67" s="254">
        <f t="shared" si="72"/>
        <v>-1026552.97</v>
      </c>
      <c r="BK67" s="254">
        <f t="shared" si="72"/>
        <v>70031.989999999991</v>
      </c>
      <c r="BL67" s="254">
        <f t="shared" si="72"/>
        <v>-1950093.4399999997</v>
      </c>
      <c r="BM67" s="254">
        <f t="shared" si="72"/>
        <v>-1958180.87</v>
      </c>
      <c r="BN67" s="254">
        <f t="shared" si="72"/>
        <v>-1732974.5999999999</v>
      </c>
      <c r="BO67" s="254">
        <f t="shared" si="72"/>
        <v>-2182623.7899999996</v>
      </c>
      <c r="BP67" s="254">
        <f t="shared" si="72"/>
        <v>-1018926.23</v>
      </c>
      <c r="BQ67" s="254">
        <f t="shared" si="73"/>
        <v>-526438.37000000011</v>
      </c>
      <c r="BR67" s="254">
        <f t="shared" si="73"/>
        <v>-354828.38000000012</v>
      </c>
    </row>
    <row r="68" spans="1:70" x14ac:dyDescent="0.25">
      <c r="A68" s="4"/>
      <c r="B68" s="35" t="s">
        <v>38</v>
      </c>
      <c r="C68" s="108">
        <f t="shared" si="66"/>
        <v>361940.41000000003</v>
      </c>
      <c r="D68" s="77">
        <f t="shared" si="66"/>
        <v>203534.76</v>
      </c>
      <c r="E68" s="77">
        <f t="shared" si="66"/>
        <v>174104.93</v>
      </c>
      <c r="F68" s="77">
        <f t="shared" si="66"/>
        <v>134061.98000000001</v>
      </c>
      <c r="G68" s="77">
        <f t="shared" si="66"/>
        <v>96921.518000000011</v>
      </c>
      <c r="H68" s="77">
        <f>SUM(H47+H54+H61)</f>
        <v>77322.989999999991</v>
      </c>
      <c r="I68" s="77">
        <f t="shared" ref="I68:AB68" si="78">SUM(I47+I54+I61)</f>
        <v>66746.23</v>
      </c>
      <c r="J68" s="77">
        <f t="shared" si="78"/>
        <v>53856.480000000003</v>
      </c>
      <c r="K68" s="77">
        <f t="shared" si="78"/>
        <v>56464.43</v>
      </c>
      <c r="L68" s="109">
        <f t="shared" si="78"/>
        <v>69575.600000000006</v>
      </c>
      <c r="M68" s="108">
        <f t="shared" si="78"/>
        <v>140243.15</v>
      </c>
      <c r="N68" s="77">
        <f t="shared" si="78"/>
        <v>264376.21000000002</v>
      </c>
      <c r="O68" s="77">
        <f t="shared" si="78"/>
        <v>280170.52999999997</v>
      </c>
      <c r="P68" s="77">
        <f t="shared" si="78"/>
        <v>340627.68999999994</v>
      </c>
      <c r="Q68" s="77">
        <f t="shared" si="78"/>
        <v>402349.93</v>
      </c>
      <c r="R68" s="77">
        <f t="shared" si="78"/>
        <v>263644.13</v>
      </c>
      <c r="S68" s="77">
        <f t="shared" si="78"/>
        <v>215340.03000000003</v>
      </c>
      <c r="T68" s="77">
        <f t="shared" si="78"/>
        <v>335555.45</v>
      </c>
      <c r="U68" s="189">
        <f t="shared" si="78"/>
        <v>105351.69</v>
      </c>
      <c r="V68" s="189">
        <f t="shared" si="78"/>
        <v>73553.859999999986</v>
      </c>
      <c r="W68" s="189">
        <f t="shared" si="78"/>
        <v>87754.209999999992</v>
      </c>
      <c r="X68" s="78">
        <f t="shared" si="78"/>
        <v>117223.41999999998</v>
      </c>
      <c r="Y68" s="78">
        <f t="shared" si="78"/>
        <v>203729.39</v>
      </c>
      <c r="Z68" s="78">
        <f t="shared" si="78"/>
        <v>351447.10000000003</v>
      </c>
      <c r="AA68" s="78">
        <f t="shared" si="78"/>
        <v>287123.98</v>
      </c>
      <c r="AB68" s="78">
        <f t="shared" si="78"/>
        <v>305943.65000000002</v>
      </c>
      <c r="AC68" s="579">
        <f t="shared" si="68"/>
        <v>217178.36000000002</v>
      </c>
      <c r="AD68" s="579">
        <f t="shared" si="68"/>
        <v>240144.48</v>
      </c>
      <c r="AE68" s="579">
        <f t="shared" si="75"/>
        <v>227625.22999999998</v>
      </c>
      <c r="AF68" s="579">
        <f t="shared" si="75"/>
        <v>217922.71</v>
      </c>
      <c r="AG68" s="579">
        <f t="shared" si="76"/>
        <v>218792.69</v>
      </c>
      <c r="AH68" s="579">
        <f t="shared" si="76"/>
        <v>193988.63</v>
      </c>
      <c r="AI68" s="579">
        <f t="shared" si="76"/>
        <v>183535.76</v>
      </c>
      <c r="AJ68" s="872">
        <f t="shared" ref="AJ68:AN68" si="79">SUM(AJ47+AJ54+AJ61)</f>
        <v>181724.33000000002</v>
      </c>
      <c r="AK68" s="812">
        <f t="shared" si="79"/>
        <v>159265.13</v>
      </c>
      <c r="AL68" s="812">
        <f t="shared" si="79"/>
        <v>182877.13</v>
      </c>
      <c r="AM68" s="812">
        <f t="shared" si="79"/>
        <v>273011.51</v>
      </c>
      <c r="AN68" s="812">
        <f t="shared" si="79"/>
        <v>313640.67000000004</v>
      </c>
      <c r="AO68" s="812">
        <f>AO61+AO54+AO47</f>
        <v>240656.87000000002</v>
      </c>
      <c r="AP68" s="812">
        <f t="shared" si="70"/>
        <v>590886.1399999999</v>
      </c>
      <c r="AQ68" s="812">
        <f t="shared" si="70"/>
        <v>566023.48</v>
      </c>
      <c r="AR68" s="812">
        <f>AR47+AR54+AR61</f>
        <v>479223.6</v>
      </c>
      <c r="AS68" s="812"/>
      <c r="AT68" s="812"/>
      <c r="AU68" s="812"/>
      <c r="AV68" s="812"/>
      <c r="AW68" s="79">
        <f t="shared" si="71"/>
        <v>81769.880000000063</v>
      </c>
      <c r="AX68" s="79">
        <f t="shared" si="71"/>
        <v>-137092.92999999993</v>
      </c>
      <c r="AY68" s="79">
        <f t="shared" si="71"/>
        <v>-228245</v>
      </c>
      <c r="AZ68" s="79">
        <f t="shared" si="71"/>
        <v>-129582.15</v>
      </c>
      <c r="BA68" s="79">
        <f t="shared" si="71"/>
        <v>-118418.51200000002</v>
      </c>
      <c r="BB68" s="79">
        <f t="shared" si="71"/>
        <v>-258232.46000000002</v>
      </c>
      <c r="BC68" s="78">
        <f t="shared" si="71"/>
        <v>-38605.460000000006</v>
      </c>
      <c r="BD68" s="78">
        <f t="shared" si="71"/>
        <v>-19697.379999999983</v>
      </c>
      <c r="BE68" s="78">
        <f t="shared" si="71"/>
        <v>-31289.779999999992</v>
      </c>
      <c r="BF68" s="254">
        <f t="shared" si="71"/>
        <v>-47647.819999999978</v>
      </c>
      <c r="BG68" s="254">
        <f t="shared" si="72"/>
        <v>-63486.24000000002</v>
      </c>
      <c r="BH68" s="254">
        <f t="shared" si="72"/>
        <v>-87070.890000000014</v>
      </c>
      <c r="BI68" s="254">
        <f t="shared" si="72"/>
        <v>-6953.4500000000116</v>
      </c>
      <c r="BJ68" s="254">
        <f t="shared" si="72"/>
        <v>34684.039999999921</v>
      </c>
      <c r="BK68" s="254">
        <f t="shared" si="72"/>
        <v>185171.56999999998</v>
      </c>
      <c r="BL68" s="254">
        <f t="shared" si="72"/>
        <v>23499.649999999994</v>
      </c>
      <c r="BM68" s="254">
        <f t="shared" si="72"/>
        <v>-12285.199999999953</v>
      </c>
      <c r="BN68" s="254">
        <f t="shared" si="72"/>
        <v>117632.74000000002</v>
      </c>
      <c r="BO68" s="254">
        <f t="shared" si="72"/>
        <v>-113441</v>
      </c>
      <c r="BP68" s="254">
        <f t="shared" si="72"/>
        <v>-120434.77000000002</v>
      </c>
      <c r="BQ68" s="254">
        <f t="shared" si="73"/>
        <v>-95781.550000000017</v>
      </c>
      <c r="BR68" s="254">
        <f t="shared" si="73"/>
        <v>-64500.910000000033</v>
      </c>
    </row>
    <row r="69" spans="1:70" x14ac:dyDescent="0.25">
      <c r="A69" s="4"/>
      <c r="B69" s="35" t="s">
        <v>39</v>
      </c>
      <c r="C69" s="108">
        <f t="shared" si="66"/>
        <v>191205.14</v>
      </c>
      <c r="D69" s="77">
        <f t="shared" si="66"/>
        <v>207785.49</v>
      </c>
      <c r="E69" s="77">
        <f t="shared" si="66"/>
        <v>161081.43</v>
      </c>
      <c r="F69" s="77">
        <f t="shared" si="66"/>
        <v>129680.17</v>
      </c>
      <c r="G69" s="77">
        <f t="shared" si="66"/>
        <v>58796.94</v>
      </c>
      <c r="H69" s="77">
        <f>SUM(H48+H55+H62)</f>
        <v>51133.73</v>
      </c>
      <c r="I69" s="77">
        <f t="shared" ref="I69:AB69" si="80">SUM(I48+I55+I62)</f>
        <v>43472.33</v>
      </c>
      <c r="J69" s="77">
        <f t="shared" si="80"/>
        <v>32816.25</v>
      </c>
      <c r="K69" s="77">
        <f t="shared" si="80"/>
        <v>44728.490000000005</v>
      </c>
      <c r="L69" s="109">
        <f t="shared" si="80"/>
        <v>62382.32</v>
      </c>
      <c r="M69" s="108">
        <f t="shared" si="80"/>
        <v>115385.65</v>
      </c>
      <c r="N69" s="77">
        <f t="shared" si="80"/>
        <v>213897.46</v>
      </c>
      <c r="O69" s="77">
        <f t="shared" si="80"/>
        <v>231841.03</v>
      </c>
      <c r="P69" s="77">
        <f t="shared" si="80"/>
        <v>422259.57</v>
      </c>
      <c r="Q69" s="77">
        <f t="shared" si="80"/>
        <v>457225.60000000003</v>
      </c>
      <c r="R69" s="77">
        <f t="shared" si="80"/>
        <v>394544.94999999995</v>
      </c>
      <c r="S69" s="77">
        <f t="shared" si="80"/>
        <v>327628.18</v>
      </c>
      <c r="T69" s="77">
        <f t="shared" si="80"/>
        <v>308741.02</v>
      </c>
      <c r="U69" s="189">
        <f t="shared" si="80"/>
        <v>171199.03999999998</v>
      </c>
      <c r="V69" s="189">
        <f t="shared" si="80"/>
        <v>216023.5</v>
      </c>
      <c r="W69" s="189">
        <f t="shared" si="80"/>
        <v>188279.2</v>
      </c>
      <c r="X69" s="78">
        <f t="shared" si="80"/>
        <v>234956.9</v>
      </c>
      <c r="Y69" s="78">
        <f t="shared" si="80"/>
        <v>363464.43</v>
      </c>
      <c r="Z69" s="78">
        <f t="shared" si="80"/>
        <v>655131.94000000006</v>
      </c>
      <c r="AA69" s="78">
        <f t="shared" si="80"/>
        <v>330526.40999999997</v>
      </c>
      <c r="AB69" s="78">
        <f t="shared" si="80"/>
        <v>383668.8</v>
      </c>
      <c r="AC69" s="579">
        <f t="shared" si="68"/>
        <v>350087.12</v>
      </c>
      <c r="AD69" s="579">
        <f t="shared" si="68"/>
        <v>422806.33</v>
      </c>
      <c r="AE69" s="579">
        <f t="shared" si="75"/>
        <v>202254.33000000002</v>
      </c>
      <c r="AF69" s="579">
        <f t="shared" si="75"/>
        <v>195299.45</v>
      </c>
      <c r="AG69" s="579">
        <f t="shared" si="76"/>
        <v>193689.01</v>
      </c>
      <c r="AH69" s="579">
        <f t="shared" si="76"/>
        <v>178248.91</v>
      </c>
      <c r="AI69" s="579">
        <f t="shared" si="76"/>
        <v>150784.08000000002</v>
      </c>
      <c r="AJ69" s="872">
        <f t="shared" ref="AJ69:AN69" si="81">SUM(AJ48+AJ55+AJ62)</f>
        <v>158642.21000000002</v>
      </c>
      <c r="AK69" s="812">
        <f t="shared" si="81"/>
        <v>121725.15</v>
      </c>
      <c r="AL69" s="812">
        <f t="shared" si="81"/>
        <v>154155.46</v>
      </c>
      <c r="AM69" s="812">
        <f t="shared" si="81"/>
        <v>209092.85</v>
      </c>
      <c r="AN69" s="812">
        <f t="shared" si="81"/>
        <v>221699.91</v>
      </c>
      <c r="AO69" s="812">
        <f>AO62+AO55+AO48</f>
        <v>246932.13999999998</v>
      </c>
      <c r="AP69" s="812">
        <f t="shared" si="70"/>
        <v>469620.47999999998</v>
      </c>
      <c r="AQ69" s="812">
        <f t="shared" si="70"/>
        <v>357895.81</v>
      </c>
      <c r="AR69" s="812">
        <f>AR48+AR55+AR62</f>
        <v>321038.58</v>
      </c>
      <c r="AS69" s="812"/>
      <c r="AT69" s="812"/>
      <c r="AU69" s="812"/>
      <c r="AV69" s="812"/>
      <c r="AW69" s="79">
        <f t="shared" si="71"/>
        <v>-40635.889999999985</v>
      </c>
      <c r="AX69" s="79">
        <f t="shared" si="71"/>
        <v>-214474.08000000002</v>
      </c>
      <c r="AY69" s="79">
        <f t="shared" si="71"/>
        <v>-296144.17000000004</v>
      </c>
      <c r="AZ69" s="79">
        <f t="shared" si="71"/>
        <v>-264864.77999999997</v>
      </c>
      <c r="BA69" s="79">
        <f t="shared" si="71"/>
        <v>-268831.24</v>
      </c>
      <c r="BB69" s="79">
        <f t="shared" si="71"/>
        <v>-257607.29</v>
      </c>
      <c r="BC69" s="78">
        <f t="shared" si="71"/>
        <v>-127726.70999999998</v>
      </c>
      <c r="BD69" s="78">
        <f t="shared" si="71"/>
        <v>-183207.25</v>
      </c>
      <c r="BE69" s="78">
        <f t="shared" si="71"/>
        <v>-143550.71000000002</v>
      </c>
      <c r="BF69" s="254">
        <f t="shared" si="71"/>
        <v>-172574.58</v>
      </c>
      <c r="BG69" s="254">
        <f t="shared" si="72"/>
        <v>-248078.78</v>
      </c>
      <c r="BH69" s="254">
        <f t="shared" si="72"/>
        <v>-441234.4800000001</v>
      </c>
      <c r="BI69" s="254">
        <f t="shared" si="72"/>
        <v>-98685.379999999976</v>
      </c>
      <c r="BJ69" s="254">
        <f t="shared" si="72"/>
        <v>38590.770000000019</v>
      </c>
      <c r="BK69" s="254">
        <f t="shared" si="72"/>
        <v>107138.48000000004</v>
      </c>
      <c r="BL69" s="254">
        <f t="shared" si="72"/>
        <v>-28261.380000000063</v>
      </c>
      <c r="BM69" s="254">
        <f t="shared" si="72"/>
        <v>125373.84999999998</v>
      </c>
      <c r="BN69" s="254">
        <f t="shared" si="72"/>
        <v>113441.57</v>
      </c>
      <c r="BO69" s="254">
        <f t="shared" si="72"/>
        <v>-22489.97000000003</v>
      </c>
      <c r="BP69" s="254">
        <f t="shared" si="72"/>
        <v>37774.589999999997</v>
      </c>
      <c r="BQ69" s="254">
        <f t="shared" si="73"/>
        <v>37495.119999999995</v>
      </c>
      <c r="BR69" s="254">
        <f t="shared" si="73"/>
        <v>76314.689999999973</v>
      </c>
    </row>
    <row r="70" spans="1:70" x14ac:dyDescent="0.25">
      <c r="A70" s="4"/>
      <c r="B70" s="35" t="s">
        <v>40</v>
      </c>
      <c r="C70" s="108">
        <f t="shared" si="66"/>
        <v>0</v>
      </c>
      <c r="D70" s="77">
        <f t="shared" si="66"/>
        <v>17568.169999999998</v>
      </c>
      <c r="E70" s="77">
        <f t="shared" si="66"/>
        <v>15.32</v>
      </c>
      <c r="F70" s="77">
        <f t="shared" si="66"/>
        <v>16898.810000000001</v>
      </c>
      <c r="G70" s="77">
        <f t="shared" si="66"/>
        <v>46.51</v>
      </c>
      <c r="H70" s="77">
        <f>SUM(H49+H56+H63)</f>
        <v>950.14</v>
      </c>
      <c r="I70" s="77">
        <f t="shared" ref="I70:AB70" si="82">SUM(I49+I56+I63)</f>
        <v>947.11</v>
      </c>
      <c r="J70" s="77">
        <f t="shared" si="82"/>
        <v>9.19</v>
      </c>
      <c r="K70" s="77">
        <f t="shared" si="82"/>
        <v>1562.6000000000001</v>
      </c>
      <c r="L70" s="109">
        <f t="shared" si="82"/>
        <v>242.02</v>
      </c>
      <c r="M70" s="108">
        <f t="shared" si="82"/>
        <v>12626.720000000001</v>
      </c>
      <c r="N70" s="77">
        <f t="shared" si="82"/>
        <v>30003.530000000002</v>
      </c>
      <c r="O70" s="77">
        <f t="shared" si="82"/>
        <v>0</v>
      </c>
      <c r="P70" s="77">
        <f t="shared" si="82"/>
        <v>63980.44</v>
      </c>
      <c r="Q70" s="77">
        <f t="shared" si="82"/>
        <v>180095.77</v>
      </c>
      <c r="R70" s="77">
        <f t="shared" si="82"/>
        <v>185388.12</v>
      </c>
      <c r="S70" s="77">
        <f t="shared" si="82"/>
        <v>144647.99</v>
      </c>
      <c r="T70" s="77">
        <f t="shared" si="82"/>
        <v>87200.890000000014</v>
      </c>
      <c r="U70" s="189">
        <f t="shared" si="82"/>
        <v>11399.349999999999</v>
      </c>
      <c r="V70" s="189">
        <f t="shared" si="82"/>
        <v>3175.7700000000004</v>
      </c>
      <c r="W70" s="189">
        <f t="shared" si="82"/>
        <v>43230.84</v>
      </c>
      <c r="X70" s="78">
        <f t="shared" si="82"/>
        <v>16426.810000000001</v>
      </c>
      <c r="Y70" s="78">
        <f t="shared" si="82"/>
        <v>41414.18</v>
      </c>
      <c r="Z70" s="78">
        <f t="shared" si="82"/>
        <v>85993.41</v>
      </c>
      <c r="AA70" s="78">
        <f t="shared" si="82"/>
        <v>446.98</v>
      </c>
      <c r="AB70" s="78">
        <f t="shared" si="82"/>
        <v>53577.47</v>
      </c>
      <c r="AC70" s="579">
        <f t="shared" si="68"/>
        <v>32004.699999999997</v>
      </c>
      <c r="AD70" s="579">
        <f t="shared" si="68"/>
        <v>32004.699999999997</v>
      </c>
      <c r="AE70" s="579">
        <f t="shared" si="75"/>
        <v>36137.620000000003</v>
      </c>
      <c r="AF70" s="579">
        <f t="shared" si="75"/>
        <v>24304.22</v>
      </c>
      <c r="AG70" s="579">
        <f t="shared" si="76"/>
        <v>26229.599999999999</v>
      </c>
      <c r="AH70" s="579">
        <f t="shared" si="76"/>
        <v>12404.05</v>
      </c>
      <c r="AI70" s="579">
        <f t="shared" si="76"/>
        <v>20478.509999999998</v>
      </c>
      <c r="AJ70" s="872">
        <f t="shared" ref="AJ70:AN70" si="83">SUM(AJ49+AJ56+AJ63)</f>
        <v>14262.880000000001</v>
      </c>
      <c r="AK70" s="812">
        <f t="shared" si="83"/>
        <v>34894.660000000003</v>
      </c>
      <c r="AL70" s="812">
        <f t="shared" si="83"/>
        <v>35962.400000000001</v>
      </c>
      <c r="AM70" s="812">
        <f t="shared" si="83"/>
        <v>15662.95</v>
      </c>
      <c r="AN70" s="812">
        <f t="shared" si="83"/>
        <v>25914.86</v>
      </c>
      <c r="AO70" s="812">
        <f>AO63+AO56+AO49</f>
        <v>0</v>
      </c>
      <c r="AP70" s="812">
        <v>0</v>
      </c>
      <c r="AQ70" s="812">
        <v>0</v>
      </c>
      <c r="AR70" s="812">
        <v>0</v>
      </c>
      <c r="AS70" s="812"/>
      <c r="AT70" s="812"/>
      <c r="AU70" s="812"/>
      <c r="AV70" s="812"/>
      <c r="AW70" s="79">
        <f t="shared" si="71"/>
        <v>0</v>
      </c>
      <c r="AX70" s="79">
        <f t="shared" si="71"/>
        <v>-46412.270000000004</v>
      </c>
      <c r="AY70" s="79">
        <f t="shared" si="71"/>
        <v>-180080.44999999998</v>
      </c>
      <c r="AZ70" s="79">
        <f t="shared" si="71"/>
        <v>-168489.31</v>
      </c>
      <c r="BA70" s="79">
        <f t="shared" si="71"/>
        <v>-144601.47999999998</v>
      </c>
      <c r="BB70" s="79">
        <f t="shared" si="71"/>
        <v>-86250.750000000015</v>
      </c>
      <c r="BC70" s="78">
        <f t="shared" si="71"/>
        <v>-10452.239999999998</v>
      </c>
      <c r="BD70" s="78">
        <f t="shared" si="71"/>
        <v>-3166.5800000000004</v>
      </c>
      <c r="BE70" s="78">
        <f t="shared" si="71"/>
        <v>-41668.239999999998</v>
      </c>
      <c r="BF70" s="254">
        <f t="shared" si="71"/>
        <v>-16184.79</v>
      </c>
      <c r="BG70" s="254">
        <f t="shared" si="72"/>
        <v>-28787.46</v>
      </c>
      <c r="BH70" s="254">
        <f t="shared" si="72"/>
        <v>-55989.880000000005</v>
      </c>
      <c r="BI70" s="254">
        <f t="shared" si="72"/>
        <v>-446.98</v>
      </c>
      <c r="BJ70" s="254">
        <f t="shared" si="72"/>
        <v>10402.970000000001</v>
      </c>
      <c r="BK70" s="254">
        <f t="shared" si="72"/>
        <v>148091.07</v>
      </c>
      <c r="BL70" s="254">
        <f t="shared" si="72"/>
        <v>153383.41999999998</v>
      </c>
      <c r="BM70" s="254">
        <f t="shared" si="72"/>
        <v>108510.37</v>
      </c>
      <c r="BN70" s="254">
        <f t="shared" si="72"/>
        <v>62896.670000000013</v>
      </c>
      <c r="BO70" s="254">
        <f t="shared" si="72"/>
        <v>-14830.25</v>
      </c>
      <c r="BP70" s="254">
        <f t="shared" si="72"/>
        <v>-9228.2799999999988</v>
      </c>
      <c r="BQ70" s="254">
        <f t="shared" si="73"/>
        <v>22752.329999999998</v>
      </c>
      <c r="BR70" s="254">
        <f t="shared" si="73"/>
        <v>2163.9300000000003</v>
      </c>
    </row>
    <row r="71" spans="1:70" ht="15.75" thickBot="1" x14ac:dyDescent="0.3">
      <c r="A71" s="4"/>
      <c r="B71" s="37" t="s">
        <v>41</v>
      </c>
      <c r="C71" s="100">
        <f t="shared" ref="C71:AC71" si="84">SUM(C66:C70)</f>
        <v>5129335.42</v>
      </c>
      <c r="D71" s="81">
        <f t="shared" si="84"/>
        <v>5078975.88</v>
      </c>
      <c r="E71" s="81">
        <f t="shared" si="84"/>
        <v>4359546.99</v>
      </c>
      <c r="F71" s="81">
        <f t="shared" si="84"/>
        <v>3829027.89</v>
      </c>
      <c r="G71" s="81">
        <f t="shared" si="84"/>
        <v>3128751.2679999997</v>
      </c>
      <c r="H71" s="81">
        <f t="shared" si="84"/>
        <v>2648820.84</v>
      </c>
      <c r="I71" s="81">
        <f t="shared" si="84"/>
        <v>2271749.8899999997</v>
      </c>
      <c r="J71" s="81">
        <f t="shared" si="84"/>
        <v>2031805.7199999997</v>
      </c>
      <c r="K71" s="81">
        <f t="shared" si="84"/>
        <v>2063767.3000000003</v>
      </c>
      <c r="L71" s="160">
        <f t="shared" si="84"/>
        <v>2552124.9500000002</v>
      </c>
      <c r="M71" s="81">
        <f t="shared" si="84"/>
        <v>3522223.68</v>
      </c>
      <c r="N71" s="81">
        <f t="shared" si="84"/>
        <v>4733144.1500000004</v>
      </c>
      <c r="O71" s="81">
        <f t="shared" si="84"/>
        <v>5383395.3000000007</v>
      </c>
      <c r="P71" s="81">
        <f t="shared" si="84"/>
        <v>6335183.0600000015</v>
      </c>
      <c r="Q71" s="81">
        <f t="shared" si="84"/>
        <v>6963838.1999999993</v>
      </c>
      <c r="R71" s="81">
        <f t="shared" si="84"/>
        <v>6027400.6800000006</v>
      </c>
      <c r="S71" s="81">
        <f t="shared" si="84"/>
        <v>5050459.6800000006</v>
      </c>
      <c r="T71" s="81">
        <f t="shared" si="84"/>
        <v>4980172.13</v>
      </c>
      <c r="U71" s="176">
        <f t="shared" si="84"/>
        <v>4695139.34</v>
      </c>
      <c r="V71" s="176">
        <f t="shared" si="84"/>
        <v>4584580.1000000006</v>
      </c>
      <c r="W71" s="176">
        <f t="shared" si="84"/>
        <v>4764068.209999999</v>
      </c>
      <c r="X71" s="160">
        <f t="shared" si="84"/>
        <v>5173508.13</v>
      </c>
      <c r="Y71" s="160">
        <f t="shared" si="84"/>
        <v>6657558.6099999985</v>
      </c>
      <c r="Z71" s="160">
        <f t="shared" si="84"/>
        <v>9064584.9800000004</v>
      </c>
      <c r="AA71" s="160">
        <f t="shared" si="84"/>
        <v>9325049.790000001</v>
      </c>
      <c r="AB71" s="160">
        <f t="shared" si="84"/>
        <v>10071160.450000003</v>
      </c>
      <c r="AC71" s="160">
        <f t="shared" si="84"/>
        <v>8711706.9100000001</v>
      </c>
      <c r="AD71" s="160">
        <f>SUM(AD66:AD70)</f>
        <v>8798067.1099999994</v>
      </c>
      <c r="AE71" s="160">
        <f>SUM(AE66:AE70)</f>
        <v>8461473.9800000004</v>
      </c>
      <c r="AF71" s="579">
        <f>SUM(AF50+AF57+AF64)</f>
        <v>8119757.5599999996</v>
      </c>
      <c r="AG71" s="579">
        <f t="shared" si="76"/>
        <v>8389704.290000001</v>
      </c>
      <c r="AH71" s="579">
        <f t="shared" si="76"/>
        <v>7023440.0199999996</v>
      </c>
      <c r="AI71" s="579">
        <f t="shared" si="76"/>
        <v>6498346.8000000007</v>
      </c>
      <c r="AJ71" s="872">
        <f t="shared" ref="AJ71:AK71" si="85">SUM(AJ50+AJ57+AJ64)</f>
        <v>6476375.2299999995</v>
      </c>
      <c r="AK71" s="812">
        <f t="shared" si="85"/>
        <v>6454265.6399999997</v>
      </c>
      <c r="AL71" s="812">
        <f>SUM(AL50+AL57+AL64)</f>
        <v>7126351.7000000002</v>
      </c>
      <c r="AM71" s="812">
        <f t="shared" ref="AM71:AN71" si="86">SUM(AM50+AM57+AM64)</f>
        <v>8561204.8599999994</v>
      </c>
      <c r="AN71" s="812">
        <f t="shared" si="86"/>
        <v>10052617.1</v>
      </c>
      <c r="AO71" s="813">
        <f>SUM(AO66:AO70)</f>
        <v>12793596.859999999</v>
      </c>
      <c r="AP71" s="813">
        <f>SUM(AP66:AP70)</f>
        <v>15100471.02</v>
      </c>
      <c r="AQ71" s="813">
        <f>SUM(AQ66:AQ70)</f>
        <v>14545012.023</v>
      </c>
      <c r="AR71" s="813">
        <f>SUM(AR66:AR70)</f>
        <v>13626535.780000001</v>
      </c>
      <c r="AS71" s="813"/>
      <c r="AT71" s="813"/>
      <c r="AU71" s="813"/>
      <c r="AV71" s="813"/>
      <c r="AW71" s="81">
        <f t="shared" ref="AW71:BF71" si="87">SUM(AW66:AW70)</f>
        <v>-254059.8799999998</v>
      </c>
      <c r="AX71" s="81">
        <f t="shared" si="87"/>
        <v>-1256207.1800000002</v>
      </c>
      <c r="AY71" s="81">
        <f t="shared" si="87"/>
        <v>-2604291.2100000004</v>
      </c>
      <c r="AZ71" s="81">
        <f t="shared" si="87"/>
        <v>-2198372.79</v>
      </c>
      <c r="BA71" s="81">
        <f t="shared" si="87"/>
        <v>-1921708.4120000002</v>
      </c>
      <c r="BB71" s="81">
        <f t="shared" si="87"/>
        <v>-2331351.29</v>
      </c>
      <c r="BC71" s="80">
        <f t="shared" si="87"/>
        <v>-2423389.4500000007</v>
      </c>
      <c r="BD71" s="80">
        <f t="shared" si="87"/>
        <v>-2552774.3800000004</v>
      </c>
      <c r="BE71" s="80">
        <f t="shared" si="87"/>
        <v>-2700300.9099999992</v>
      </c>
      <c r="BF71" s="263">
        <f t="shared" si="87"/>
        <v>-2621383.1799999997</v>
      </c>
      <c r="BG71" s="254">
        <f t="shared" ref="BG71:BR71" si="88">M71-Y71</f>
        <v>-3135334.9299999983</v>
      </c>
      <c r="BH71" s="254">
        <f t="shared" si="88"/>
        <v>-4331440.83</v>
      </c>
      <c r="BI71" s="254">
        <f t="shared" si="88"/>
        <v>-3941654.49</v>
      </c>
      <c r="BJ71" s="254">
        <f t="shared" si="88"/>
        <v>-3735977.3900000015</v>
      </c>
      <c r="BK71" s="254">
        <f t="shared" si="88"/>
        <v>-1747868.7100000009</v>
      </c>
      <c r="BL71" s="254">
        <f t="shared" si="88"/>
        <v>-2770666.4299999988</v>
      </c>
      <c r="BM71" s="254">
        <f t="shared" si="88"/>
        <v>-3411014.3</v>
      </c>
      <c r="BN71" s="254">
        <f t="shared" si="88"/>
        <v>-3139585.4299999997</v>
      </c>
      <c r="BO71" s="254">
        <f t="shared" si="88"/>
        <v>-3694564.9500000011</v>
      </c>
      <c r="BP71" s="254">
        <f t="shared" si="88"/>
        <v>-2438859.919999999</v>
      </c>
      <c r="BQ71" s="254">
        <f t="shared" si="88"/>
        <v>-1734278.5900000017</v>
      </c>
      <c r="BR71" s="254">
        <f t="shared" si="88"/>
        <v>-1302867.0999999996</v>
      </c>
    </row>
    <row r="72" spans="1:70" x14ac:dyDescent="0.25">
      <c r="A72" s="4">
        <f>+A65+1</f>
        <v>10</v>
      </c>
      <c r="B72" s="41" t="s">
        <v>33</v>
      </c>
      <c r="C72" s="155"/>
      <c r="D72" s="64"/>
      <c r="E72" s="64"/>
      <c r="F72" s="64"/>
      <c r="G72" s="64"/>
      <c r="H72" s="64"/>
      <c r="I72" s="64"/>
      <c r="J72" s="64"/>
      <c r="K72" s="64"/>
      <c r="L72" s="165"/>
      <c r="M72" s="64"/>
      <c r="N72" s="64"/>
      <c r="O72" s="64"/>
      <c r="P72" s="64"/>
      <c r="Q72" s="64"/>
      <c r="R72" s="64"/>
      <c r="S72" s="64"/>
      <c r="T72" s="64"/>
      <c r="U72" s="177"/>
      <c r="V72" s="320"/>
      <c r="W72" s="320"/>
      <c r="X72" s="165"/>
      <c r="Y72" s="320"/>
      <c r="Z72" s="320"/>
      <c r="AA72" s="320"/>
      <c r="AB72" s="320"/>
      <c r="AC72" s="165"/>
      <c r="AD72" s="165"/>
      <c r="AE72" s="320"/>
      <c r="AF72" s="320"/>
      <c r="AG72" s="320"/>
      <c r="AH72" s="320"/>
      <c r="AI72" s="320"/>
      <c r="AJ72" s="177"/>
      <c r="AK72" s="320"/>
      <c r="AL72" s="320"/>
      <c r="AM72" s="320"/>
      <c r="AN72" s="320"/>
      <c r="AO72" s="320"/>
      <c r="AP72" s="320"/>
      <c r="AQ72" s="320"/>
      <c r="AR72" s="320"/>
      <c r="AS72" s="320"/>
      <c r="AT72" s="320"/>
      <c r="AU72" s="320"/>
      <c r="AV72" s="320"/>
      <c r="AW72" s="64"/>
      <c r="AX72" s="64"/>
      <c r="AY72" s="64"/>
      <c r="AZ72" s="64"/>
      <c r="BA72" s="64"/>
      <c r="BB72" s="64"/>
      <c r="BC72" s="63"/>
      <c r="BD72" s="315"/>
      <c r="BE72" s="315"/>
      <c r="BF72" s="315"/>
      <c r="BG72" s="406"/>
      <c r="BH72" s="411"/>
      <c r="BI72" s="412"/>
      <c r="BJ72" s="412"/>
      <c r="BK72" s="412"/>
      <c r="BL72" s="412"/>
      <c r="BM72" s="412"/>
      <c r="BN72" s="412"/>
      <c r="BO72" s="412"/>
      <c r="BP72" s="412"/>
      <c r="BQ72" s="412"/>
      <c r="BR72" s="412"/>
    </row>
    <row r="73" spans="1:70" x14ac:dyDescent="0.25">
      <c r="A73" s="4"/>
      <c r="B73" s="35" t="s">
        <v>36</v>
      </c>
      <c r="C73" s="156">
        <v>5366874</v>
      </c>
      <c r="D73" s="83">
        <v>3843919</v>
      </c>
      <c r="E73" s="83">
        <v>2029240</v>
      </c>
      <c r="F73" s="83">
        <v>1280398</v>
      </c>
      <c r="G73" s="83">
        <v>760851</v>
      </c>
      <c r="H73" s="83">
        <v>653524</v>
      </c>
      <c r="I73" s="83">
        <v>677153</v>
      </c>
      <c r="J73" s="83">
        <v>800554</v>
      </c>
      <c r="K73" s="83">
        <v>2207554</v>
      </c>
      <c r="L73" s="166">
        <v>4164660</v>
      </c>
      <c r="M73" s="83">
        <v>5561927</v>
      </c>
      <c r="N73" s="83">
        <v>4805071</v>
      </c>
      <c r="O73" s="83">
        <v>4322498</v>
      </c>
      <c r="P73" s="83">
        <f>27905+3084147+10169+359794+5524+16802</f>
        <v>3504341</v>
      </c>
      <c r="Q73" s="83">
        <f>26163+2581468+8610+282457+5653+14216</f>
        <v>2918567</v>
      </c>
      <c r="R73" s="83">
        <f>18437+1011410+6791+122311+2243+7157</f>
        <v>1168349</v>
      </c>
      <c r="S73" s="83">
        <f>14522+630257+5955+82322+1520+5076</f>
        <v>739652</v>
      </c>
      <c r="T73" s="83">
        <f>14719+626732+4899+59754+1576+5111</f>
        <v>712791</v>
      </c>
      <c r="U73" s="178">
        <f>14770+603454+4629+45781+1515+5168</f>
        <v>675317</v>
      </c>
      <c r="V73" s="257">
        <f>17940+820582+6183+89015+2056+6619</f>
        <v>942395</v>
      </c>
      <c r="W73" s="257">
        <f>21974+1620601+6970+189690+2958+10994</f>
        <v>1853187</v>
      </c>
      <c r="X73" s="166">
        <f>25683+2946769+7452+245551+4880+17495</f>
        <v>3247830</v>
      </c>
      <c r="Y73" s="257">
        <f>33038+4927478+11868+600235+8935+25417</f>
        <v>5606971</v>
      </c>
      <c r="Z73" s="257">
        <f>29898+4951954+9163+528924+7862+23607</f>
        <v>5551408</v>
      </c>
      <c r="AA73" s="257">
        <f>29650+4580673+9290+531323+21696</f>
        <v>5172632</v>
      </c>
      <c r="AB73" s="257">
        <f>25671+3108773+9552+410828+5849+15478</f>
        <v>3576151</v>
      </c>
      <c r="AC73" s="447">
        <v>2105491</v>
      </c>
      <c r="AD73" s="447">
        <f>24848+1079309+8662</f>
        <v>1112819</v>
      </c>
      <c r="AE73" s="257">
        <f>18157+680448+5429</f>
        <v>704034</v>
      </c>
      <c r="AF73" s="257">
        <f>20827+741254+6919</f>
        <v>769000</v>
      </c>
      <c r="AG73" s="257">
        <f>19605+668203+6575</f>
        <v>694383</v>
      </c>
      <c r="AH73" s="257">
        <f>21347+716169+7342</f>
        <v>744858</v>
      </c>
      <c r="AI73" s="257">
        <f>26808+1485089+12908</f>
        <v>1524805</v>
      </c>
      <c r="AJ73" s="178">
        <f>36126+3578422+23569</f>
        <v>3638117</v>
      </c>
      <c r="AK73" s="257">
        <f>45116+5148410+31817</f>
        <v>5225343</v>
      </c>
      <c r="AL73" s="232">
        <f>45813+5950197+35597</f>
        <v>6031607</v>
      </c>
      <c r="AM73" s="257">
        <f>40453+4615235+26333</f>
        <v>4682021</v>
      </c>
      <c r="AN73" s="257">
        <f>42712+3756588+25172</f>
        <v>3824472</v>
      </c>
      <c r="AO73" s="257">
        <f>27387+1856857+13865</f>
        <v>1898109</v>
      </c>
      <c r="AP73" s="257">
        <f>SUM(23639,1000029,80997)</f>
        <v>1104665</v>
      </c>
      <c r="AQ73" s="257">
        <f>21421+746081+6962</f>
        <v>774464</v>
      </c>
      <c r="AR73" s="257">
        <f>17123+593784+5479</f>
        <v>616386</v>
      </c>
      <c r="AS73" s="257"/>
      <c r="AT73" s="257"/>
      <c r="AU73" s="257"/>
      <c r="AV73" s="257"/>
      <c r="AW73" s="83">
        <f t="shared" ref="AW73:BF77" si="89">C73-O73</f>
        <v>1044376</v>
      </c>
      <c r="AX73" s="83">
        <f t="shared" si="89"/>
        <v>339578</v>
      </c>
      <c r="AY73" s="83">
        <f t="shared" si="89"/>
        <v>-889327</v>
      </c>
      <c r="AZ73" s="83">
        <f t="shared" si="89"/>
        <v>112049</v>
      </c>
      <c r="BA73" s="83">
        <f t="shared" si="89"/>
        <v>21199</v>
      </c>
      <c r="BB73" s="83">
        <f t="shared" si="89"/>
        <v>-59267</v>
      </c>
      <c r="BC73" s="82">
        <f t="shared" si="89"/>
        <v>1836</v>
      </c>
      <c r="BD73" s="82">
        <f t="shared" si="89"/>
        <v>-141841</v>
      </c>
      <c r="BE73" s="82">
        <f t="shared" si="89"/>
        <v>354367</v>
      </c>
      <c r="BF73" s="256">
        <f t="shared" si="89"/>
        <v>916830</v>
      </c>
      <c r="BG73" s="256">
        <f t="shared" ref="BG73:BP77" si="90">M73-Y73</f>
        <v>-45044</v>
      </c>
      <c r="BH73" s="256">
        <f t="shared" si="90"/>
        <v>-746337</v>
      </c>
      <c r="BI73" s="256">
        <f t="shared" si="90"/>
        <v>-850134</v>
      </c>
      <c r="BJ73" s="256">
        <f t="shared" si="90"/>
        <v>-71810</v>
      </c>
      <c r="BK73" s="256">
        <f t="shared" si="90"/>
        <v>813076</v>
      </c>
      <c r="BL73" s="256">
        <f t="shared" si="90"/>
        <v>55530</v>
      </c>
      <c r="BM73" s="256">
        <f t="shared" si="90"/>
        <v>35618</v>
      </c>
      <c r="BN73" s="256">
        <f t="shared" si="90"/>
        <v>-56209</v>
      </c>
      <c r="BO73" s="256">
        <f t="shared" si="90"/>
        <v>-19066</v>
      </c>
      <c r="BP73" s="256">
        <f t="shared" si="90"/>
        <v>197537</v>
      </c>
      <c r="BQ73" s="256">
        <f t="shared" ref="BQ73:BR77" si="91">W73-AI73</f>
        <v>328382</v>
      </c>
      <c r="BR73" s="256">
        <f t="shared" si="91"/>
        <v>-390287</v>
      </c>
    </row>
    <row r="74" spans="1:70" x14ac:dyDescent="0.25">
      <c r="A74" s="4"/>
      <c r="B74" s="35" t="s">
        <v>37</v>
      </c>
      <c r="C74" s="156">
        <v>1296596</v>
      </c>
      <c r="D74" s="83">
        <v>900416</v>
      </c>
      <c r="E74" s="83">
        <v>501599</v>
      </c>
      <c r="F74" s="83">
        <v>292243</v>
      </c>
      <c r="G74" s="83">
        <v>164728</v>
      </c>
      <c r="H74" s="83">
        <v>147819</v>
      </c>
      <c r="I74" s="83">
        <v>158035</v>
      </c>
      <c r="J74" s="83">
        <v>211099</v>
      </c>
      <c r="K74" s="83">
        <v>595112</v>
      </c>
      <c r="L74" s="166">
        <v>1032468</v>
      </c>
      <c r="M74" s="83">
        <v>1345041</v>
      </c>
      <c r="N74" s="83">
        <v>1128913</v>
      </c>
      <c r="O74" s="83">
        <v>1047081</v>
      </c>
      <c r="P74" s="83">
        <f>4526+546+839005+16115</f>
        <v>860192</v>
      </c>
      <c r="Q74" s="83">
        <f>4174+683194+679+13645</f>
        <v>701692</v>
      </c>
      <c r="R74" s="83">
        <f>2809+245005+459+5849</f>
        <v>254122</v>
      </c>
      <c r="S74" s="83">
        <f>2058+147576+449+3377</f>
        <v>153460</v>
      </c>
      <c r="T74" s="83">
        <f>2160+151558+395+3106</f>
        <v>157219</v>
      </c>
      <c r="U74" s="178">
        <f>2278+154941+398+2851</f>
        <v>160468</v>
      </c>
      <c r="V74" s="257">
        <f>2788+221210+484+4320</f>
        <v>228802</v>
      </c>
      <c r="W74" s="257">
        <f>3690+456289+607+9731</f>
        <v>470317</v>
      </c>
      <c r="X74" s="166">
        <f>4593+636+820235+11618</f>
        <v>837082</v>
      </c>
      <c r="Y74" s="257">
        <f>6177+1269254+763+26617</f>
        <v>1302811</v>
      </c>
      <c r="Z74" s="257">
        <f>5452+1271075+1312+24665</f>
        <v>1302504</v>
      </c>
      <c r="AA74" s="257">
        <f>4906+1134059+1032+25985</f>
        <v>1165982</v>
      </c>
      <c r="AB74" s="257">
        <f>4064+729201+996+20447</f>
        <v>754708</v>
      </c>
      <c r="AC74" s="449">
        <v>508790</v>
      </c>
      <c r="AD74" s="449">
        <f>2160+198828</f>
        <v>200988</v>
      </c>
      <c r="AE74" s="232">
        <f>1431+115712</f>
        <v>117143</v>
      </c>
      <c r="AF74" s="232">
        <f>2480+179773</f>
        <v>182253</v>
      </c>
      <c r="AG74" s="232">
        <f>2262+151048</f>
        <v>153310</v>
      </c>
      <c r="AH74" s="232">
        <f>2189+173912</f>
        <v>176101</v>
      </c>
      <c r="AI74" s="232">
        <f>3077+415925</f>
        <v>419002</v>
      </c>
      <c r="AJ74" s="448">
        <f>4263+864501</f>
        <v>868764</v>
      </c>
      <c r="AK74" s="232">
        <f>4336+1214201</f>
        <v>1218537</v>
      </c>
      <c r="AL74" s="232">
        <f>4866+1372916</f>
        <v>1377782</v>
      </c>
      <c r="AM74" s="232">
        <f>4322+1077700</f>
        <v>1082022</v>
      </c>
      <c r="AN74" s="232">
        <f>5720+964399</f>
        <v>970119</v>
      </c>
      <c r="AO74" s="232">
        <f>3727+483015</f>
        <v>486742</v>
      </c>
      <c r="AP74" s="232">
        <f>SUM(3170,217765)</f>
        <v>220935</v>
      </c>
      <c r="AQ74" s="232">
        <f>2579+180898</f>
        <v>183477</v>
      </c>
      <c r="AR74" s="232">
        <f>1948+142130</f>
        <v>144078</v>
      </c>
      <c r="AS74" s="232"/>
      <c r="AT74" s="232"/>
      <c r="AU74" s="232"/>
      <c r="AV74" s="232"/>
      <c r="AW74" s="83">
        <f t="shared" si="89"/>
        <v>249515</v>
      </c>
      <c r="AX74" s="83">
        <f t="shared" si="89"/>
        <v>40224</v>
      </c>
      <c r="AY74" s="83">
        <f t="shared" si="89"/>
        <v>-200093</v>
      </c>
      <c r="AZ74" s="83">
        <f t="shared" si="89"/>
        <v>38121</v>
      </c>
      <c r="BA74" s="83">
        <f t="shared" si="89"/>
        <v>11268</v>
      </c>
      <c r="BB74" s="83">
        <f t="shared" si="89"/>
        <v>-9400</v>
      </c>
      <c r="BC74" s="82">
        <f t="shared" si="89"/>
        <v>-2433</v>
      </c>
      <c r="BD74" s="82">
        <f t="shared" si="89"/>
        <v>-17703</v>
      </c>
      <c r="BE74" s="82">
        <f t="shared" si="89"/>
        <v>124795</v>
      </c>
      <c r="BF74" s="256">
        <f t="shared" si="89"/>
        <v>195386</v>
      </c>
      <c r="BG74" s="256">
        <f t="shared" si="90"/>
        <v>42230</v>
      </c>
      <c r="BH74" s="256">
        <f t="shared" si="90"/>
        <v>-173591</v>
      </c>
      <c r="BI74" s="256">
        <f t="shared" si="90"/>
        <v>-118901</v>
      </c>
      <c r="BJ74" s="256">
        <f t="shared" si="90"/>
        <v>105484</v>
      </c>
      <c r="BK74" s="256">
        <f t="shared" si="90"/>
        <v>192902</v>
      </c>
      <c r="BL74" s="256">
        <f t="shared" si="90"/>
        <v>53134</v>
      </c>
      <c r="BM74" s="256">
        <f t="shared" si="90"/>
        <v>36317</v>
      </c>
      <c r="BN74" s="256">
        <f t="shared" si="90"/>
        <v>-25034</v>
      </c>
      <c r="BO74" s="256">
        <f t="shared" si="90"/>
        <v>7158</v>
      </c>
      <c r="BP74" s="256">
        <f t="shared" si="90"/>
        <v>52701</v>
      </c>
      <c r="BQ74" s="256">
        <f t="shared" si="91"/>
        <v>51315</v>
      </c>
      <c r="BR74" s="256">
        <f t="shared" si="91"/>
        <v>-31682</v>
      </c>
    </row>
    <row r="75" spans="1:70" x14ac:dyDescent="0.25">
      <c r="A75" s="4"/>
      <c r="B75" s="35" t="s">
        <v>38</v>
      </c>
      <c r="C75" s="156">
        <v>1160981</v>
      </c>
      <c r="D75" s="83">
        <v>753929</v>
      </c>
      <c r="E75" s="83">
        <v>392329</v>
      </c>
      <c r="F75" s="83">
        <v>254003</v>
      </c>
      <c r="G75" s="83">
        <v>139772</v>
      </c>
      <c r="H75" s="83">
        <v>109583</v>
      </c>
      <c r="I75" s="83">
        <v>130036</v>
      </c>
      <c r="J75" s="83">
        <v>168747</v>
      </c>
      <c r="K75" s="83">
        <v>419539</v>
      </c>
      <c r="L75" s="166">
        <v>864360</v>
      </c>
      <c r="M75" s="83">
        <v>1233580</v>
      </c>
      <c r="N75" s="83">
        <v>1032346</v>
      </c>
      <c r="O75" s="83">
        <v>904553</v>
      </c>
      <c r="P75" s="83">
        <f>401861+64454+106802+24532+56545+9762+4348+828</f>
        <v>669132</v>
      </c>
      <c r="Q75" s="83">
        <f>282626+62041+71264+18624+48890+10616+3196+706</f>
        <v>497963</v>
      </c>
      <c r="R75" s="83">
        <f>57728+46972+20450+16231+17215+7017+950+607</f>
        <v>167170</v>
      </c>
      <c r="S75" s="83">
        <f>38864+43892+3421+16447+10526+5695-1765+599</f>
        <v>117679</v>
      </c>
      <c r="T75" s="83">
        <f>42200+51761+4878+15179+9162+4927+359+531</f>
        <v>128997</v>
      </c>
      <c r="U75" s="178">
        <f>37174+59811+1227+14458+10559+4883+378+478</f>
        <v>128968</v>
      </c>
      <c r="V75" s="257">
        <f>54371+58702+9751+18708+17985+7299+732+575</f>
        <v>168123</v>
      </c>
      <c r="W75" s="257">
        <f>166686+61665+43200+19663+31833+9220+1428+734+6085</f>
        <v>340514</v>
      </c>
      <c r="X75" s="166">
        <f>374868+67287+67773+20186+59905+11327+3065+814</f>
        <v>605225</v>
      </c>
      <c r="Y75" s="257">
        <f>687484+109726+207042+33163+97422+16821+8199+1824</f>
        <v>1161681</v>
      </c>
      <c r="Z75" s="257">
        <f>747702+114035+190001+29332+95874+14234+11444+1596</f>
        <v>1204218</v>
      </c>
      <c r="AA75" s="257">
        <f>647129+97755+203522+28867+86984+14135+8481+1393</f>
        <v>1088266</v>
      </c>
      <c r="AB75" s="257">
        <f>361748+84536+132867+30278+58905+12252+6802+1007</f>
        <v>688395</v>
      </c>
      <c r="AC75" s="447">
        <v>388072</v>
      </c>
      <c r="AD75" s="447">
        <f>86053+77296+18550+8055</f>
        <v>189954</v>
      </c>
      <c r="AE75" s="257">
        <f>39976+64501+13786+5938</f>
        <v>124201</v>
      </c>
      <c r="AF75" s="257">
        <f>44537+77905+10663+6814</f>
        <v>139919</v>
      </c>
      <c r="AG75" s="257">
        <f>46834+73066+10455+6361</f>
        <v>136716</v>
      </c>
      <c r="AH75" s="257">
        <f>47287+73324+14982+7544</f>
        <v>143137</v>
      </c>
      <c r="AI75" s="257">
        <f>164049+84640+31506+10847</f>
        <v>291042</v>
      </c>
      <c r="AJ75" s="178">
        <f>517067+107834+62219+14095</f>
        <v>701215</v>
      </c>
      <c r="AK75" s="257">
        <f>883839+133144+95900+19587</f>
        <v>1132470</v>
      </c>
      <c r="AL75" s="232">
        <f>1084757+143408+105568+18742</f>
        <v>1352475</v>
      </c>
      <c r="AM75" s="257">
        <f>842692+116245+78241+17711+11605</f>
        <v>1066494</v>
      </c>
      <c r="AN75" s="257">
        <f>581896+123697+67289+18615</f>
        <v>791497</v>
      </c>
      <c r="AO75" s="257">
        <f>237138+83826+374337+160239</f>
        <v>855540</v>
      </c>
      <c r="AP75" s="257">
        <f>SUM(113095,79689,16878,10307)</f>
        <v>219969</v>
      </c>
      <c r="AQ75" s="257">
        <f>43820+75858+13637+5667</f>
        <v>138982</v>
      </c>
      <c r="AR75" s="257">
        <f>50980+63636+9522+6822</f>
        <v>130960</v>
      </c>
      <c r="AS75" s="257"/>
      <c r="AT75" s="257"/>
      <c r="AU75" s="257"/>
      <c r="AV75" s="257"/>
      <c r="AW75" s="83">
        <f t="shared" si="89"/>
        <v>256428</v>
      </c>
      <c r="AX75" s="83">
        <f t="shared" si="89"/>
        <v>84797</v>
      </c>
      <c r="AY75" s="83">
        <f t="shared" si="89"/>
        <v>-105634</v>
      </c>
      <c r="AZ75" s="83">
        <f t="shared" si="89"/>
        <v>86833</v>
      </c>
      <c r="BA75" s="83">
        <f t="shared" si="89"/>
        <v>22093</v>
      </c>
      <c r="BB75" s="83">
        <f t="shared" si="89"/>
        <v>-19414</v>
      </c>
      <c r="BC75" s="82">
        <f t="shared" si="89"/>
        <v>1068</v>
      </c>
      <c r="BD75" s="82">
        <f t="shared" si="89"/>
        <v>624</v>
      </c>
      <c r="BE75" s="82">
        <f t="shared" si="89"/>
        <v>79025</v>
      </c>
      <c r="BF75" s="256">
        <f t="shared" si="89"/>
        <v>259135</v>
      </c>
      <c r="BG75" s="256">
        <f t="shared" si="90"/>
        <v>71899</v>
      </c>
      <c r="BH75" s="256">
        <f t="shared" si="90"/>
        <v>-171872</v>
      </c>
      <c r="BI75" s="256">
        <f t="shared" si="90"/>
        <v>-183713</v>
      </c>
      <c r="BJ75" s="256">
        <f t="shared" si="90"/>
        <v>-19263</v>
      </c>
      <c r="BK75" s="256">
        <f t="shared" si="90"/>
        <v>109891</v>
      </c>
      <c r="BL75" s="256">
        <f t="shared" si="90"/>
        <v>-22784</v>
      </c>
      <c r="BM75" s="256">
        <f t="shared" si="90"/>
        <v>-6522</v>
      </c>
      <c r="BN75" s="256">
        <f t="shared" si="90"/>
        <v>-10922</v>
      </c>
      <c r="BO75" s="256">
        <f t="shared" si="90"/>
        <v>-7748</v>
      </c>
      <c r="BP75" s="256">
        <f t="shared" si="90"/>
        <v>24986</v>
      </c>
      <c r="BQ75" s="256">
        <f t="shared" si="91"/>
        <v>49472</v>
      </c>
      <c r="BR75" s="256">
        <f t="shared" si="91"/>
        <v>-95990</v>
      </c>
    </row>
    <row r="76" spans="1:70" x14ac:dyDescent="0.25">
      <c r="A76" s="4"/>
      <c r="B76" s="35" t="s">
        <v>39</v>
      </c>
      <c r="C76" s="156">
        <v>1832559</v>
      </c>
      <c r="D76" s="83">
        <v>1593328</v>
      </c>
      <c r="E76" s="83">
        <v>1143305</v>
      </c>
      <c r="F76" s="83">
        <v>-120567</v>
      </c>
      <c r="G76" s="83">
        <v>277636</v>
      </c>
      <c r="H76" s="83">
        <v>250359</v>
      </c>
      <c r="I76" s="83">
        <v>301515</v>
      </c>
      <c r="J76" s="83">
        <v>366581</v>
      </c>
      <c r="K76" s="83">
        <v>858441</v>
      </c>
      <c r="L76" s="166">
        <v>1400961</v>
      </c>
      <c r="M76" s="83">
        <v>1954815</v>
      </c>
      <c r="N76" s="83">
        <v>1712295</v>
      </c>
      <c r="O76" s="83">
        <v>1525431</v>
      </c>
      <c r="P76" s="83">
        <f>412535+87917+94644+36379+445562+105674+34133+28998</f>
        <v>1245842</v>
      </c>
      <c r="Q76" s="83">
        <f>313581+85131+64725+27184+335997+24040+94896+22806</f>
        <v>968360</v>
      </c>
      <c r="R76" s="83">
        <f>99702+66636+21874+24555+88564+66860+8218+9668</f>
        <v>386077</v>
      </c>
      <c r="S76" s="83">
        <f>27482+67126+5539+25005+98687+50338+4292+7260</f>
        <v>285729</v>
      </c>
      <c r="T76" s="83">
        <f>31613+81235+3137+24944+65552+51929+3365+10038</f>
        <v>271813</v>
      </c>
      <c r="U76" s="178">
        <f>26057+83338-10335+21395+78295+90090+3914+10727</f>
        <v>303481</v>
      </c>
      <c r="V76" s="257">
        <f>94172+9357+27233+63407+124390+79182+4770+15607</f>
        <v>418118</v>
      </c>
      <c r="W76" s="257">
        <f>162005+103592+37033+31032+245912+87605+13412+21509+60902</f>
        <v>763002</v>
      </c>
      <c r="X76" s="166">
        <f>334260+112723+55068+28776+398559+100245+19402+25252</f>
        <v>1074285</v>
      </c>
      <c r="Y76" s="257">
        <f>588856+160031+149852+53504+690348+163573+49538+45946</f>
        <v>1901648</v>
      </c>
      <c r="Z76" s="257">
        <f>569393+138266+141304+47142+634972+140520+38114+47403</f>
        <v>1757114</v>
      </c>
      <c r="AA76" s="257">
        <f>548511+147091+142548+48653+609354+140249+39760+43693</f>
        <v>1719859</v>
      </c>
      <c r="AB76" s="257">
        <f>354817+131968+98615+45360+471211+130213+28511+40138</f>
        <v>1300833</v>
      </c>
      <c r="AC76" s="447">
        <v>796715</v>
      </c>
      <c r="AD76" s="447">
        <f>86108+117347+142165+100875</f>
        <v>446495</v>
      </c>
      <c r="AE76" s="257">
        <f>65886+85568+66932+71924</f>
        <v>290310</v>
      </c>
      <c r="AF76" s="257">
        <f>35994+134112+52787+97207</f>
        <v>320100</v>
      </c>
      <c r="AG76" s="257">
        <f>38680+101752+59806+87077</f>
        <v>287315</v>
      </c>
      <c r="AH76" s="257">
        <f>58311+118852+97015+83102</f>
        <v>357280</v>
      </c>
      <c r="AI76" s="257">
        <f>226758+150559+235079+117157</f>
        <v>729553</v>
      </c>
      <c r="AJ76" s="178">
        <f>500174+161359+479821+155350</f>
        <v>1296704</v>
      </c>
      <c r="AK76" s="257">
        <f>693533+197296+652276+186224</f>
        <v>1729329</v>
      </c>
      <c r="AL76" s="232">
        <f>849831+214376+704468+188829</f>
        <v>1957504</v>
      </c>
      <c r="AM76" s="257">
        <f>664916+192935+619516+162034+409898+118743</f>
        <v>2168042</v>
      </c>
      <c r="AN76" s="257">
        <f>553568+223186+511814+160949</f>
        <v>1449517</v>
      </c>
      <c r="AO76" s="257">
        <f>374337+160239+268921+358407</f>
        <v>1161904</v>
      </c>
      <c r="AP76" s="257">
        <f>SUM(89739,135626,199809,86851)</f>
        <v>512025</v>
      </c>
      <c r="AQ76" s="257">
        <f>44250+98264+53974+70310</f>
        <v>266798</v>
      </c>
      <c r="AR76" s="257">
        <f>41954+143154+48147+62107</f>
        <v>295362</v>
      </c>
      <c r="AS76" s="257"/>
      <c r="AT76" s="257"/>
      <c r="AU76" s="257"/>
      <c r="AV76" s="257"/>
      <c r="AW76" s="83">
        <f t="shared" si="89"/>
        <v>307128</v>
      </c>
      <c r="AX76" s="83">
        <f t="shared" si="89"/>
        <v>347486</v>
      </c>
      <c r="AY76" s="83">
        <f t="shared" si="89"/>
        <v>174945</v>
      </c>
      <c r="AZ76" s="83">
        <f t="shared" si="89"/>
        <v>-506644</v>
      </c>
      <c r="BA76" s="83">
        <f t="shared" si="89"/>
        <v>-8093</v>
      </c>
      <c r="BB76" s="83">
        <f t="shared" si="89"/>
        <v>-21454</v>
      </c>
      <c r="BC76" s="82">
        <f t="shared" si="89"/>
        <v>-1966</v>
      </c>
      <c r="BD76" s="82">
        <f t="shared" si="89"/>
        <v>-51537</v>
      </c>
      <c r="BE76" s="82">
        <f t="shared" si="89"/>
        <v>95439</v>
      </c>
      <c r="BF76" s="256">
        <f t="shared" si="89"/>
        <v>326676</v>
      </c>
      <c r="BG76" s="256">
        <f t="shared" si="90"/>
        <v>53167</v>
      </c>
      <c r="BH76" s="256">
        <f t="shared" si="90"/>
        <v>-44819</v>
      </c>
      <c r="BI76" s="256">
        <f t="shared" si="90"/>
        <v>-194428</v>
      </c>
      <c r="BJ76" s="256">
        <f t="shared" si="90"/>
        <v>-54991</v>
      </c>
      <c r="BK76" s="256">
        <f t="shared" si="90"/>
        <v>171645</v>
      </c>
      <c r="BL76" s="256">
        <f t="shared" si="90"/>
        <v>-60418</v>
      </c>
      <c r="BM76" s="256">
        <f t="shared" si="90"/>
        <v>-4581</v>
      </c>
      <c r="BN76" s="256">
        <f t="shared" si="90"/>
        <v>-48287</v>
      </c>
      <c r="BO76" s="256">
        <f t="shared" si="90"/>
        <v>16166</v>
      </c>
      <c r="BP76" s="256">
        <f t="shared" si="90"/>
        <v>60838</v>
      </c>
      <c r="BQ76" s="256">
        <f t="shared" si="91"/>
        <v>33449</v>
      </c>
      <c r="BR76" s="256">
        <f t="shared" si="91"/>
        <v>-222419</v>
      </c>
    </row>
    <row r="77" spans="1:70" x14ac:dyDescent="0.25">
      <c r="A77" s="4"/>
      <c r="B77" s="35" t="s">
        <v>40</v>
      </c>
      <c r="C77" s="156">
        <v>780918</v>
      </c>
      <c r="D77" s="83">
        <v>485463</v>
      </c>
      <c r="E77" s="83">
        <v>444220</v>
      </c>
      <c r="F77" s="83">
        <v>381375</v>
      </c>
      <c r="G77" s="83">
        <v>376404</v>
      </c>
      <c r="H77" s="83">
        <v>404716</v>
      </c>
      <c r="I77" s="83">
        <v>327508</v>
      </c>
      <c r="J77" s="83">
        <v>457890</v>
      </c>
      <c r="K77" s="83">
        <v>614398</v>
      </c>
      <c r="L77" s="166">
        <v>694020</v>
      </c>
      <c r="M77" s="83">
        <v>735559</v>
      </c>
      <c r="N77" s="83">
        <v>650080</v>
      </c>
      <c r="O77" s="83">
        <v>648187</v>
      </c>
      <c r="P77" s="83">
        <f>201117+385175</f>
        <v>586292</v>
      </c>
      <c r="Q77" s="83">
        <f>7127+58981+60110+281408+38681</f>
        <v>446307</v>
      </c>
      <c r="R77" s="83">
        <f>770+151075+12887+316624+29747</f>
        <v>511103</v>
      </c>
      <c r="S77" s="83">
        <f>31+118052+5993+302767+23927</f>
        <v>450770</v>
      </c>
      <c r="T77" s="83">
        <f>2455+141387-17809+303878+23754</f>
        <v>453665</v>
      </c>
      <c r="U77" s="178">
        <f>110975-821+4674+346671+24275</f>
        <v>485774</v>
      </c>
      <c r="V77" s="257">
        <f>1582+84887+18739+378216+31734</f>
        <v>515158</v>
      </c>
      <c r="W77" s="257">
        <f>8947+81249+28112+365149+40867+187781</f>
        <v>712105</v>
      </c>
      <c r="X77" s="166">
        <f>24186+125771+50015+418796+43914</f>
        <v>662682</v>
      </c>
      <c r="Y77" s="257">
        <f>94597+118528+87305+486542+66937</f>
        <v>853909</v>
      </c>
      <c r="Z77" s="257">
        <f>93948+46624+64584+396226+65609</f>
        <v>666991</v>
      </c>
      <c r="AA77" s="257">
        <f>71207+95893+43884+390079+60695</f>
        <v>661758</v>
      </c>
      <c r="AB77" s="257">
        <f>44554+105874+29463+313818+58656</f>
        <v>552365</v>
      </c>
      <c r="AC77" s="447">
        <v>932300</v>
      </c>
      <c r="AD77" s="447">
        <f>12026+93478+719+18141</f>
        <v>124364</v>
      </c>
      <c r="AE77" s="257">
        <f>524+325063+37695+1119</f>
        <v>364401</v>
      </c>
      <c r="AF77" s="257">
        <f>153569+21+1653+275741</f>
        <v>430984</v>
      </c>
      <c r="AG77" s="257">
        <f>893+58915+327433</f>
        <v>387241</v>
      </c>
      <c r="AH77" s="257">
        <f>5433+65178+7158+329076</f>
        <v>406845</v>
      </c>
      <c r="AI77" s="257">
        <f>13867+250449+9807+357539</f>
        <v>631662</v>
      </c>
      <c r="AJ77" s="178">
        <f>15780+136482+39769+418908</f>
        <v>610939</v>
      </c>
      <c r="AK77" s="257">
        <f>77802+58971+62374+453298</f>
        <v>652445</v>
      </c>
      <c r="AL77" s="232">
        <f>49852+155928+117495+514705</f>
        <v>837980</v>
      </c>
      <c r="AM77" s="257">
        <f>21712+69733+78492+453199+50369+227554</f>
        <v>901059</v>
      </c>
      <c r="AN77" s="257">
        <f>19108+69053+46850+451527</f>
        <v>586538</v>
      </c>
      <c r="AO77" s="257">
        <f>8458+210350+30113+358407</f>
        <v>607328</v>
      </c>
      <c r="AP77" s="257">
        <f>SUM(2007,145359,13083,333055)</f>
        <v>493504</v>
      </c>
      <c r="AQ77" s="257">
        <f>2991+9927+2258+293016</f>
        <v>308192</v>
      </c>
      <c r="AR77" s="257">
        <f>739+170893+1849+262849</f>
        <v>436330</v>
      </c>
      <c r="AS77" s="257"/>
      <c r="AT77" s="257"/>
      <c r="AU77" s="257"/>
      <c r="AV77" s="257"/>
      <c r="AW77" s="83">
        <f t="shared" si="89"/>
        <v>132731</v>
      </c>
      <c r="AX77" s="83">
        <f t="shared" si="89"/>
        <v>-100829</v>
      </c>
      <c r="AY77" s="83">
        <f t="shared" si="89"/>
        <v>-2087</v>
      </c>
      <c r="AZ77" s="83">
        <f t="shared" si="89"/>
        <v>-129728</v>
      </c>
      <c r="BA77" s="83">
        <f t="shared" si="89"/>
        <v>-74366</v>
      </c>
      <c r="BB77" s="83">
        <f t="shared" si="89"/>
        <v>-48949</v>
      </c>
      <c r="BC77" s="82">
        <f t="shared" si="89"/>
        <v>-158266</v>
      </c>
      <c r="BD77" s="82">
        <f t="shared" si="89"/>
        <v>-57268</v>
      </c>
      <c r="BE77" s="82">
        <f t="shared" si="89"/>
        <v>-97707</v>
      </c>
      <c r="BF77" s="256">
        <f t="shared" si="89"/>
        <v>31338</v>
      </c>
      <c r="BG77" s="256">
        <f t="shared" si="90"/>
        <v>-118350</v>
      </c>
      <c r="BH77" s="256">
        <f t="shared" si="90"/>
        <v>-16911</v>
      </c>
      <c r="BI77" s="256">
        <f t="shared" si="90"/>
        <v>-13571</v>
      </c>
      <c r="BJ77" s="256">
        <f t="shared" si="90"/>
        <v>33927</v>
      </c>
      <c r="BK77" s="256">
        <f t="shared" si="90"/>
        <v>-485993</v>
      </c>
      <c r="BL77" s="256">
        <f t="shared" si="90"/>
        <v>386739</v>
      </c>
      <c r="BM77" s="256">
        <f t="shared" si="90"/>
        <v>86369</v>
      </c>
      <c r="BN77" s="256">
        <f t="shared" si="90"/>
        <v>22681</v>
      </c>
      <c r="BO77" s="256">
        <f t="shared" si="90"/>
        <v>98533</v>
      </c>
      <c r="BP77" s="256">
        <f t="shared" si="90"/>
        <v>108313</v>
      </c>
      <c r="BQ77" s="256">
        <f t="shared" si="91"/>
        <v>80443</v>
      </c>
      <c r="BR77" s="256">
        <f t="shared" si="91"/>
        <v>51743</v>
      </c>
    </row>
    <row r="78" spans="1:70" x14ac:dyDescent="0.25">
      <c r="A78" s="4"/>
      <c r="B78" s="35" t="s">
        <v>41</v>
      </c>
      <c r="C78" s="156">
        <f>SUM(C73:C77)</f>
        <v>10437928</v>
      </c>
      <c r="D78" s="83">
        <f>SUM(D73:D77)</f>
        <v>7577055</v>
      </c>
      <c r="E78" s="83">
        <f t="shared" ref="E78:BD78" si="92">SUM(E73:E77)</f>
        <v>4510693</v>
      </c>
      <c r="F78" s="83">
        <f t="shared" si="92"/>
        <v>2087452</v>
      </c>
      <c r="G78" s="83">
        <f t="shared" si="92"/>
        <v>1719391</v>
      </c>
      <c r="H78" s="83">
        <f t="shared" si="92"/>
        <v>1566001</v>
      </c>
      <c r="I78" s="83">
        <f t="shared" si="92"/>
        <v>1594247</v>
      </c>
      <c r="J78" s="83">
        <f t="shared" si="92"/>
        <v>2004871</v>
      </c>
      <c r="K78" s="83">
        <f t="shared" si="92"/>
        <v>4695044</v>
      </c>
      <c r="L78" s="166">
        <f t="shared" si="92"/>
        <v>8156469</v>
      </c>
      <c r="M78" s="83">
        <f t="shared" si="92"/>
        <v>10830922</v>
      </c>
      <c r="N78" s="83">
        <f t="shared" si="92"/>
        <v>9328705</v>
      </c>
      <c r="O78" s="83">
        <f t="shared" si="92"/>
        <v>8447750</v>
      </c>
      <c r="P78" s="83">
        <f t="shared" si="92"/>
        <v>6865799</v>
      </c>
      <c r="Q78" s="83">
        <f t="shared" si="92"/>
        <v>5532889</v>
      </c>
      <c r="R78" s="83">
        <f t="shared" si="92"/>
        <v>2486821</v>
      </c>
      <c r="S78" s="83">
        <f t="shared" si="92"/>
        <v>1747290</v>
      </c>
      <c r="T78" s="83">
        <f t="shared" si="92"/>
        <v>1724485</v>
      </c>
      <c r="U78" s="178">
        <f t="shared" si="92"/>
        <v>1754008</v>
      </c>
      <c r="V78" s="178">
        <f t="shared" si="92"/>
        <v>2272596</v>
      </c>
      <c r="W78" s="178">
        <f t="shared" ref="W78:AC78" si="93">SUM(W73:W77)</f>
        <v>4139125</v>
      </c>
      <c r="X78" s="166">
        <f t="shared" si="93"/>
        <v>6427104</v>
      </c>
      <c r="Y78" s="166">
        <f t="shared" si="93"/>
        <v>10827020</v>
      </c>
      <c r="Z78" s="166">
        <f t="shared" si="93"/>
        <v>10482235</v>
      </c>
      <c r="AA78" s="166">
        <f t="shared" si="93"/>
        <v>9808497</v>
      </c>
      <c r="AB78" s="166">
        <f t="shared" si="93"/>
        <v>6872452</v>
      </c>
      <c r="AC78" s="166">
        <f t="shared" si="93"/>
        <v>4731368</v>
      </c>
      <c r="AD78" s="166">
        <f t="shared" ref="AD78:AI78" si="94">SUM(AD73:AD77)</f>
        <v>2074620</v>
      </c>
      <c r="AE78" s="166">
        <f t="shared" si="94"/>
        <v>1600089</v>
      </c>
      <c r="AF78" s="166">
        <f t="shared" si="94"/>
        <v>1842256</v>
      </c>
      <c r="AG78" s="166">
        <f t="shared" si="94"/>
        <v>1658965</v>
      </c>
      <c r="AH78" s="166">
        <f t="shared" si="94"/>
        <v>1828221</v>
      </c>
      <c r="AI78" s="166">
        <f t="shared" si="94"/>
        <v>3596064</v>
      </c>
      <c r="AJ78" s="178">
        <f t="shared" ref="AJ78:AN78" si="95">SUM(AJ73:AJ77)</f>
        <v>7115739</v>
      </c>
      <c r="AK78" s="166">
        <f t="shared" si="95"/>
        <v>9958124</v>
      </c>
      <c r="AL78" s="166">
        <f t="shared" si="95"/>
        <v>11557348</v>
      </c>
      <c r="AM78" s="166">
        <f t="shared" si="95"/>
        <v>9899638</v>
      </c>
      <c r="AN78" s="166">
        <f t="shared" si="95"/>
        <v>7622143</v>
      </c>
      <c r="AO78" s="257">
        <f>SUM(AO73:AO77)</f>
        <v>5009623</v>
      </c>
      <c r="AP78" s="257">
        <f>SUM(AP73:AP77)</f>
        <v>2551098</v>
      </c>
      <c r="AQ78" s="257">
        <f>SUM(AQ73:AQ77)</f>
        <v>1671913</v>
      </c>
      <c r="AR78" s="257">
        <f>SUM(AR73:AR77)</f>
        <v>1623116</v>
      </c>
      <c r="AS78" s="257"/>
      <c r="AT78" s="257"/>
      <c r="AU78" s="257"/>
      <c r="AV78" s="257"/>
      <c r="AW78" s="83">
        <f t="shared" si="92"/>
        <v>1990178</v>
      </c>
      <c r="AX78" s="83">
        <f t="shared" si="92"/>
        <v>711256</v>
      </c>
      <c r="AY78" s="83">
        <f t="shared" si="92"/>
        <v>-1022196</v>
      </c>
      <c r="AZ78" s="83">
        <f t="shared" si="92"/>
        <v>-399369</v>
      </c>
      <c r="BA78" s="83">
        <f t="shared" si="92"/>
        <v>-27899</v>
      </c>
      <c r="BB78" s="83">
        <f t="shared" si="92"/>
        <v>-158484</v>
      </c>
      <c r="BC78" s="82">
        <f t="shared" si="92"/>
        <v>-159761</v>
      </c>
      <c r="BD78" s="82">
        <f t="shared" si="92"/>
        <v>-267725</v>
      </c>
      <c r="BE78" s="82">
        <f>SUM(BE73:BE77)</f>
        <v>555919</v>
      </c>
      <c r="BF78" s="256">
        <f>SUM(BF73:BF77)</f>
        <v>1729365</v>
      </c>
      <c r="BG78" s="256">
        <f t="shared" ref="BG78:BR78" si="96">M78-Y78</f>
        <v>3902</v>
      </c>
      <c r="BH78" s="256">
        <f t="shared" si="96"/>
        <v>-1153530</v>
      </c>
      <c r="BI78" s="256">
        <f t="shared" si="96"/>
        <v>-1360747</v>
      </c>
      <c r="BJ78" s="256">
        <f t="shared" si="96"/>
        <v>-6653</v>
      </c>
      <c r="BK78" s="256">
        <f t="shared" si="96"/>
        <v>801521</v>
      </c>
      <c r="BL78" s="256">
        <f t="shared" si="96"/>
        <v>412201</v>
      </c>
      <c r="BM78" s="256">
        <f t="shared" si="96"/>
        <v>147201</v>
      </c>
      <c r="BN78" s="256">
        <f t="shared" si="96"/>
        <v>-117771</v>
      </c>
      <c r="BO78" s="256">
        <f t="shared" si="96"/>
        <v>95043</v>
      </c>
      <c r="BP78" s="256">
        <f t="shared" si="96"/>
        <v>444375</v>
      </c>
      <c r="BQ78" s="256">
        <f t="shared" si="96"/>
        <v>543061</v>
      </c>
      <c r="BR78" s="256">
        <f t="shared" si="96"/>
        <v>-688635</v>
      </c>
    </row>
    <row r="79" spans="1:70" x14ac:dyDescent="0.25">
      <c r="A79" s="4">
        <f>+A72+1</f>
        <v>11</v>
      </c>
      <c r="B79" s="42" t="s">
        <v>34</v>
      </c>
      <c r="C79" s="157"/>
      <c r="D79" s="85"/>
      <c r="E79" s="85"/>
      <c r="F79" s="85"/>
      <c r="G79" s="85"/>
      <c r="H79" s="85"/>
      <c r="I79" s="85"/>
      <c r="J79" s="85"/>
      <c r="K79" s="85"/>
      <c r="L79" s="167"/>
      <c r="M79" s="85"/>
      <c r="N79" s="85"/>
      <c r="O79" s="85"/>
      <c r="P79" s="85"/>
      <c r="Q79" s="85"/>
      <c r="R79" s="85"/>
      <c r="S79" s="85"/>
      <c r="T79" s="85"/>
      <c r="U79" s="179"/>
      <c r="V79" s="322"/>
      <c r="W79" s="322"/>
      <c r="X79" s="167"/>
      <c r="Y79" s="322"/>
      <c r="Z79" s="322"/>
      <c r="AA79" s="322"/>
      <c r="AB79" s="322"/>
      <c r="AC79" s="167"/>
      <c r="AD79" s="167"/>
      <c r="AE79" s="322"/>
      <c r="AF79" s="322"/>
      <c r="AG79" s="322"/>
      <c r="AH79" s="322"/>
      <c r="AI79" s="322"/>
      <c r="AJ79" s="179"/>
      <c r="AK79" s="322"/>
      <c r="AL79" s="322"/>
      <c r="AM79" s="322"/>
      <c r="AN79" s="322"/>
      <c r="AO79" s="322"/>
      <c r="AP79" s="322"/>
      <c r="AQ79" s="322"/>
      <c r="AR79" s="322"/>
      <c r="AS79" s="322"/>
      <c r="AT79" s="322"/>
      <c r="AU79" s="322"/>
      <c r="AV79" s="322"/>
      <c r="AW79" s="85"/>
      <c r="AX79" s="85"/>
      <c r="AY79" s="85"/>
      <c r="AZ79" s="85"/>
      <c r="BA79" s="85"/>
      <c r="BB79" s="85"/>
      <c r="BC79" s="84"/>
      <c r="BD79" s="315"/>
      <c r="BE79" s="315"/>
      <c r="BF79" s="315"/>
      <c r="BG79" s="406"/>
      <c r="BH79" s="411"/>
      <c r="BI79" s="412"/>
      <c r="BJ79" s="412"/>
      <c r="BK79" s="412"/>
      <c r="BL79" s="412"/>
      <c r="BM79" s="412"/>
      <c r="BN79" s="412"/>
      <c r="BO79" s="412"/>
      <c r="BP79" s="412"/>
      <c r="BQ79" s="412"/>
      <c r="BR79" s="412"/>
    </row>
    <row r="80" spans="1:70" x14ac:dyDescent="0.25">
      <c r="A80" s="4"/>
      <c r="B80" s="35" t="s">
        <v>36</v>
      </c>
      <c r="C80" s="97">
        <v>7320652</v>
      </c>
      <c r="D80" s="89">
        <v>5383472</v>
      </c>
      <c r="E80" s="89">
        <v>2835928</v>
      </c>
      <c r="F80" s="89">
        <v>1635234</v>
      </c>
      <c r="G80" s="89">
        <v>1190977</v>
      </c>
      <c r="H80" s="89">
        <v>1073742</v>
      </c>
      <c r="I80" s="89">
        <v>1093327</v>
      </c>
      <c r="J80" s="89">
        <v>1204853</v>
      </c>
      <c r="K80" s="89">
        <v>2832598</v>
      </c>
      <c r="L80" s="99">
        <v>6007193</v>
      </c>
      <c r="M80" s="89">
        <v>7862432</v>
      </c>
      <c r="N80" s="89">
        <v>6861669</v>
      </c>
      <c r="O80" s="89">
        <v>6223104</v>
      </c>
      <c r="P80" s="89">
        <f>80207+5036727+4831+14829</f>
        <v>5136594</v>
      </c>
      <c r="Q80" s="89">
        <f>71392+3880725+4955+12980</f>
        <v>3970052</v>
      </c>
      <c r="R80" s="89">
        <f>54505+1517335+2383+7644</f>
        <v>1581867</v>
      </c>
      <c r="S80" s="89">
        <f>49697+1137411+1828+6045</f>
        <v>1194981</v>
      </c>
      <c r="T80" s="89">
        <f>48710+1110162+1871+6023</f>
        <v>1166766</v>
      </c>
      <c r="U80" s="79">
        <v>1163542.1200000001</v>
      </c>
      <c r="V80" s="79">
        <f>53526+1317258+2240+7230</f>
        <v>1380254</v>
      </c>
      <c r="W80" s="79">
        <f>62853+2498204+3044+11188</f>
        <v>2575289</v>
      </c>
      <c r="X80" s="110">
        <f>76500+5039403+4910+17384</f>
        <v>5138197</v>
      </c>
      <c r="Y80" s="79">
        <f>93322+8213360+8442+24284</f>
        <v>8339408</v>
      </c>
      <c r="Z80" s="79">
        <f>81959+7821609+7508+22707</f>
        <v>7933783</v>
      </c>
      <c r="AA80" s="79">
        <f>81592+7315449+7630+21043</f>
        <v>7425714</v>
      </c>
      <c r="AB80" s="79">
        <f>76481+5198177+5754+15627</f>
        <v>5296039</v>
      </c>
      <c r="AC80" s="581">
        <v>3161210</v>
      </c>
      <c r="AD80" s="581">
        <f>40518.67+11861.49+5697.79+853660.89+514075.54+248945.11+5747.97+4153.08</f>
        <v>1684660.5399999998</v>
      </c>
      <c r="AE80" s="749">
        <f>50490+1203464+7245</f>
        <v>1261199</v>
      </c>
      <c r="AF80" s="749">
        <f>52887+1237458+8439</f>
        <v>1298784</v>
      </c>
      <c r="AG80" s="749">
        <f>50885+1174204</f>
        <v>1225089</v>
      </c>
      <c r="AH80" s="749">
        <f>53324+1228832+8800</f>
        <v>1290956</v>
      </c>
      <c r="AI80" s="749">
        <f>71014+2721482+15551</f>
        <v>2808047</v>
      </c>
      <c r="AJ80" s="873">
        <f>98219+7247114+27994</f>
        <v>7373327</v>
      </c>
      <c r="AK80" s="749">
        <f>115880+10229870+36648</f>
        <v>10382398</v>
      </c>
      <c r="AL80" s="257">
        <f>117571+11729595+40854</f>
        <v>11888020</v>
      </c>
      <c r="AM80" s="749">
        <f>107755+9320249+30278</f>
        <v>9458282</v>
      </c>
      <c r="AN80" s="749">
        <f>116051+7993752+29739</f>
        <v>8139542</v>
      </c>
      <c r="AO80" s="749">
        <f>79900+3939595+16887</f>
        <v>4036382</v>
      </c>
      <c r="AP80" s="749">
        <f>SUM(72043,2146103,10919)</f>
        <v>2229065</v>
      </c>
      <c r="AQ80" s="749">
        <f>77264+2088544+9787</f>
        <v>2175595</v>
      </c>
      <c r="AR80" s="749">
        <f>61750+1582977+8242</f>
        <v>1652969</v>
      </c>
      <c r="AS80" s="749"/>
      <c r="AT80" s="749"/>
      <c r="AU80" s="749"/>
      <c r="AV80" s="749"/>
      <c r="AW80" s="79">
        <f t="shared" ref="AW80:BF84" si="97">C80-O80</f>
        <v>1097548</v>
      </c>
      <c r="AX80" s="79">
        <f t="shared" si="97"/>
        <v>246878</v>
      </c>
      <c r="AY80" s="79">
        <f t="shared" si="97"/>
        <v>-1134124</v>
      </c>
      <c r="AZ80" s="79">
        <f t="shared" si="97"/>
        <v>53367</v>
      </c>
      <c r="BA80" s="79">
        <f t="shared" si="97"/>
        <v>-4004</v>
      </c>
      <c r="BB80" s="79">
        <f t="shared" si="97"/>
        <v>-93024</v>
      </c>
      <c r="BC80" s="79">
        <f t="shared" si="97"/>
        <v>-70215.120000000112</v>
      </c>
      <c r="BD80" s="79">
        <f t="shared" si="97"/>
        <v>-175401</v>
      </c>
      <c r="BE80" s="79">
        <f t="shared" si="97"/>
        <v>257309</v>
      </c>
      <c r="BF80" s="109">
        <f t="shared" si="97"/>
        <v>868996</v>
      </c>
      <c r="BG80" s="109">
        <f t="shared" ref="BG80:BP84" si="98">M80-Y80</f>
        <v>-476976</v>
      </c>
      <c r="BH80" s="109">
        <f t="shared" si="98"/>
        <v>-1072114</v>
      </c>
      <c r="BI80" s="109">
        <f t="shared" si="98"/>
        <v>-1202610</v>
      </c>
      <c r="BJ80" s="109">
        <f t="shared" si="98"/>
        <v>-159445</v>
      </c>
      <c r="BK80" s="109">
        <f t="shared" si="98"/>
        <v>808842</v>
      </c>
      <c r="BL80" s="109">
        <f t="shared" si="98"/>
        <v>-102793.5399999998</v>
      </c>
      <c r="BM80" s="109">
        <f t="shared" si="98"/>
        <v>-66218</v>
      </c>
      <c r="BN80" s="109">
        <f t="shared" si="98"/>
        <v>-132018</v>
      </c>
      <c r="BO80" s="109">
        <f t="shared" si="98"/>
        <v>-61546.879999999888</v>
      </c>
      <c r="BP80" s="109">
        <f t="shared" si="98"/>
        <v>89298</v>
      </c>
      <c r="BQ80" s="109">
        <f t="shared" ref="BQ80:BR84" si="99">W80-AI80</f>
        <v>-232758</v>
      </c>
      <c r="BR80" s="109">
        <f t="shared" si="99"/>
        <v>-2235130</v>
      </c>
    </row>
    <row r="81" spans="1:70" x14ac:dyDescent="0.25">
      <c r="A81" s="4"/>
      <c r="B81" s="35" t="s">
        <v>37</v>
      </c>
      <c r="C81" s="97">
        <v>1333487</v>
      </c>
      <c r="D81" s="89">
        <v>958085</v>
      </c>
      <c r="E81" s="89">
        <v>508395</v>
      </c>
      <c r="F81" s="89">
        <v>288279</v>
      </c>
      <c r="G81" s="89">
        <v>199067</v>
      </c>
      <c r="H81" s="89">
        <v>185727</v>
      </c>
      <c r="I81" s="89">
        <v>191423</v>
      </c>
      <c r="J81" s="89">
        <v>225239</v>
      </c>
      <c r="K81" s="89">
        <v>582954</v>
      </c>
      <c r="L81" s="99">
        <v>1116062</v>
      </c>
      <c r="M81" s="89">
        <v>1429370</v>
      </c>
      <c r="N81" s="89">
        <v>1214330</v>
      </c>
      <c r="O81" s="89">
        <v>1133263</v>
      </c>
      <c r="P81" s="89">
        <f>8015+941488</f>
        <v>949503</v>
      </c>
      <c r="Q81" s="89">
        <f>7334+683105</f>
        <v>690439</v>
      </c>
      <c r="R81" s="89">
        <f>5430+262146</f>
        <v>267576</v>
      </c>
      <c r="S81" s="89">
        <f>4639+186405</f>
        <v>191044</v>
      </c>
      <c r="T81" s="89">
        <f>4777+191744</f>
        <v>196521</v>
      </c>
      <c r="U81" s="79">
        <v>195920.27</v>
      </c>
      <c r="V81" s="79">
        <f>5440+240660</f>
        <v>246100</v>
      </c>
      <c r="W81" s="79">
        <f>6989+498118</f>
        <v>505107</v>
      </c>
      <c r="X81" s="110">
        <f>8625+979285</f>
        <v>987910</v>
      </c>
      <c r="Y81" s="79">
        <f>10311+1433805</f>
        <v>1444116</v>
      </c>
      <c r="Z81" s="79">
        <f>9943+1385803</f>
        <v>1395746</v>
      </c>
      <c r="AA81" s="79">
        <f>9079+1250446</f>
        <v>1259525</v>
      </c>
      <c r="AB81" s="79">
        <f>8145+838392</f>
        <v>846537</v>
      </c>
      <c r="AC81" s="581">
        <v>564271</v>
      </c>
      <c r="AD81" s="581">
        <f>2294.42+1043.22+505.87+95427.94+100162.09+48268.47</f>
        <v>247702.00999999998</v>
      </c>
      <c r="AE81" s="749">
        <f>2942+166178</f>
        <v>169120</v>
      </c>
      <c r="AF81" s="749">
        <f>4849+234225</f>
        <v>239074</v>
      </c>
      <c r="AG81" s="749">
        <f>4445+207784</f>
        <v>212229</v>
      </c>
      <c r="AH81" s="749">
        <f>4178+225000</f>
        <v>229178</v>
      </c>
      <c r="AI81" s="749">
        <f>6174+601119</f>
        <v>607293</v>
      </c>
      <c r="AJ81" s="873">
        <f>8667+1342458</f>
        <v>1351125</v>
      </c>
      <c r="AK81" s="749">
        <f>8551+1863976</f>
        <v>1872527</v>
      </c>
      <c r="AL81" s="232">
        <f>9541+2097433</f>
        <v>2106974</v>
      </c>
      <c r="AM81" s="749">
        <f>8886+1680584</f>
        <v>1689470</v>
      </c>
      <c r="AN81" s="749">
        <f>12175+1622311</f>
        <v>1634486</v>
      </c>
      <c r="AO81" s="749">
        <f>7932+769701</f>
        <v>777633</v>
      </c>
      <c r="AP81" s="749">
        <f>SUM(7060,385923)</f>
        <v>392983</v>
      </c>
      <c r="AQ81" s="749">
        <f>7169+394329</f>
        <v>401498</v>
      </c>
      <c r="AR81" s="749">
        <f>5449+291696</f>
        <v>297145</v>
      </c>
      <c r="AS81" s="749"/>
      <c r="AT81" s="749"/>
      <c r="AU81" s="749"/>
      <c r="AV81" s="749"/>
      <c r="AW81" s="79">
        <f t="shared" si="97"/>
        <v>200224</v>
      </c>
      <c r="AX81" s="79">
        <f t="shared" si="97"/>
        <v>8582</v>
      </c>
      <c r="AY81" s="79">
        <f t="shared" si="97"/>
        <v>-182044</v>
      </c>
      <c r="AZ81" s="79">
        <f t="shared" si="97"/>
        <v>20703</v>
      </c>
      <c r="BA81" s="79">
        <f t="shared" si="97"/>
        <v>8023</v>
      </c>
      <c r="BB81" s="79">
        <f t="shared" si="97"/>
        <v>-10794</v>
      </c>
      <c r="BC81" s="79">
        <f t="shared" si="97"/>
        <v>-4497.2699999999895</v>
      </c>
      <c r="BD81" s="79">
        <f t="shared" si="97"/>
        <v>-20861</v>
      </c>
      <c r="BE81" s="79">
        <f t="shared" si="97"/>
        <v>77847</v>
      </c>
      <c r="BF81" s="109">
        <f t="shared" si="97"/>
        <v>128152</v>
      </c>
      <c r="BG81" s="109">
        <f t="shared" si="98"/>
        <v>-14746</v>
      </c>
      <c r="BH81" s="109">
        <f t="shared" si="98"/>
        <v>-181416</v>
      </c>
      <c r="BI81" s="109">
        <f t="shared" si="98"/>
        <v>-126262</v>
      </c>
      <c r="BJ81" s="109">
        <f t="shared" si="98"/>
        <v>102966</v>
      </c>
      <c r="BK81" s="109">
        <f t="shared" si="98"/>
        <v>126168</v>
      </c>
      <c r="BL81" s="109">
        <f t="shared" si="98"/>
        <v>19873.99000000002</v>
      </c>
      <c r="BM81" s="109">
        <f t="shared" si="98"/>
        <v>21924</v>
      </c>
      <c r="BN81" s="109">
        <f t="shared" si="98"/>
        <v>-42553</v>
      </c>
      <c r="BO81" s="109">
        <f t="shared" si="98"/>
        <v>-16308.73000000001</v>
      </c>
      <c r="BP81" s="109">
        <f t="shared" si="98"/>
        <v>16922</v>
      </c>
      <c r="BQ81" s="109">
        <f t="shared" si="99"/>
        <v>-102186</v>
      </c>
      <c r="BR81" s="109">
        <f t="shared" si="99"/>
        <v>-363215</v>
      </c>
    </row>
    <row r="82" spans="1:70" x14ac:dyDescent="0.25">
      <c r="A82" s="4"/>
      <c r="B82" s="35" t="s">
        <v>38</v>
      </c>
      <c r="C82" s="97">
        <v>1375645</v>
      </c>
      <c r="D82" s="89">
        <v>923452</v>
      </c>
      <c r="E82" s="89">
        <v>464298</v>
      </c>
      <c r="F82" s="89">
        <v>262485</v>
      </c>
      <c r="G82" s="89">
        <v>183929</v>
      </c>
      <c r="H82" s="89">
        <v>161920</v>
      </c>
      <c r="I82" s="89">
        <v>174763</v>
      </c>
      <c r="J82" s="89">
        <v>203931</v>
      </c>
      <c r="K82" s="89">
        <v>442864</v>
      </c>
      <c r="L82" s="99">
        <v>1061728</v>
      </c>
      <c r="M82" s="89">
        <v>1471763</v>
      </c>
      <c r="N82" s="89">
        <v>1247966</v>
      </c>
      <c r="O82" s="89">
        <v>1100675</v>
      </c>
      <c r="P82" s="89">
        <f>682855+110187+41988+6360</f>
        <v>841390</v>
      </c>
      <c r="Q82" s="89">
        <f>434178+85533+34438+6329</f>
        <v>560478</v>
      </c>
      <c r="R82" s="89">
        <f>125956+51392+14156+4263</f>
        <v>195767</v>
      </c>
      <c r="S82" s="89">
        <f>107355+50009+9295+3687</f>
        <v>170346</v>
      </c>
      <c r="T82" s="89">
        <f>111049+53746+9623+3277</f>
        <v>177695</v>
      </c>
      <c r="U82" s="79">
        <v>144707.44</v>
      </c>
      <c r="V82" s="79">
        <f>122346+59566+14559+4388</f>
        <v>200859</v>
      </c>
      <c r="W82" s="79">
        <f>275228+78966+25972+6085</f>
        <v>386251</v>
      </c>
      <c r="X82" s="110">
        <f>652774+116589+51715+8403</f>
        <v>829481</v>
      </c>
      <c r="Y82" s="79">
        <f>1212268+176007+83451+12327</f>
        <v>1484053</v>
      </c>
      <c r="Z82" s="79">
        <f>1207448+167084+84662+10621</f>
        <v>1469815</v>
      </c>
      <c r="AA82" s="79">
        <f>1097889+149486+75864+10438</f>
        <v>1333677</v>
      </c>
      <c r="AB82" s="79">
        <f>673883+136876+53712+9062</f>
        <v>873533</v>
      </c>
      <c r="AC82" s="581">
        <v>492665</v>
      </c>
      <c r="AD82" s="581">
        <v>239363</v>
      </c>
      <c r="AE82" s="749">
        <f>109826+58079+13211+3935</f>
        <v>185051</v>
      </c>
      <c r="AF82" s="749">
        <f>109356+70402+9428+4329</f>
        <v>193515</v>
      </c>
      <c r="AG82" s="749">
        <f>133037+67232</f>
        <v>200269</v>
      </c>
      <c r="AH82" s="749">
        <f>116986+67108+13947+4660</f>
        <v>202701</v>
      </c>
      <c r="AI82" s="749">
        <f>294543+108274+28650+7431</f>
        <v>438898</v>
      </c>
      <c r="AJ82" s="873">
        <f>933457+175403+56307+10564</f>
        <v>1175731</v>
      </c>
      <c r="AK82" s="749">
        <f>1513953+209998+84173+14324</f>
        <v>1822448</v>
      </c>
      <c r="AL82" s="257">
        <f>1863582+227854+92306+13720</f>
        <v>2197462</v>
      </c>
      <c r="AM82" s="749">
        <f>1487967+201062+65317+11605</f>
        <v>1765951</v>
      </c>
      <c r="AN82" s="749">
        <f>1108862+204662+60567+13639</f>
        <v>1387730</v>
      </c>
      <c r="AO82" s="749">
        <f>460239+138468+30106+6234</f>
        <v>635047</v>
      </c>
      <c r="AP82" s="749">
        <f>SUM(243800,114659,16315,6720)</f>
        <v>381494</v>
      </c>
      <c r="AQ82" s="749">
        <f>170370+145657+14079+4067</f>
        <v>334173</v>
      </c>
      <c r="AR82" s="749">
        <f>82828+105498+11222+4908</f>
        <v>204456</v>
      </c>
      <c r="AS82" s="749"/>
      <c r="AT82" s="749"/>
      <c r="AU82" s="749"/>
      <c r="AV82" s="749"/>
      <c r="AW82" s="79">
        <f t="shared" si="97"/>
        <v>274970</v>
      </c>
      <c r="AX82" s="79">
        <f t="shared" si="97"/>
        <v>82062</v>
      </c>
      <c r="AY82" s="79">
        <f t="shared" si="97"/>
        <v>-96180</v>
      </c>
      <c r="AZ82" s="79">
        <f t="shared" si="97"/>
        <v>66718</v>
      </c>
      <c r="BA82" s="79">
        <f t="shared" si="97"/>
        <v>13583</v>
      </c>
      <c r="BB82" s="79">
        <f t="shared" si="97"/>
        <v>-15775</v>
      </c>
      <c r="BC82" s="79">
        <f t="shared" si="97"/>
        <v>30055.559999999998</v>
      </c>
      <c r="BD82" s="79">
        <f t="shared" si="97"/>
        <v>3072</v>
      </c>
      <c r="BE82" s="79">
        <f t="shared" si="97"/>
        <v>56613</v>
      </c>
      <c r="BF82" s="109">
        <f t="shared" si="97"/>
        <v>232247</v>
      </c>
      <c r="BG82" s="109">
        <f t="shared" si="98"/>
        <v>-12290</v>
      </c>
      <c r="BH82" s="109">
        <f t="shared" si="98"/>
        <v>-221849</v>
      </c>
      <c r="BI82" s="109">
        <f t="shared" si="98"/>
        <v>-233002</v>
      </c>
      <c r="BJ82" s="109">
        <f t="shared" si="98"/>
        <v>-32143</v>
      </c>
      <c r="BK82" s="109">
        <f t="shared" si="98"/>
        <v>67813</v>
      </c>
      <c r="BL82" s="109">
        <f t="shared" si="98"/>
        <v>-43596</v>
      </c>
      <c r="BM82" s="109">
        <f t="shared" si="98"/>
        <v>-14705</v>
      </c>
      <c r="BN82" s="109">
        <f t="shared" si="98"/>
        <v>-15820</v>
      </c>
      <c r="BO82" s="109">
        <f t="shared" si="98"/>
        <v>-55561.56</v>
      </c>
      <c r="BP82" s="109">
        <f t="shared" si="98"/>
        <v>-1842</v>
      </c>
      <c r="BQ82" s="109">
        <f t="shared" si="99"/>
        <v>-52647</v>
      </c>
      <c r="BR82" s="109">
        <f t="shared" si="99"/>
        <v>-346250</v>
      </c>
    </row>
    <row r="83" spans="1:70" x14ac:dyDescent="0.25">
      <c r="A83" s="4"/>
      <c r="B83" s="35" t="s">
        <v>39</v>
      </c>
      <c r="C83" s="97">
        <v>1666953</v>
      </c>
      <c r="D83" s="89">
        <v>1501755</v>
      </c>
      <c r="E83" s="89">
        <v>726742</v>
      </c>
      <c r="F83" s="89">
        <v>-52742</v>
      </c>
      <c r="G83" s="89">
        <v>186325</v>
      </c>
      <c r="H83" s="89">
        <v>169635</v>
      </c>
      <c r="I83" s="89">
        <v>207469</v>
      </c>
      <c r="J83" s="89">
        <v>242404</v>
      </c>
      <c r="K83" s="89">
        <v>626174</v>
      </c>
      <c r="L83" s="99">
        <v>1231489</v>
      </c>
      <c r="M83" s="89">
        <v>1713085</v>
      </c>
      <c r="N83" s="89">
        <v>1512733</v>
      </c>
      <c r="O83" s="89">
        <v>1355241</v>
      </c>
      <c r="P83" s="89">
        <f>597439+143085+288361+76303</f>
        <v>1105188</v>
      </c>
      <c r="Q83" s="89">
        <f>385529+104745+208367+63659</f>
        <v>762300</v>
      </c>
      <c r="R83" s="89">
        <f>92999+61289+56147+38909</f>
        <v>249344</v>
      </c>
      <c r="S83" s="89">
        <f>31184+62380+62201+29845</f>
        <v>185610</v>
      </c>
      <c r="T83" s="89">
        <f>32927+71177+43916+31766</f>
        <v>179786</v>
      </c>
      <c r="U83" s="79">
        <v>130804.54</v>
      </c>
      <c r="V83" s="79">
        <f>59151+80752+76514+47331</f>
        <v>263748</v>
      </c>
      <c r="W83" s="79">
        <f>191971+117843+166442+60902</f>
        <v>537158</v>
      </c>
      <c r="X83" s="110">
        <f>504457+175100+305773+83493</f>
        <v>1068823</v>
      </c>
      <c r="Y83" s="79">
        <f>923302+253619+536663+137901</f>
        <v>1851485</v>
      </c>
      <c r="Z83" s="79">
        <f>842890+210783+488628+123314</f>
        <v>1665615</v>
      </c>
      <c r="AA83" s="79">
        <f>815122+220332+471433+121351</f>
        <v>1628238</v>
      </c>
      <c r="AB83" s="79">
        <f>537714+200004+364274+112556</f>
        <v>1214548</v>
      </c>
      <c r="AC83" s="581">
        <v>696013</v>
      </c>
      <c r="AD83" s="581">
        <f>82369.35+88720.62+103733.33+57211.11</f>
        <v>332034.40999999997</v>
      </c>
      <c r="AE83" s="749">
        <f>64963+73916+45633+40702</f>
        <v>225214</v>
      </c>
      <c r="AF83" s="749">
        <f>28764+104445+54954+33916</f>
        <v>222079</v>
      </c>
      <c r="AG83" s="749">
        <f>43211+82329</f>
        <v>125540</v>
      </c>
      <c r="AH83" s="749">
        <f>2540+95415+61442+49533</f>
        <v>208930</v>
      </c>
      <c r="AI83" s="749">
        <f>286061+172404+171554+65014</f>
        <v>695033</v>
      </c>
      <c r="AJ83" s="873">
        <f>822293+252920+354503+114295</f>
        <v>1544011</v>
      </c>
      <c r="AK83" s="749">
        <f>1054679+308672+526518+132432</f>
        <v>2022301</v>
      </c>
      <c r="AL83" s="257">
        <f>1391958+334861+571477+134540</f>
        <v>2432836</v>
      </c>
      <c r="AM83" s="749">
        <f>1104943+309007+490898+118743</f>
        <v>2023591</v>
      </c>
      <c r="AN83" s="749">
        <f>985094+374645+423473+118238</f>
        <v>1901450</v>
      </c>
      <c r="AO83" s="749">
        <f>507062+222711+203217+72282</f>
        <v>1005272</v>
      </c>
      <c r="AP83" s="749">
        <f>SUM(133468,671824,132875,54740)</f>
        <v>992907</v>
      </c>
      <c r="AQ83" s="749">
        <f>92208+183397+44557+44584</f>
        <v>364746</v>
      </c>
      <c r="AR83" s="749">
        <f>72778+218700+38545+40035</f>
        <v>370058</v>
      </c>
      <c r="AS83" s="749"/>
      <c r="AT83" s="749"/>
      <c r="AU83" s="749"/>
      <c r="AV83" s="749"/>
      <c r="AW83" s="79">
        <f t="shared" si="97"/>
        <v>311712</v>
      </c>
      <c r="AX83" s="79">
        <f t="shared" si="97"/>
        <v>396567</v>
      </c>
      <c r="AY83" s="79">
        <f t="shared" si="97"/>
        <v>-35558</v>
      </c>
      <c r="AZ83" s="79">
        <f t="shared" si="97"/>
        <v>-302086</v>
      </c>
      <c r="BA83" s="79">
        <f t="shared" si="97"/>
        <v>715</v>
      </c>
      <c r="BB83" s="79">
        <f t="shared" si="97"/>
        <v>-10151</v>
      </c>
      <c r="BC83" s="79">
        <f t="shared" si="97"/>
        <v>76664.460000000006</v>
      </c>
      <c r="BD83" s="79">
        <f t="shared" si="97"/>
        <v>-21344</v>
      </c>
      <c r="BE83" s="79">
        <f t="shared" si="97"/>
        <v>89016</v>
      </c>
      <c r="BF83" s="109">
        <f t="shared" si="97"/>
        <v>162666</v>
      </c>
      <c r="BG83" s="109">
        <f t="shared" si="98"/>
        <v>-138400</v>
      </c>
      <c r="BH83" s="109">
        <f t="shared" si="98"/>
        <v>-152882</v>
      </c>
      <c r="BI83" s="109">
        <f t="shared" si="98"/>
        <v>-272997</v>
      </c>
      <c r="BJ83" s="109">
        <f t="shared" si="98"/>
        <v>-109360</v>
      </c>
      <c r="BK83" s="109">
        <f t="shared" si="98"/>
        <v>66287</v>
      </c>
      <c r="BL83" s="109">
        <f t="shared" si="98"/>
        <v>-82690.409999999974</v>
      </c>
      <c r="BM83" s="109">
        <f t="shared" si="98"/>
        <v>-39604</v>
      </c>
      <c r="BN83" s="109">
        <f t="shared" si="98"/>
        <v>-42293</v>
      </c>
      <c r="BO83" s="109">
        <f t="shared" si="98"/>
        <v>5264.5399999999936</v>
      </c>
      <c r="BP83" s="109">
        <f t="shared" si="98"/>
        <v>54818</v>
      </c>
      <c r="BQ83" s="109">
        <f t="shared" si="99"/>
        <v>-157875</v>
      </c>
      <c r="BR83" s="109">
        <f t="shared" si="99"/>
        <v>-475188</v>
      </c>
    </row>
    <row r="84" spans="1:70" x14ac:dyDescent="0.25">
      <c r="A84" s="4"/>
      <c r="B84" s="35" t="s">
        <v>40</v>
      </c>
      <c r="C84" s="97">
        <v>409398</v>
      </c>
      <c r="D84" s="89">
        <v>272619</v>
      </c>
      <c r="E84" s="89">
        <v>206669</v>
      </c>
      <c r="F84" s="89">
        <v>170691</v>
      </c>
      <c r="G84" s="89">
        <v>184866</v>
      </c>
      <c r="H84" s="89">
        <v>165594</v>
      </c>
      <c r="I84" s="89">
        <v>138728</v>
      </c>
      <c r="J84" s="89">
        <v>186073</v>
      </c>
      <c r="K84" s="89">
        <v>250238</v>
      </c>
      <c r="L84" s="99">
        <v>315212</v>
      </c>
      <c r="M84" s="89">
        <v>332792</v>
      </c>
      <c r="N84" s="89">
        <v>267787</v>
      </c>
      <c r="O84" s="89">
        <v>289423</v>
      </c>
      <c r="P84" s="89">
        <f>41169+117515+28457+136309</f>
        <v>323450</v>
      </c>
      <c r="Q84" s="89">
        <f>7547+33835+16815+130936</f>
        <v>189133</v>
      </c>
      <c r="R84" s="89">
        <f>2279+57537+8449+113397</f>
        <v>181662</v>
      </c>
      <c r="S84" s="89">
        <f>1855+43977+6207+127758</f>
        <v>179797</v>
      </c>
      <c r="T84" s="89">
        <f>4565+51519-3774+123637</f>
        <v>175947</v>
      </c>
      <c r="U84" s="79">
        <v>191095.52</v>
      </c>
      <c r="V84" s="79">
        <f>2746+33258+10676+142905</f>
        <v>189585</v>
      </c>
      <c r="W84" s="79">
        <f>9178+49349+17008+187781</f>
        <v>263316</v>
      </c>
      <c r="X84" s="110">
        <f>27975+103900+27875+198848</f>
        <v>358598</v>
      </c>
      <c r="Y84" s="79">
        <f>101569+95261+49125+219382</f>
        <v>465337</v>
      </c>
      <c r="Z84" s="79">
        <f>38809+94383+36378+197950</f>
        <v>367520</v>
      </c>
      <c r="AA84" s="79">
        <f>72203+71858+25601+195902</f>
        <v>365564</v>
      </c>
      <c r="AB84" s="79">
        <f>46209+78554+18094+176639</f>
        <v>319496</v>
      </c>
      <c r="AC84" s="581">
        <v>480829</v>
      </c>
      <c r="AD84" s="581">
        <f>11588.77+53320.61+9252.72</f>
        <v>74162.100000000006</v>
      </c>
      <c r="AE84" s="749">
        <f>3578+21320+3020+146418</f>
        <v>174336</v>
      </c>
      <c r="AF84" s="749">
        <f>2771+84727+3589+134951</f>
        <v>226038</v>
      </c>
      <c r="AG84" s="749">
        <f>3412+36042</f>
        <v>39454</v>
      </c>
      <c r="AH84" s="749">
        <f>6746+34031+6367+147351</f>
        <v>194495</v>
      </c>
      <c r="AI84" s="749">
        <f>-2393+161055+7786+155066</f>
        <v>321514</v>
      </c>
      <c r="AJ84" s="873">
        <f>24407+163040+26879+217696</f>
        <v>432022</v>
      </c>
      <c r="AK84" s="749">
        <f>108444+70293+40592+227583</f>
        <v>446912</v>
      </c>
      <c r="AL84" s="257">
        <f>74059+191266+74028+245237</f>
        <v>584590</v>
      </c>
      <c r="AM84" s="749">
        <f>-38989+90717+50369+227554</f>
        <v>329651</v>
      </c>
      <c r="AN84" s="749">
        <f>35554+72185+31175+227074</f>
        <v>365988</v>
      </c>
      <c r="AO84" s="749">
        <f>14430+276988+20970+199979</f>
        <v>512367</v>
      </c>
      <c r="AP84" s="749">
        <f>SUM(5214,149432,10341,168925)</f>
        <v>333912</v>
      </c>
      <c r="AQ84" s="749">
        <f>8912+18588+4065+153169</f>
        <v>184734</v>
      </c>
      <c r="AR84" s="749">
        <f>3826+272270+3828+152215</f>
        <v>432139</v>
      </c>
      <c r="AS84" s="749"/>
      <c r="AT84" s="749"/>
      <c r="AU84" s="749"/>
      <c r="AV84" s="749"/>
      <c r="AW84" s="79">
        <f t="shared" si="97"/>
        <v>119975</v>
      </c>
      <c r="AX84" s="79">
        <f t="shared" si="97"/>
        <v>-50831</v>
      </c>
      <c r="AY84" s="79">
        <f t="shared" si="97"/>
        <v>17536</v>
      </c>
      <c r="AZ84" s="79">
        <f t="shared" si="97"/>
        <v>-10971</v>
      </c>
      <c r="BA84" s="79">
        <f t="shared" si="97"/>
        <v>5069</v>
      </c>
      <c r="BB84" s="79">
        <f t="shared" si="97"/>
        <v>-10353</v>
      </c>
      <c r="BC84" s="79">
        <f t="shared" si="97"/>
        <v>-52367.51999999999</v>
      </c>
      <c r="BD84" s="79">
        <f t="shared" si="97"/>
        <v>-3512</v>
      </c>
      <c r="BE84" s="79">
        <f t="shared" si="97"/>
        <v>-13078</v>
      </c>
      <c r="BF84" s="109">
        <f t="shared" si="97"/>
        <v>-43386</v>
      </c>
      <c r="BG84" s="109">
        <f t="shared" si="98"/>
        <v>-132545</v>
      </c>
      <c r="BH84" s="109">
        <f t="shared" si="98"/>
        <v>-99733</v>
      </c>
      <c r="BI84" s="109">
        <f t="shared" si="98"/>
        <v>-76141</v>
      </c>
      <c r="BJ84" s="109">
        <f t="shared" si="98"/>
        <v>3954</v>
      </c>
      <c r="BK84" s="109">
        <f t="shared" si="98"/>
        <v>-291696</v>
      </c>
      <c r="BL84" s="109">
        <f t="shared" si="98"/>
        <v>107499.9</v>
      </c>
      <c r="BM84" s="109">
        <f t="shared" si="98"/>
        <v>5461</v>
      </c>
      <c r="BN84" s="109">
        <f t="shared" si="98"/>
        <v>-50091</v>
      </c>
      <c r="BO84" s="109">
        <f t="shared" si="98"/>
        <v>151641.51999999999</v>
      </c>
      <c r="BP84" s="109">
        <f t="shared" si="98"/>
        <v>-4910</v>
      </c>
      <c r="BQ84" s="109">
        <f t="shared" si="99"/>
        <v>-58198</v>
      </c>
      <c r="BR84" s="109">
        <f t="shared" si="99"/>
        <v>-73424</v>
      </c>
    </row>
    <row r="85" spans="1:70" x14ac:dyDescent="0.25">
      <c r="A85" s="4"/>
      <c r="B85" s="35" t="s">
        <v>41</v>
      </c>
      <c r="C85" s="97">
        <f>SUM(C80:C84)</f>
        <v>12106135</v>
      </c>
      <c r="D85" s="89">
        <f>SUM(D80:D84)</f>
        <v>9039383</v>
      </c>
      <c r="E85" s="89">
        <f t="shared" ref="E85:BD85" si="100">SUM(E80:E84)</f>
        <v>4742032</v>
      </c>
      <c r="F85" s="89">
        <f t="shared" si="100"/>
        <v>2303947</v>
      </c>
      <c r="G85" s="89">
        <f t="shared" si="100"/>
        <v>1945164</v>
      </c>
      <c r="H85" s="89">
        <f t="shared" si="100"/>
        <v>1756618</v>
      </c>
      <c r="I85" s="89">
        <f t="shared" si="100"/>
        <v>1805710</v>
      </c>
      <c r="J85" s="89">
        <f t="shared" si="100"/>
        <v>2062500</v>
      </c>
      <c r="K85" s="89">
        <f t="shared" si="100"/>
        <v>4734828</v>
      </c>
      <c r="L85" s="99">
        <f t="shared" si="100"/>
        <v>9731684</v>
      </c>
      <c r="M85" s="89">
        <f t="shared" si="100"/>
        <v>12809442</v>
      </c>
      <c r="N85" s="89">
        <f t="shared" si="100"/>
        <v>11104485</v>
      </c>
      <c r="O85" s="89">
        <f t="shared" si="100"/>
        <v>10101706</v>
      </c>
      <c r="P85" s="89">
        <f t="shared" si="100"/>
        <v>8356125</v>
      </c>
      <c r="Q85" s="89">
        <f t="shared" si="100"/>
        <v>6172402</v>
      </c>
      <c r="R85" s="89">
        <f t="shared" si="100"/>
        <v>2476216</v>
      </c>
      <c r="S85" s="89">
        <f t="shared" si="100"/>
        <v>1921778</v>
      </c>
      <c r="T85" s="89">
        <f t="shared" si="100"/>
        <v>1896715</v>
      </c>
      <c r="U85" s="180">
        <f t="shared" ref="U85:AC85" si="101">SUM(U80:U84)</f>
        <v>1826069.8900000001</v>
      </c>
      <c r="V85" s="180">
        <f t="shared" si="101"/>
        <v>2280546</v>
      </c>
      <c r="W85" s="180">
        <f t="shared" si="101"/>
        <v>4267121</v>
      </c>
      <c r="X85" s="99">
        <f t="shared" si="101"/>
        <v>8383009</v>
      </c>
      <c r="Y85" s="99">
        <f t="shared" si="101"/>
        <v>13584399</v>
      </c>
      <c r="Z85" s="99">
        <f t="shared" si="101"/>
        <v>12832479</v>
      </c>
      <c r="AA85" s="99">
        <f t="shared" si="101"/>
        <v>12012718</v>
      </c>
      <c r="AB85" s="99">
        <f t="shared" si="101"/>
        <v>8550153</v>
      </c>
      <c r="AC85" s="99">
        <f t="shared" si="101"/>
        <v>5394988</v>
      </c>
      <c r="AD85" s="99">
        <f t="shared" ref="AD85:AI85" si="102">SUM(AD80:AD84)</f>
        <v>2577922.06</v>
      </c>
      <c r="AE85" s="99">
        <f t="shared" si="102"/>
        <v>2014920</v>
      </c>
      <c r="AF85" s="99">
        <f t="shared" si="102"/>
        <v>2179490</v>
      </c>
      <c r="AG85" s="99">
        <f t="shared" si="102"/>
        <v>1802581</v>
      </c>
      <c r="AH85" s="99">
        <f t="shared" si="102"/>
        <v>2126260</v>
      </c>
      <c r="AI85" s="99">
        <f t="shared" si="102"/>
        <v>4870785</v>
      </c>
      <c r="AJ85" s="180">
        <f t="shared" ref="AJ85:AL85" si="103">SUM(AJ80:AJ84)</f>
        <v>11876216</v>
      </c>
      <c r="AK85" s="99">
        <f t="shared" si="103"/>
        <v>16546586</v>
      </c>
      <c r="AL85" s="99">
        <f t="shared" si="103"/>
        <v>19209882</v>
      </c>
      <c r="AM85" s="99">
        <f t="shared" ref="AM85:AR85" si="104">SUM(AM80:AM84)</f>
        <v>15266945</v>
      </c>
      <c r="AN85" s="99">
        <f t="shared" si="104"/>
        <v>13429196</v>
      </c>
      <c r="AO85" s="98">
        <f t="shared" si="104"/>
        <v>6966701</v>
      </c>
      <c r="AP85" s="98">
        <f t="shared" si="104"/>
        <v>4330361</v>
      </c>
      <c r="AQ85" s="98">
        <f t="shared" si="104"/>
        <v>3460746</v>
      </c>
      <c r="AR85" s="98">
        <f t="shared" si="104"/>
        <v>2956767</v>
      </c>
      <c r="AS85" s="98"/>
      <c r="AT85" s="98"/>
      <c r="AU85" s="98"/>
      <c r="AV85" s="98"/>
      <c r="AW85" s="89">
        <f t="shared" si="100"/>
        <v>2004429</v>
      </c>
      <c r="AX85" s="89">
        <f t="shared" si="100"/>
        <v>683258</v>
      </c>
      <c r="AY85" s="89">
        <f t="shared" si="100"/>
        <v>-1430370</v>
      </c>
      <c r="AZ85" s="89">
        <f t="shared" si="100"/>
        <v>-172269</v>
      </c>
      <c r="BA85" s="89">
        <f t="shared" si="100"/>
        <v>23386</v>
      </c>
      <c r="BB85" s="89">
        <f t="shared" si="100"/>
        <v>-140097</v>
      </c>
      <c r="BC85" s="89">
        <f t="shared" si="100"/>
        <v>-20359.890000000087</v>
      </c>
      <c r="BD85" s="89">
        <f t="shared" si="100"/>
        <v>-218046</v>
      </c>
      <c r="BE85" s="89">
        <f>SUM(BE80:BE84)</f>
        <v>467707</v>
      </c>
      <c r="BF85" s="98">
        <f>SUM(BF80:BF84)</f>
        <v>1348675</v>
      </c>
      <c r="BG85" s="109">
        <f t="shared" ref="BG85:BR85" si="105">M85-Y85</f>
        <v>-774957</v>
      </c>
      <c r="BH85" s="109">
        <f t="shared" si="105"/>
        <v>-1727994</v>
      </c>
      <c r="BI85" s="109">
        <f t="shared" si="105"/>
        <v>-1911012</v>
      </c>
      <c r="BJ85" s="109">
        <f t="shared" si="105"/>
        <v>-194028</v>
      </c>
      <c r="BK85" s="109">
        <f t="shared" si="105"/>
        <v>777414</v>
      </c>
      <c r="BL85" s="109">
        <f t="shared" si="105"/>
        <v>-101706.06000000006</v>
      </c>
      <c r="BM85" s="109">
        <f t="shared" si="105"/>
        <v>-93142</v>
      </c>
      <c r="BN85" s="109">
        <f t="shared" si="105"/>
        <v>-282775</v>
      </c>
      <c r="BO85" s="109">
        <f t="shared" si="105"/>
        <v>23488.89000000013</v>
      </c>
      <c r="BP85" s="109">
        <f t="shared" si="105"/>
        <v>154286</v>
      </c>
      <c r="BQ85" s="109">
        <f t="shared" si="105"/>
        <v>-603664</v>
      </c>
      <c r="BR85" s="109">
        <f t="shared" si="105"/>
        <v>-3493207</v>
      </c>
    </row>
    <row r="86" spans="1:70" x14ac:dyDescent="0.25">
      <c r="A86" s="4">
        <f>+A79+1</f>
        <v>12</v>
      </c>
      <c r="B86" s="42" t="s">
        <v>45</v>
      </c>
      <c r="C86" s="158"/>
      <c r="D86" s="93"/>
      <c r="E86" s="93"/>
      <c r="F86" s="93"/>
      <c r="G86" s="93"/>
      <c r="H86" s="93"/>
      <c r="I86" s="93"/>
      <c r="J86" s="93"/>
      <c r="K86" s="93"/>
      <c r="L86" s="168"/>
      <c r="M86" s="93"/>
      <c r="N86" s="93"/>
      <c r="O86" s="93"/>
      <c r="P86" s="93"/>
      <c r="Q86" s="93"/>
      <c r="R86" s="93"/>
      <c r="S86" s="93"/>
      <c r="T86" s="93"/>
      <c r="U86" s="181"/>
      <c r="V86" s="323"/>
      <c r="W86" s="323"/>
      <c r="X86" s="168"/>
      <c r="Y86" s="323"/>
      <c r="Z86" s="323"/>
      <c r="AA86" s="323"/>
      <c r="AB86" s="323"/>
      <c r="AC86" s="168"/>
      <c r="AD86" s="168"/>
      <c r="AE86" s="323"/>
      <c r="AF86" s="323"/>
      <c r="AG86" s="323"/>
      <c r="AH86" s="323"/>
      <c r="AI86" s="323"/>
      <c r="AJ86" s="181"/>
      <c r="AK86" s="323"/>
      <c r="AL86" s="323"/>
      <c r="AM86" s="323"/>
      <c r="AN86" s="323"/>
      <c r="AO86" s="323"/>
      <c r="AP86" s="323"/>
      <c r="AQ86" s="323"/>
      <c r="AR86" s="323"/>
      <c r="AS86" s="323"/>
      <c r="AT86" s="323"/>
      <c r="AU86" s="323"/>
      <c r="AV86" s="323"/>
      <c r="AW86" s="93"/>
      <c r="AX86" s="93"/>
      <c r="AY86" s="93"/>
      <c r="AZ86" s="93"/>
      <c r="BA86" s="93"/>
      <c r="BB86" s="93"/>
      <c r="BC86" s="92"/>
      <c r="BD86" s="315"/>
      <c r="BE86" s="315"/>
      <c r="BF86" s="315"/>
      <c r="BG86" s="406"/>
      <c r="BH86" s="411"/>
      <c r="BI86" s="412"/>
      <c r="BJ86" s="412"/>
      <c r="BK86" s="412"/>
      <c r="BL86" s="412"/>
      <c r="BM86" s="412"/>
      <c r="BN86" s="412"/>
      <c r="BO86" s="412"/>
      <c r="BP86" s="412"/>
      <c r="BQ86" s="412"/>
      <c r="BR86" s="412"/>
    </row>
    <row r="87" spans="1:70" x14ac:dyDescent="0.25">
      <c r="A87" s="4"/>
      <c r="B87" s="35" t="s">
        <v>36</v>
      </c>
      <c r="C87" s="190"/>
      <c r="D87" s="191"/>
      <c r="E87" s="191"/>
      <c r="F87" s="191"/>
      <c r="G87" s="191"/>
      <c r="H87" s="191"/>
      <c r="I87" s="191"/>
      <c r="J87" s="191"/>
      <c r="K87" s="191"/>
      <c r="L87" s="192"/>
      <c r="M87" s="191"/>
      <c r="N87" s="191"/>
      <c r="O87" s="191"/>
      <c r="P87" s="191"/>
      <c r="Q87" s="191"/>
      <c r="R87" s="191"/>
      <c r="S87" s="191"/>
      <c r="T87" s="191"/>
      <c r="U87" s="193"/>
      <c r="V87" s="324"/>
      <c r="W87" s="324"/>
      <c r="X87" s="192"/>
      <c r="Y87" s="324"/>
      <c r="Z87" s="324"/>
      <c r="AA87" s="324"/>
      <c r="AB87" s="324"/>
      <c r="AC87" s="192"/>
      <c r="AD87" s="192"/>
      <c r="AE87" s="324"/>
      <c r="AF87" s="324"/>
      <c r="AG87" s="324"/>
      <c r="AH87" s="324"/>
      <c r="AI87" s="324"/>
      <c r="AJ87" s="193"/>
      <c r="AK87" s="324"/>
      <c r="AL87" s="324"/>
      <c r="AM87" s="324"/>
      <c r="AN87" s="324"/>
      <c r="AO87" s="324"/>
      <c r="AP87" s="324"/>
      <c r="AQ87" s="324"/>
      <c r="AR87" s="324"/>
      <c r="AS87" s="324"/>
      <c r="AT87" s="324"/>
      <c r="AU87" s="324"/>
      <c r="AV87" s="324"/>
      <c r="AW87" s="83">
        <f t="shared" ref="AW87:BF91" si="106">C87-O87</f>
        <v>0</v>
      </c>
      <c r="AX87" s="83">
        <f t="shared" si="106"/>
        <v>0</v>
      </c>
      <c r="AY87" s="83">
        <f t="shared" si="106"/>
        <v>0</v>
      </c>
      <c r="AZ87" s="83">
        <f t="shared" si="106"/>
        <v>0</v>
      </c>
      <c r="BA87" s="83">
        <f t="shared" si="106"/>
        <v>0</v>
      </c>
      <c r="BB87" s="83">
        <f t="shared" si="106"/>
        <v>0</v>
      </c>
      <c r="BC87" s="82">
        <f t="shared" si="106"/>
        <v>0</v>
      </c>
      <c r="BD87" s="82">
        <f t="shared" si="106"/>
        <v>0</v>
      </c>
      <c r="BE87" s="82">
        <f t="shared" si="106"/>
        <v>0</v>
      </c>
      <c r="BF87" s="256">
        <f t="shared" si="106"/>
        <v>0</v>
      </c>
      <c r="BG87" s="256">
        <f t="shared" ref="BG87:BP91" si="107">M87-Y87</f>
        <v>0</v>
      </c>
      <c r="BH87" s="256">
        <f t="shared" si="107"/>
        <v>0</v>
      </c>
      <c r="BI87" s="256">
        <f t="shared" si="107"/>
        <v>0</v>
      </c>
      <c r="BJ87" s="256">
        <f t="shared" si="107"/>
        <v>0</v>
      </c>
      <c r="BK87" s="256">
        <f t="shared" si="107"/>
        <v>0</v>
      </c>
      <c r="BL87" s="256">
        <f t="shared" si="107"/>
        <v>0</v>
      </c>
      <c r="BM87" s="256">
        <f t="shared" si="107"/>
        <v>0</v>
      </c>
      <c r="BN87" s="256">
        <f t="shared" si="107"/>
        <v>0</v>
      </c>
      <c r="BO87" s="256">
        <f t="shared" si="107"/>
        <v>0</v>
      </c>
      <c r="BP87" s="256">
        <f t="shared" si="107"/>
        <v>0</v>
      </c>
      <c r="BQ87" s="256">
        <f t="shared" ref="BQ87:BR91" si="108">W87-AI87</f>
        <v>0</v>
      </c>
      <c r="BR87" s="256">
        <f t="shared" si="108"/>
        <v>0</v>
      </c>
    </row>
    <row r="88" spans="1:70" x14ac:dyDescent="0.25">
      <c r="A88" s="4"/>
      <c r="B88" s="35" t="s">
        <v>37</v>
      </c>
      <c r="C88" s="190"/>
      <c r="D88" s="191"/>
      <c r="E88" s="191"/>
      <c r="F88" s="191"/>
      <c r="G88" s="191"/>
      <c r="H88" s="191"/>
      <c r="I88" s="191"/>
      <c r="J88" s="191"/>
      <c r="K88" s="191"/>
      <c r="L88" s="192"/>
      <c r="M88" s="191"/>
      <c r="N88" s="191"/>
      <c r="O88" s="191"/>
      <c r="P88" s="191"/>
      <c r="Q88" s="191"/>
      <c r="R88" s="191"/>
      <c r="S88" s="191"/>
      <c r="T88" s="191"/>
      <c r="U88" s="193"/>
      <c r="V88" s="324"/>
      <c r="W88" s="324"/>
      <c r="X88" s="192"/>
      <c r="Y88" s="324"/>
      <c r="Z88" s="324"/>
      <c r="AA88" s="324"/>
      <c r="AB88" s="324"/>
      <c r="AC88" s="192"/>
      <c r="AD88" s="192"/>
      <c r="AE88" s="324"/>
      <c r="AF88" s="324"/>
      <c r="AG88" s="324"/>
      <c r="AH88" s="324"/>
      <c r="AI88" s="324"/>
      <c r="AJ88" s="193"/>
      <c r="AK88" s="324"/>
      <c r="AL88" s="324"/>
      <c r="AM88" s="324"/>
      <c r="AN88" s="324"/>
      <c r="AO88" s="324"/>
      <c r="AP88" s="324"/>
      <c r="AQ88" s="324"/>
      <c r="AR88" s="324"/>
      <c r="AS88" s="324"/>
      <c r="AT88" s="324"/>
      <c r="AU88" s="324"/>
      <c r="AV88" s="324"/>
      <c r="AW88" s="83">
        <f t="shared" si="106"/>
        <v>0</v>
      </c>
      <c r="AX88" s="83">
        <f t="shared" si="106"/>
        <v>0</v>
      </c>
      <c r="AY88" s="83">
        <f t="shared" si="106"/>
        <v>0</v>
      </c>
      <c r="AZ88" s="83">
        <f t="shared" si="106"/>
        <v>0</v>
      </c>
      <c r="BA88" s="83">
        <f t="shared" si="106"/>
        <v>0</v>
      </c>
      <c r="BB88" s="83">
        <f t="shared" si="106"/>
        <v>0</v>
      </c>
      <c r="BC88" s="82">
        <f t="shared" si="106"/>
        <v>0</v>
      </c>
      <c r="BD88" s="82">
        <f t="shared" si="106"/>
        <v>0</v>
      </c>
      <c r="BE88" s="82">
        <f t="shared" si="106"/>
        <v>0</v>
      </c>
      <c r="BF88" s="256">
        <f t="shared" si="106"/>
        <v>0</v>
      </c>
      <c r="BG88" s="256">
        <f t="shared" si="107"/>
        <v>0</v>
      </c>
      <c r="BH88" s="256">
        <f t="shared" si="107"/>
        <v>0</v>
      </c>
      <c r="BI88" s="256">
        <f t="shared" si="107"/>
        <v>0</v>
      </c>
      <c r="BJ88" s="256">
        <f t="shared" si="107"/>
        <v>0</v>
      </c>
      <c r="BK88" s="256">
        <f t="shared" si="107"/>
        <v>0</v>
      </c>
      <c r="BL88" s="256">
        <f t="shared" si="107"/>
        <v>0</v>
      </c>
      <c r="BM88" s="256">
        <f t="shared" si="107"/>
        <v>0</v>
      </c>
      <c r="BN88" s="256">
        <f t="shared" si="107"/>
        <v>0</v>
      </c>
      <c r="BO88" s="256">
        <f t="shared" si="107"/>
        <v>0</v>
      </c>
      <c r="BP88" s="256">
        <f t="shared" si="107"/>
        <v>0</v>
      </c>
      <c r="BQ88" s="256">
        <f t="shared" si="108"/>
        <v>0</v>
      </c>
      <c r="BR88" s="256">
        <f t="shared" si="108"/>
        <v>0</v>
      </c>
    </row>
    <row r="89" spans="1:70" x14ac:dyDescent="0.25">
      <c r="A89" s="4"/>
      <c r="B89" s="35" t="s">
        <v>38</v>
      </c>
      <c r="C89" s="190"/>
      <c r="D89" s="191"/>
      <c r="E89" s="191"/>
      <c r="F89" s="191"/>
      <c r="G89" s="191"/>
      <c r="H89" s="191"/>
      <c r="I89" s="191"/>
      <c r="J89" s="191"/>
      <c r="K89" s="191"/>
      <c r="L89" s="192"/>
      <c r="M89" s="191"/>
      <c r="N89" s="191"/>
      <c r="O89" s="191"/>
      <c r="P89" s="191"/>
      <c r="Q89" s="191"/>
      <c r="R89" s="191"/>
      <c r="S89" s="191"/>
      <c r="T89" s="191"/>
      <c r="U89" s="193"/>
      <c r="V89" s="324"/>
      <c r="W89" s="324"/>
      <c r="X89" s="192"/>
      <c r="Y89" s="324"/>
      <c r="Z89" s="324"/>
      <c r="AA89" s="324"/>
      <c r="AB89" s="324"/>
      <c r="AC89" s="192"/>
      <c r="AD89" s="192"/>
      <c r="AE89" s="324"/>
      <c r="AF89" s="324"/>
      <c r="AG89" s="324"/>
      <c r="AH89" s="324"/>
      <c r="AI89" s="324"/>
      <c r="AJ89" s="193"/>
      <c r="AK89" s="324"/>
      <c r="AL89" s="324"/>
      <c r="AM89" s="324"/>
      <c r="AN89" s="324"/>
      <c r="AO89" s="324"/>
      <c r="AP89" s="324"/>
      <c r="AQ89" s="324"/>
      <c r="AR89" s="324"/>
      <c r="AS89" s="324"/>
      <c r="AT89" s="324"/>
      <c r="AU89" s="324"/>
      <c r="AV89" s="324"/>
      <c r="AW89" s="83">
        <f t="shared" si="106"/>
        <v>0</v>
      </c>
      <c r="AX89" s="83">
        <f t="shared" si="106"/>
        <v>0</v>
      </c>
      <c r="AY89" s="83">
        <f t="shared" si="106"/>
        <v>0</v>
      </c>
      <c r="AZ89" s="83">
        <f t="shared" si="106"/>
        <v>0</v>
      </c>
      <c r="BA89" s="83">
        <f t="shared" si="106"/>
        <v>0</v>
      </c>
      <c r="BB89" s="83">
        <f t="shared" si="106"/>
        <v>0</v>
      </c>
      <c r="BC89" s="82">
        <f t="shared" si="106"/>
        <v>0</v>
      </c>
      <c r="BD89" s="82">
        <f t="shared" si="106"/>
        <v>0</v>
      </c>
      <c r="BE89" s="82">
        <f t="shared" si="106"/>
        <v>0</v>
      </c>
      <c r="BF89" s="256">
        <f t="shared" si="106"/>
        <v>0</v>
      </c>
      <c r="BG89" s="256">
        <f t="shared" si="107"/>
        <v>0</v>
      </c>
      <c r="BH89" s="256">
        <f t="shared" si="107"/>
        <v>0</v>
      </c>
      <c r="BI89" s="256">
        <f t="shared" si="107"/>
        <v>0</v>
      </c>
      <c r="BJ89" s="256">
        <f t="shared" si="107"/>
        <v>0</v>
      </c>
      <c r="BK89" s="256">
        <f t="shared" si="107"/>
        <v>0</v>
      </c>
      <c r="BL89" s="256">
        <f t="shared" si="107"/>
        <v>0</v>
      </c>
      <c r="BM89" s="256">
        <f t="shared" si="107"/>
        <v>0</v>
      </c>
      <c r="BN89" s="256">
        <f t="shared" si="107"/>
        <v>0</v>
      </c>
      <c r="BO89" s="256">
        <f t="shared" si="107"/>
        <v>0</v>
      </c>
      <c r="BP89" s="256">
        <f t="shared" si="107"/>
        <v>0</v>
      </c>
      <c r="BQ89" s="256">
        <f t="shared" si="108"/>
        <v>0</v>
      </c>
      <c r="BR89" s="256">
        <f t="shared" si="108"/>
        <v>0</v>
      </c>
    </row>
    <row r="90" spans="1:70" x14ac:dyDescent="0.25">
      <c r="A90" s="4"/>
      <c r="B90" s="35" t="s">
        <v>39</v>
      </c>
      <c r="C90" s="190"/>
      <c r="D90" s="191"/>
      <c r="E90" s="191"/>
      <c r="F90" s="191"/>
      <c r="G90" s="191"/>
      <c r="H90" s="191"/>
      <c r="I90" s="191"/>
      <c r="J90" s="191"/>
      <c r="K90" s="191"/>
      <c r="L90" s="192"/>
      <c r="M90" s="191"/>
      <c r="N90" s="191"/>
      <c r="O90" s="191"/>
      <c r="P90" s="191"/>
      <c r="Q90" s="191"/>
      <c r="R90" s="191"/>
      <c r="S90" s="191"/>
      <c r="T90" s="191"/>
      <c r="U90" s="193"/>
      <c r="V90" s="324"/>
      <c r="W90" s="324"/>
      <c r="X90" s="192"/>
      <c r="Y90" s="324"/>
      <c r="Z90" s="324"/>
      <c r="AA90" s="324"/>
      <c r="AB90" s="324"/>
      <c r="AC90" s="192"/>
      <c r="AD90" s="192"/>
      <c r="AE90" s="324"/>
      <c r="AF90" s="324"/>
      <c r="AG90" s="324"/>
      <c r="AH90" s="324"/>
      <c r="AI90" s="324"/>
      <c r="AJ90" s="193"/>
      <c r="AK90" s="324"/>
      <c r="AL90" s="324"/>
      <c r="AM90" s="324"/>
      <c r="AN90" s="324"/>
      <c r="AO90" s="324"/>
      <c r="AP90" s="324"/>
      <c r="AQ90" s="324"/>
      <c r="AR90" s="324"/>
      <c r="AS90" s="324"/>
      <c r="AT90" s="324"/>
      <c r="AU90" s="324"/>
      <c r="AV90" s="324"/>
      <c r="AW90" s="83">
        <f t="shared" si="106"/>
        <v>0</v>
      </c>
      <c r="AX90" s="83">
        <f t="shared" si="106"/>
        <v>0</v>
      </c>
      <c r="AY90" s="83">
        <f t="shared" si="106"/>
        <v>0</v>
      </c>
      <c r="AZ90" s="83">
        <f t="shared" si="106"/>
        <v>0</v>
      </c>
      <c r="BA90" s="83">
        <f t="shared" si="106"/>
        <v>0</v>
      </c>
      <c r="BB90" s="83">
        <f t="shared" si="106"/>
        <v>0</v>
      </c>
      <c r="BC90" s="82">
        <f t="shared" si="106"/>
        <v>0</v>
      </c>
      <c r="BD90" s="82">
        <f t="shared" si="106"/>
        <v>0</v>
      </c>
      <c r="BE90" s="82">
        <f t="shared" si="106"/>
        <v>0</v>
      </c>
      <c r="BF90" s="256">
        <f t="shared" si="106"/>
        <v>0</v>
      </c>
      <c r="BG90" s="256">
        <f t="shared" si="107"/>
        <v>0</v>
      </c>
      <c r="BH90" s="256">
        <f t="shared" si="107"/>
        <v>0</v>
      </c>
      <c r="BI90" s="256">
        <f t="shared" si="107"/>
        <v>0</v>
      </c>
      <c r="BJ90" s="256">
        <f t="shared" si="107"/>
        <v>0</v>
      </c>
      <c r="BK90" s="256">
        <f t="shared" si="107"/>
        <v>0</v>
      </c>
      <c r="BL90" s="256">
        <f t="shared" si="107"/>
        <v>0</v>
      </c>
      <c r="BM90" s="256">
        <f t="shared" si="107"/>
        <v>0</v>
      </c>
      <c r="BN90" s="256">
        <f t="shared" si="107"/>
        <v>0</v>
      </c>
      <c r="BO90" s="256">
        <f t="shared" si="107"/>
        <v>0</v>
      </c>
      <c r="BP90" s="256">
        <f t="shared" si="107"/>
        <v>0</v>
      </c>
      <c r="BQ90" s="256">
        <f t="shared" si="108"/>
        <v>0</v>
      </c>
      <c r="BR90" s="256">
        <f t="shared" si="108"/>
        <v>0</v>
      </c>
    </row>
    <row r="91" spans="1:70" x14ac:dyDescent="0.25">
      <c r="A91" s="4"/>
      <c r="B91" s="35" t="s">
        <v>40</v>
      </c>
      <c r="C91" s="190"/>
      <c r="D91" s="191"/>
      <c r="E91" s="191"/>
      <c r="F91" s="191"/>
      <c r="G91" s="191"/>
      <c r="H91" s="191"/>
      <c r="I91" s="191"/>
      <c r="J91" s="191"/>
      <c r="K91" s="191"/>
      <c r="L91" s="192"/>
      <c r="M91" s="191"/>
      <c r="N91" s="191"/>
      <c r="O91" s="191"/>
      <c r="P91" s="191"/>
      <c r="Q91" s="191"/>
      <c r="R91" s="191"/>
      <c r="S91" s="191"/>
      <c r="T91" s="191"/>
      <c r="U91" s="193"/>
      <c r="V91" s="324"/>
      <c r="W91" s="324"/>
      <c r="X91" s="192"/>
      <c r="Y91" s="324"/>
      <c r="Z91" s="324"/>
      <c r="AA91" s="324"/>
      <c r="AB91" s="324"/>
      <c r="AC91" s="192"/>
      <c r="AD91" s="192"/>
      <c r="AE91" s="324"/>
      <c r="AF91" s="324"/>
      <c r="AG91" s="324"/>
      <c r="AH91" s="324"/>
      <c r="AI91" s="324"/>
      <c r="AJ91" s="193"/>
      <c r="AK91" s="324"/>
      <c r="AL91" s="324"/>
      <c r="AM91" s="324"/>
      <c r="AN91" s="324"/>
      <c r="AO91" s="324"/>
      <c r="AP91" s="324"/>
      <c r="AQ91" s="324"/>
      <c r="AR91" s="324"/>
      <c r="AS91" s="324"/>
      <c r="AT91" s="324"/>
      <c r="AU91" s="324"/>
      <c r="AV91" s="324"/>
      <c r="AW91" s="83">
        <f t="shared" si="106"/>
        <v>0</v>
      </c>
      <c r="AX91" s="83">
        <f t="shared" si="106"/>
        <v>0</v>
      </c>
      <c r="AY91" s="83">
        <f t="shared" si="106"/>
        <v>0</v>
      </c>
      <c r="AZ91" s="83">
        <f t="shared" si="106"/>
        <v>0</v>
      </c>
      <c r="BA91" s="83">
        <f t="shared" si="106"/>
        <v>0</v>
      </c>
      <c r="BB91" s="83">
        <f t="shared" si="106"/>
        <v>0</v>
      </c>
      <c r="BC91" s="82">
        <f t="shared" si="106"/>
        <v>0</v>
      </c>
      <c r="BD91" s="82">
        <f t="shared" si="106"/>
        <v>0</v>
      </c>
      <c r="BE91" s="82">
        <f t="shared" si="106"/>
        <v>0</v>
      </c>
      <c r="BF91" s="256">
        <f t="shared" si="106"/>
        <v>0</v>
      </c>
      <c r="BG91" s="256">
        <f t="shared" si="107"/>
        <v>0</v>
      </c>
      <c r="BH91" s="256">
        <f t="shared" si="107"/>
        <v>0</v>
      </c>
      <c r="BI91" s="256">
        <f t="shared" si="107"/>
        <v>0</v>
      </c>
      <c r="BJ91" s="256">
        <f t="shared" si="107"/>
        <v>0</v>
      </c>
      <c r="BK91" s="256">
        <f t="shared" si="107"/>
        <v>0</v>
      </c>
      <c r="BL91" s="256">
        <f t="shared" si="107"/>
        <v>0</v>
      </c>
      <c r="BM91" s="256">
        <f t="shared" si="107"/>
        <v>0</v>
      </c>
      <c r="BN91" s="256">
        <f t="shared" si="107"/>
        <v>0</v>
      </c>
      <c r="BO91" s="256">
        <f t="shared" si="107"/>
        <v>0</v>
      </c>
      <c r="BP91" s="256">
        <f t="shared" si="107"/>
        <v>0</v>
      </c>
      <c r="BQ91" s="256">
        <f t="shared" si="108"/>
        <v>0</v>
      </c>
      <c r="BR91" s="256">
        <f t="shared" si="108"/>
        <v>0</v>
      </c>
    </row>
    <row r="92" spans="1:70" x14ac:dyDescent="0.25">
      <c r="A92" s="4"/>
      <c r="B92" s="35" t="s">
        <v>41</v>
      </c>
      <c r="C92" s="156">
        <f>SUM(C87:C91)</f>
        <v>0</v>
      </c>
      <c r="D92" s="191">
        <f>SUM(D87:D91)</f>
        <v>0</v>
      </c>
      <c r="E92" s="191">
        <f t="shared" ref="E92:BC92" si="109">SUM(E87:E91)</f>
        <v>0</v>
      </c>
      <c r="F92" s="191">
        <f t="shared" si="109"/>
        <v>0</v>
      </c>
      <c r="G92" s="191">
        <f t="shared" si="109"/>
        <v>0</v>
      </c>
      <c r="H92" s="191">
        <f t="shared" si="109"/>
        <v>0</v>
      </c>
      <c r="I92" s="191">
        <f t="shared" si="109"/>
        <v>0</v>
      </c>
      <c r="J92" s="191">
        <f t="shared" si="109"/>
        <v>0</v>
      </c>
      <c r="K92" s="191">
        <f t="shared" si="109"/>
        <v>0</v>
      </c>
      <c r="L92" s="192">
        <f t="shared" si="109"/>
        <v>0</v>
      </c>
      <c r="M92" s="191">
        <f t="shared" si="109"/>
        <v>0</v>
      </c>
      <c r="N92" s="191">
        <f t="shared" si="109"/>
        <v>0</v>
      </c>
      <c r="O92" s="191">
        <f t="shared" si="109"/>
        <v>0</v>
      </c>
      <c r="P92" s="191">
        <f t="shared" si="109"/>
        <v>0</v>
      </c>
      <c r="Q92" s="191">
        <f t="shared" si="109"/>
        <v>0</v>
      </c>
      <c r="R92" s="191">
        <f t="shared" si="109"/>
        <v>0</v>
      </c>
      <c r="S92" s="191">
        <f t="shared" si="109"/>
        <v>0</v>
      </c>
      <c r="T92" s="191">
        <f t="shared" si="109"/>
        <v>0</v>
      </c>
      <c r="U92" s="193">
        <f t="shared" si="109"/>
        <v>0</v>
      </c>
      <c r="V92" s="324"/>
      <c r="W92" s="324"/>
      <c r="X92" s="192"/>
      <c r="Y92" s="324"/>
      <c r="Z92" s="324"/>
      <c r="AA92" s="324"/>
      <c r="AB92" s="324"/>
      <c r="AC92" s="192"/>
      <c r="AD92" s="192"/>
      <c r="AE92" s="324"/>
      <c r="AF92" s="324"/>
      <c r="AG92" s="324"/>
      <c r="AH92" s="324"/>
      <c r="AI92" s="324"/>
      <c r="AJ92" s="193"/>
      <c r="AK92" s="324"/>
      <c r="AL92" s="324"/>
      <c r="AM92" s="324"/>
      <c r="AN92" s="324"/>
      <c r="AO92" s="324"/>
      <c r="AP92" s="324"/>
      <c r="AQ92" s="324"/>
      <c r="AR92" s="324"/>
      <c r="AS92" s="324"/>
      <c r="AT92" s="324"/>
      <c r="AU92" s="324"/>
      <c r="AV92" s="324"/>
      <c r="AW92" s="191">
        <f t="shared" si="109"/>
        <v>0</v>
      </c>
      <c r="AX92" s="191">
        <f t="shared" si="109"/>
        <v>0</v>
      </c>
      <c r="AY92" s="191">
        <f t="shared" si="109"/>
        <v>0</v>
      </c>
      <c r="AZ92" s="191">
        <f t="shared" si="109"/>
        <v>0</v>
      </c>
      <c r="BA92" s="191">
        <f t="shared" si="109"/>
        <v>0</v>
      </c>
      <c r="BB92" s="191">
        <f t="shared" si="109"/>
        <v>0</v>
      </c>
      <c r="BC92" s="194">
        <f t="shared" si="109"/>
        <v>0</v>
      </c>
      <c r="BD92" s="82">
        <f t="shared" ref="BD92:BR92" si="110">J92-V92</f>
        <v>0</v>
      </c>
      <c r="BE92" s="82">
        <f t="shared" si="110"/>
        <v>0</v>
      </c>
      <c r="BF92" s="256">
        <f t="shared" si="110"/>
        <v>0</v>
      </c>
      <c r="BG92" s="256">
        <f t="shared" si="110"/>
        <v>0</v>
      </c>
      <c r="BH92" s="256">
        <f t="shared" si="110"/>
        <v>0</v>
      </c>
      <c r="BI92" s="256">
        <f t="shared" si="110"/>
        <v>0</v>
      </c>
      <c r="BJ92" s="256">
        <f t="shared" si="110"/>
        <v>0</v>
      </c>
      <c r="BK92" s="256">
        <f t="shared" si="110"/>
        <v>0</v>
      </c>
      <c r="BL92" s="256">
        <f t="shared" si="110"/>
        <v>0</v>
      </c>
      <c r="BM92" s="256">
        <f t="shared" si="110"/>
        <v>0</v>
      </c>
      <c r="BN92" s="256">
        <f t="shared" si="110"/>
        <v>0</v>
      </c>
      <c r="BO92" s="256">
        <f t="shared" si="110"/>
        <v>0</v>
      </c>
      <c r="BP92" s="256">
        <f t="shared" si="110"/>
        <v>0</v>
      </c>
      <c r="BQ92" s="256">
        <f t="shared" si="110"/>
        <v>0</v>
      </c>
      <c r="BR92" s="256">
        <f t="shared" si="110"/>
        <v>0</v>
      </c>
    </row>
    <row r="93" spans="1:70" x14ac:dyDescent="0.25">
      <c r="A93" s="4">
        <f>+A86+1</f>
        <v>13</v>
      </c>
      <c r="B93" s="43" t="s">
        <v>43</v>
      </c>
      <c r="C93" s="90"/>
      <c r="D93" s="91"/>
      <c r="E93" s="91"/>
      <c r="F93" s="91"/>
      <c r="G93" s="91"/>
      <c r="H93" s="91"/>
      <c r="I93" s="91"/>
      <c r="J93" s="91"/>
      <c r="K93" s="91"/>
      <c r="L93" s="92"/>
      <c r="M93" s="93"/>
      <c r="N93" s="91"/>
      <c r="O93" s="93"/>
      <c r="P93" s="91"/>
      <c r="Q93" s="91"/>
      <c r="R93" s="91"/>
      <c r="S93" s="91"/>
      <c r="T93" s="91"/>
      <c r="U93" s="182"/>
      <c r="V93" s="323"/>
      <c r="W93" s="323"/>
      <c r="X93" s="168"/>
      <c r="Y93" s="323"/>
      <c r="Z93" s="323"/>
      <c r="AA93" s="323"/>
      <c r="AB93" s="323"/>
      <c r="AC93" s="168"/>
      <c r="AD93" s="168"/>
      <c r="AE93" s="323"/>
      <c r="AF93" s="323"/>
      <c r="AG93" s="323"/>
      <c r="AH93" s="323"/>
      <c r="AI93" s="323"/>
      <c r="AJ93" s="181"/>
      <c r="AK93" s="323"/>
      <c r="AL93" s="323"/>
      <c r="AM93" s="323"/>
      <c r="AN93" s="323"/>
      <c r="AO93" s="323"/>
      <c r="AP93" s="323"/>
      <c r="AQ93" s="323"/>
      <c r="AR93" s="323"/>
      <c r="AS93" s="323"/>
      <c r="AT93" s="323"/>
      <c r="AU93" s="323"/>
      <c r="AV93" s="323"/>
      <c r="AW93" s="85"/>
      <c r="AX93" s="94"/>
      <c r="AY93" s="95"/>
      <c r="AZ93" s="95"/>
      <c r="BA93" s="95"/>
      <c r="BB93" s="95"/>
      <c r="BC93" s="96"/>
      <c r="BD93" s="231"/>
      <c r="BE93" s="231"/>
      <c r="BF93" s="231"/>
      <c r="BG93" s="404"/>
      <c r="BH93" s="212"/>
      <c r="BI93" s="410"/>
      <c r="BJ93" s="410"/>
      <c r="BK93" s="410"/>
      <c r="BL93" s="410"/>
      <c r="BM93" s="410"/>
      <c r="BN93" s="410"/>
      <c r="BO93" s="410"/>
      <c r="BP93" s="410"/>
      <c r="BQ93" s="410"/>
      <c r="BR93" s="410"/>
    </row>
    <row r="94" spans="1:70" x14ac:dyDescent="0.25">
      <c r="A94" s="4"/>
      <c r="B94" s="35" t="s">
        <v>36</v>
      </c>
      <c r="C94" s="97">
        <f>C80+C87</f>
        <v>7320652</v>
      </c>
      <c r="D94" s="98">
        <f t="shared" ref="D94:V98" si="111">D80+D87</f>
        <v>5383472</v>
      </c>
      <c r="E94" s="98">
        <f t="shared" si="111"/>
        <v>2835928</v>
      </c>
      <c r="F94" s="98">
        <f t="shared" si="111"/>
        <v>1635234</v>
      </c>
      <c r="G94" s="98">
        <f t="shared" si="111"/>
        <v>1190977</v>
      </c>
      <c r="H94" s="98">
        <f t="shared" si="111"/>
        <v>1073742</v>
      </c>
      <c r="I94" s="98">
        <f t="shared" si="111"/>
        <v>1093327</v>
      </c>
      <c r="J94" s="98">
        <f t="shared" si="111"/>
        <v>1204853</v>
      </c>
      <c r="K94" s="98">
        <f t="shared" si="111"/>
        <v>2832598</v>
      </c>
      <c r="L94" s="99">
        <f t="shared" si="111"/>
        <v>6007193</v>
      </c>
      <c r="M94" s="98">
        <f t="shared" si="111"/>
        <v>7862432</v>
      </c>
      <c r="N94" s="89">
        <f t="shared" si="111"/>
        <v>6861669</v>
      </c>
      <c r="O94" s="98">
        <f t="shared" si="111"/>
        <v>6223104</v>
      </c>
      <c r="P94" s="98">
        <f t="shared" si="111"/>
        <v>5136594</v>
      </c>
      <c r="Q94" s="98">
        <f t="shared" si="111"/>
        <v>3970052</v>
      </c>
      <c r="R94" s="98">
        <f t="shared" si="111"/>
        <v>1581867</v>
      </c>
      <c r="S94" s="98">
        <f t="shared" si="111"/>
        <v>1194981</v>
      </c>
      <c r="T94" s="98">
        <f t="shared" si="111"/>
        <v>1166766</v>
      </c>
      <c r="U94" s="98">
        <f t="shared" si="111"/>
        <v>1163542.1200000001</v>
      </c>
      <c r="V94" s="98">
        <f t="shared" si="111"/>
        <v>1380254</v>
      </c>
      <c r="W94" s="98">
        <f t="shared" ref="W94:AC98" si="112">W80+W87</f>
        <v>2575289</v>
      </c>
      <c r="X94" s="99">
        <f t="shared" si="112"/>
        <v>5138197</v>
      </c>
      <c r="Y94" s="99">
        <f t="shared" si="112"/>
        <v>8339408</v>
      </c>
      <c r="Z94" s="99">
        <f t="shared" si="112"/>
        <v>7933783</v>
      </c>
      <c r="AA94" s="99">
        <f t="shared" si="112"/>
        <v>7425714</v>
      </c>
      <c r="AB94" s="99">
        <f t="shared" si="112"/>
        <v>5296039</v>
      </c>
      <c r="AC94" s="99">
        <f t="shared" si="112"/>
        <v>3161210</v>
      </c>
      <c r="AD94" s="99">
        <f t="shared" ref="AD94:AI98" si="113">AD80+AD87</f>
        <v>1684660.5399999998</v>
      </c>
      <c r="AE94" s="99">
        <f t="shared" si="113"/>
        <v>1261199</v>
      </c>
      <c r="AF94" s="99">
        <f t="shared" si="113"/>
        <v>1298784</v>
      </c>
      <c r="AG94" s="99">
        <f t="shared" si="113"/>
        <v>1225089</v>
      </c>
      <c r="AH94" s="99">
        <f t="shared" si="113"/>
        <v>1290956</v>
      </c>
      <c r="AI94" s="99">
        <f t="shared" si="113"/>
        <v>2808047</v>
      </c>
      <c r="AJ94" s="180">
        <f t="shared" ref="AJ94:AN94" si="114">AJ80+AJ87</f>
        <v>7373327</v>
      </c>
      <c r="AK94" s="99">
        <f t="shared" si="114"/>
        <v>10382398</v>
      </c>
      <c r="AL94" s="99">
        <f t="shared" si="114"/>
        <v>11888020</v>
      </c>
      <c r="AM94" s="99">
        <f t="shared" si="114"/>
        <v>9458282</v>
      </c>
      <c r="AN94" s="99">
        <f t="shared" si="114"/>
        <v>8139542</v>
      </c>
      <c r="AO94" s="749">
        <f>79900+3939595+16887</f>
        <v>4036382</v>
      </c>
      <c r="AP94" s="749">
        <f>SUM(72043,2146103,10919)</f>
        <v>2229065</v>
      </c>
      <c r="AQ94" s="749">
        <f>77264+2088544+9787</f>
        <v>2175595</v>
      </c>
      <c r="AR94" s="749">
        <f>61750+1582977+8242</f>
        <v>1652969</v>
      </c>
      <c r="AS94" s="98"/>
      <c r="AT94" s="98"/>
      <c r="AU94" s="98"/>
      <c r="AV94" s="98"/>
      <c r="AW94" s="89">
        <f t="shared" ref="AW94:BF98" si="115">C94-O94</f>
        <v>1097548</v>
      </c>
      <c r="AX94" s="89">
        <f t="shared" si="115"/>
        <v>246878</v>
      </c>
      <c r="AY94" s="89">
        <f t="shared" si="115"/>
        <v>-1134124</v>
      </c>
      <c r="AZ94" s="89">
        <f t="shared" si="115"/>
        <v>53367</v>
      </c>
      <c r="BA94" s="89">
        <f t="shared" si="115"/>
        <v>-4004</v>
      </c>
      <c r="BB94" s="89">
        <f t="shared" si="115"/>
        <v>-93024</v>
      </c>
      <c r="BC94" s="88">
        <f t="shared" si="115"/>
        <v>-70215.120000000112</v>
      </c>
      <c r="BD94" s="88">
        <f t="shared" si="115"/>
        <v>-175401</v>
      </c>
      <c r="BE94" s="88">
        <f t="shared" si="115"/>
        <v>257309</v>
      </c>
      <c r="BF94" s="259">
        <f t="shared" si="115"/>
        <v>868996</v>
      </c>
      <c r="BG94" s="259">
        <f t="shared" ref="BG94:BP98" si="116">M94-Y94</f>
        <v>-476976</v>
      </c>
      <c r="BH94" s="259">
        <f t="shared" si="116"/>
        <v>-1072114</v>
      </c>
      <c r="BI94" s="259">
        <f t="shared" si="116"/>
        <v>-1202610</v>
      </c>
      <c r="BJ94" s="259">
        <f t="shared" si="116"/>
        <v>-159445</v>
      </c>
      <c r="BK94" s="259">
        <f t="shared" si="116"/>
        <v>808842</v>
      </c>
      <c r="BL94" s="259">
        <f t="shared" si="116"/>
        <v>-102793.5399999998</v>
      </c>
      <c r="BM94" s="259">
        <f t="shared" si="116"/>
        <v>-66218</v>
      </c>
      <c r="BN94" s="259">
        <f t="shared" si="116"/>
        <v>-132018</v>
      </c>
      <c r="BO94" s="259">
        <f t="shared" si="116"/>
        <v>-61546.879999999888</v>
      </c>
      <c r="BP94" s="259">
        <f t="shared" si="116"/>
        <v>89298</v>
      </c>
      <c r="BQ94" s="259">
        <f t="shared" ref="BQ94:BR98" si="117">W94-AI94</f>
        <v>-232758</v>
      </c>
      <c r="BR94" s="259">
        <f t="shared" si="117"/>
        <v>-2235130</v>
      </c>
    </row>
    <row r="95" spans="1:70" x14ac:dyDescent="0.25">
      <c r="A95" s="4"/>
      <c r="B95" s="35" t="s">
        <v>37</v>
      </c>
      <c r="C95" s="97">
        <f>C81+C88</f>
        <v>1333487</v>
      </c>
      <c r="D95" s="98">
        <f t="shared" ref="D95:R95" si="118">D81+D88</f>
        <v>958085</v>
      </c>
      <c r="E95" s="98">
        <f t="shared" si="118"/>
        <v>508395</v>
      </c>
      <c r="F95" s="98">
        <f t="shared" si="118"/>
        <v>288279</v>
      </c>
      <c r="G95" s="98">
        <f t="shared" si="118"/>
        <v>199067</v>
      </c>
      <c r="H95" s="98">
        <f t="shared" si="118"/>
        <v>185727</v>
      </c>
      <c r="I95" s="98">
        <f t="shared" si="118"/>
        <v>191423</v>
      </c>
      <c r="J95" s="98">
        <f t="shared" si="118"/>
        <v>225239</v>
      </c>
      <c r="K95" s="98">
        <f t="shared" si="118"/>
        <v>582954</v>
      </c>
      <c r="L95" s="99">
        <f t="shared" si="118"/>
        <v>1116062</v>
      </c>
      <c r="M95" s="98">
        <f t="shared" si="118"/>
        <v>1429370</v>
      </c>
      <c r="N95" s="89">
        <f t="shared" si="118"/>
        <v>1214330</v>
      </c>
      <c r="O95" s="98">
        <f t="shared" si="118"/>
        <v>1133263</v>
      </c>
      <c r="P95" s="98">
        <f t="shared" si="118"/>
        <v>949503</v>
      </c>
      <c r="Q95" s="98">
        <f t="shared" si="118"/>
        <v>690439</v>
      </c>
      <c r="R95" s="98">
        <f t="shared" si="118"/>
        <v>267576</v>
      </c>
      <c r="S95" s="98">
        <f t="shared" si="111"/>
        <v>191044</v>
      </c>
      <c r="T95" s="98">
        <f t="shared" si="111"/>
        <v>196521</v>
      </c>
      <c r="U95" s="98">
        <f t="shared" ref="U95:V98" si="119">U81+U88</f>
        <v>195920.27</v>
      </c>
      <c r="V95" s="98">
        <f t="shared" si="119"/>
        <v>246100</v>
      </c>
      <c r="W95" s="98">
        <f t="shared" si="112"/>
        <v>505107</v>
      </c>
      <c r="X95" s="99">
        <f t="shared" si="112"/>
        <v>987910</v>
      </c>
      <c r="Y95" s="99">
        <f t="shared" si="112"/>
        <v>1444116</v>
      </c>
      <c r="Z95" s="99">
        <f t="shared" si="112"/>
        <v>1395746</v>
      </c>
      <c r="AA95" s="99">
        <f t="shared" si="112"/>
        <v>1259525</v>
      </c>
      <c r="AB95" s="99">
        <f t="shared" ref="AB95:AC98" si="120">AB81+AB88</f>
        <v>846537</v>
      </c>
      <c r="AC95" s="99">
        <f t="shared" si="120"/>
        <v>564271</v>
      </c>
      <c r="AD95" s="99">
        <f t="shared" si="113"/>
        <v>247702.00999999998</v>
      </c>
      <c r="AE95" s="99">
        <f t="shared" si="113"/>
        <v>169120</v>
      </c>
      <c r="AF95" s="99">
        <f t="shared" si="113"/>
        <v>239074</v>
      </c>
      <c r="AG95" s="99">
        <f t="shared" si="113"/>
        <v>212229</v>
      </c>
      <c r="AH95" s="99">
        <f t="shared" ref="AH95:AI95" si="121">AH81+AH88</f>
        <v>229178</v>
      </c>
      <c r="AI95" s="99">
        <f t="shared" si="121"/>
        <v>607293</v>
      </c>
      <c r="AJ95" s="180">
        <f t="shared" ref="AJ95:AN95" si="122">AJ81+AJ88</f>
        <v>1351125</v>
      </c>
      <c r="AK95" s="99">
        <f t="shared" si="122"/>
        <v>1872527</v>
      </c>
      <c r="AL95" s="99">
        <f t="shared" si="122"/>
        <v>2106974</v>
      </c>
      <c r="AM95" s="99">
        <f t="shared" si="122"/>
        <v>1689470</v>
      </c>
      <c r="AN95" s="99">
        <f t="shared" si="122"/>
        <v>1634486</v>
      </c>
      <c r="AO95" s="749">
        <f>7932+769701</f>
        <v>777633</v>
      </c>
      <c r="AP95" s="749">
        <f>SUM(7060,385923)</f>
        <v>392983</v>
      </c>
      <c r="AQ95" s="749">
        <f>7169+394329</f>
        <v>401498</v>
      </c>
      <c r="AR95" s="749">
        <f>5449+291696</f>
        <v>297145</v>
      </c>
      <c r="AS95" s="98"/>
      <c r="AT95" s="98"/>
      <c r="AU95" s="98"/>
      <c r="AV95" s="98"/>
      <c r="AW95" s="89">
        <f t="shared" si="115"/>
        <v>200224</v>
      </c>
      <c r="AX95" s="89">
        <f t="shared" si="115"/>
        <v>8582</v>
      </c>
      <c r="AY95" s="89">
        <f t="shared" si="115"/>
        <v>-182044</v>
      </c>
      <c r="AZ95" s="89">
        <f t="shared" si="115"/>
        <v>20703</v>
      </c>
      <c r="BA95" s="89">
        <f t="shared" si="115"/>
        <v>8023</v>
      </c>
      <c r="BB95" s="89">
        <f t="shared" si="115"/>
        <v>-10794</v>
      </c>
      <c r="BC95" s="88">
        <f t="shared" si="115"/>
        <v>-4497.2699999999895</v>
      </c>
      <c r="BD95" s="88">
        <f t="shared" si="115"/>
        <v>-20861</v>
      </c>
      <c r="BE95" s="88">
        <f t="shared" si="115"/>
        <v>77847</v>
      </c>
      <c r="BF95" s="259">
        <f t="shared" si="115"/>
        <v>128152</v>
      </c>
      <c r="BG95" s="259">
        <f t="shared" si="116"/>
        <v>-14746</v>
      </c>
      <c r="BH95" s="259">
        <f t="shared" si="116"/>
        <v>-181416</v>
      </c>
      <c r="BI95" s="259">
        <f t="shared" si="116"/>
        <v>-126262</v>
      </c>
      <c r="BJ95" s="259">
        <f t="shared" si="116"/>
        <v>102966</v>
      </c>
      <c r="BK95" s="259">
        <f t="shared" si="116"/>
        <v>126168</v>
      </c>
      <c r="BL95" s="259">
        <f t="shared" si="116"/>
        <v>19873.99000000002</v>
      </c>
      <c r="BM95" s="259">
        <f t="shared" si="116"/>
        <v>21924</v>
      </c>
      <c r="BN95" s="259">
        <f t="shared" si="116"/>
        <v>-42553</v>
      </c>
      <c r="BO95" s="259">
        <f t="shared" si="116"/>
        <v>-16308.73000000001</v>
      </c>
      <c r="BP95" s="259">
        <f t="shared" si="116"/>
        <v>16922</v>
      </c>
      <c r="BQ95" s="259">
        <f t="shared" si="117"/>
        <v>-102186</v>
      </c>
      <c r="BR95" s="259">
        <f t="shared" si="117"/>
        <v>-363215</v>
      </c>
    </row>
    <row r="96" spans="1:70" x14ac:dyDescent="0.25">
      <c r="A96" s="4"/>
      <c r="B96" s="35" t="s">
        <v>38</v>
      </c>
      <c r="C96" s="97">
        <f>C82+C89</f>
        <v>1375645</v>
      </c>
      <c r="D96" s="98">
        <f t="shared" si="111"/>
        <v>923452</v>
      </c>
      <c r="E96" s="98">
        <f t="shared" si="111"/>
        <v>464298</v>
      </c>
      <c r="F96" s="98">
        <f t="shared" si="111"/>
        <v>262485</v>
      </c>
      <c r="G96" s="98">
        <f t="shared" si="111"/>
        <v>183929</v>
      </c>
      <c r="H96" s="98">
        <f t="shared" si="111"/>
        <v>161920</v>
      </c>
      <c r="I96" s="98">
        <f t="shared" si="111"/>
        <v>174763</v>
      </c>
      <c r="J96" s="98">
        <f t="shared" si="111"/>
        <v>203931</v>
      </c>
      <c r="K96" s="98">
        <f t="shared" si="111"/>
        <v>442864</v>
      </c>
      <c r="L96" s="99">
        <f t="shared" si="111"/>
        <v>1061728</v>
      </c>
      <c r="M96" s="98">
        <f t="shared" si="111"/>
        <v>1471763</v>
      </c>
      <c r="N96" s="89">
        <f t="shared" si="111"/>
        <v>1247966</v>
      </c>
      <c r="O96" s="98">
        <f t="shared" si="111"/>
        <v>1100675</v>
      </c>
      <c r="P96" s="98">
        <f t="shared" si="111"/>
        <v>841390</v>
      </c>
      <c r="Q96" s="98">
        <f t="shared" si="111"/>
        <v>560478</v>
      </c>
      <c r="R96" s="98">
        <f t="shared" si="111"/>
        <v>195767</v>
      </c>
      <c r="S96" s="98">
        <f t="shared" si="111"/>
        <v>170346</v>
      </c>
      <c r="T96" s="98">
        <f t="shared" si="111"/>
        <v>177695</v>
      </c>
      <c r="U96" s="98">
        <f t="shared" si="119"/>
        <v>144707.44</v>
      </c>
      <c r="V96" s="98">
        <f t="shared" si="119"/>
        <v>200859</v>
      </c>
      <c r="W96" s="98">
        <f t="shared" si="112"/>
        <v>386251</v>
      </c>
      <c r="X96" s="99">
        <f t="shared" si="112"/>
        <v>829481</v>
      </c>
      <c r="Y96" s="99">
        <f t="shared" si="112"/>
        <v>1484053</v>
      </c>
      <c r="Z96" s="99">
        <f t="shared" si="112"/>
        <v>1469815</v>
      </c>
      <c r="AA96" s="99">
        <f t="shared" si="112"/>
        <v>1333677</v>
      </c>
      <c r="AB96" s="99">
        <f t="shared" si="120"/>
        <v>873533</v>
      </c>
      <c r="AC96" s="99">
        <f t="shared" si="120"/>
        <v>492665</v>
      </c>
      <c r="AD96" s="99">
        <f t="shared" si="113"/>
        <v>239363</v>
      </c>
      <c r="AE96" s="99">
        <f t="shared" si="113"/>
        <v>185051</v>
      </c>
      <c r="AF96" s="99">
        <f t="shared" si="113"/>
        <v>193515</v>
      </c>
      <c r="AG96" s="99">
        <f t="shared" si="113"/>
        <v>200269</v>
      </c>
      <c r="AH96" s="99">
        <f t="shared" ref="AH96:AI96" si="123">AH82+AH89</f>
        <v>202701</v>
      </c>
      <c r="AI96" s="99">
        <f t="shared" si="123"/>
        <v>438898</v>
      </c>
      <c r="AJ96" s="180">
        <f t="shared" ref="AJ96:AN96" si="124">AJ82+AJ89</f>
        <v>1175731</v>
      </c>
      <c r="AK96" s="99">
        <f t="shared" si="124"/>
        <v>1822448</v>
      </c>
      <c r="AL96" s="99">
        <f t="shared" si="124"/>
        <v>2197462</v>
      </c>
      <c r="AM96" s="99">
        <f t="shared" si="124"/>
        <v>1765951</v>
      </c>
      <c r="AN96" s="99">
        <f t="shared" si="124"/>
        <v>1387730</v>
      </c>
      <c r="AO96" s="749">
        <f>460239+138468+30106+6234</f>
        <v>635047</v>
      </c>
      <c r="AP96" s="749">
        <f>SUM(243800,114659,16315,6720)</f>
        <v>381494</v>
      </c>
      <c r="AQ96" s="749">
        <f>170370+145657+14079+4067</f>
        <v>334173</v>
      </c>
      <c r="AR96" s="749">
        <f>82828+105498+11222+4908</f>
        <v>204456</v>
      </c>
      <c r="AS96" s="98"/>
      <c r="AT96" s="98"/>
      <c r="AU96" s="98"/>
      <c r="AV96" s="98"/>
      <c r="AW96" s="89">
        <f t="shared" si="115"/>
        <v>274970</v>
      </c>
      <c r="AX96" s="89">
        <f t="shared" si="115"/>
        <v>82062</v>
      </c>
      <c r="AY96" s="89">
        <f t="shared" si="115"/>
        <v>-96180</v>
      </c>
      <c r="AZ96" s="89">
        <f t="shared" si="115"/>
        <v>66718</v>
      </c>
      <c r="BA96" s="89">
        <f t="shared" si="115"/>
        <v>13583</v>
      </c>
      <c r="BB96" s="89">
        <f t="shared" si="115"/>
        <v>-15775</v>
      </c>
      <c r="BC96" s="88">
        <f t="shared" si="115"/>
        <v>30055.559999999998</v>
      </c>
      <c r="BD96" s="88">
        <f t="shared" si="115"/>
        <v>3072</v>
      </c>
      <c r="BE96" s="88">
        <f t="shared" si="115"/>
        <v>56613</v>
      </c>
      <c r="BF96" s="259">
        <f t="shared" si="115"/>
        <v>232247</v>
      </c>
      <c r="BG96" s="259">
        <f t="shared" si="116"/>
        <v>-12290</v>
      </c>
      <c r="BH96" s="259">
        <f t="shared" si="116"/>
        <v>-221849</v>
      </c>
      <c r="BI96" s="259">
        <f t="shared" si="116"/>
        <v>-233002</v>
      </c>
      <c r="BJ96" s="259">
        <f t="shared" si="116"/>
        <v>-32143</v>
      </c>
      <c r="BK96" s="259">
        <f t="shared" si="116"/>
        <v>67813</v>
      </c>
      <c r="BL96" s="259">
        <f t="shared" si="116"/>
        <v>-43596</v>
      </c>
      <c r="BM96" s="259">
        <f t="shared" si="116"/>
        <v>-14705</v>
      </c>
      <c r="BN96" s="259">
        <f t="shared" si="116"/>
        <v>-15820</v>
      </c>
      <c r="BO96" s="259">
        <f t="shared" si="116"/>
        <v>-55561.56</v>
      </c>
      <c r="BP96" s="259">
        <f t="shared" si="116"/>
        <v>-1842</v>
      </c>
      <c r="BQ96" s="259">
        <f t="shared" si="117"/>
        <v>-52647</v>
      </c>
      <c r="BR96" s="259">
        <f t="shared" si="117"/>
        <v>-346250</v>
      </c>
    </row>
    <row r="97" spans="1:70" x14ac:dyDescent="0.25">
      <c r="A97" s="4"/>
      <c r="B97" s="35" t="s">
        <v>39</v>
      </c>
      <c r="C97" s="97">
        <f>C83+C90</f>
        <v>1666953</v>
      </c>
      <c r="D97" s="98">
        <f t="shared" si="111"/>
        <v>1501755</v>
      </c>
      <c r="E97" s="98">
        <f t="shared" si="111"/>
        <v>726742</v>
      </c>
      <c r="F97" s="98">
        <f t="shared" si="111"/>
        <v>-52742</v>
      </c>
      <c r="G97" s="98">
        <f t="shared" si="111"/>
        <v>186325</v>
      </c>
      <c r="H97" s="98">
        <f t="shared" si="111"/>
        <v>169635</v>
      </c>
      <c r="I97" s="98">
        <f t="shared" si="111"/>
        <v>207469</v>
      </c>
      <c r="J97" s="98">
        <f t="shared" si="111"/>
        <v>242404</v>
      </c>
      <c r="K97" s="98">
        <f t="shared" si="111"/>
        <v>626174</v>
      </c>
      <c r="L97" s="99">
        <f t="shared" si="111"/>
        <v>1231489</v>
      </c>
      <c r="M97" s="98">
        <f t="shared" si="111"/>
        <v>1713085</v>
      </c>
      <c r="N97" s="89">
        <f t="shared" si="111"/>
        <v>1512733</v>
      </c>
      <c r="O97" s="98">
        <f t="shared" si="111"/>
        <v>1355241</v>
      </c>
      <c r="P97" s="98">
        <f t="shared" si="111"/>
        <v>1105188</v>
      </c>
      <c r="Q97" s="98">
        <f t="shared" si="111"/>
        <v>762300</v>
      </c>
      <c r="R97" s="98">
        <f t="shared" si="111"/>
        <v>249344</v>
      </c>
      <c r="S97" s="98">
        <f t="shared" si="111"/>
        <v>185610</v>
      </c>
      <c r="T97" s="98">
        <f t="shared" si="111"/>
        <v>179786</v>
      </c>
      <c r="U97" s="98">
        <f t="shared" si="119"/>
        <v>130804.54</v>
      </c>
      <c r="V97" s="98">
        <f t="shared" si="119"/>
        <v>263748</v>
      </c>
      <c r="W97" s="98">
        <f t="shared" si="112"/>
        <v>537158</v>
      </c>
      <c r="X97" s="99">
        <f t="shared" si="112"/>
        <v>1068823</v>
      </c>
      <c r="Y97" s="99">
        <f t="shared" si="112"/>
        <v>1851485</v>
      </c>
      <c r="Z97" s="99">
        <f t="shared" si="112"/>
        <v>1665615</v>
      </c>
      <c r="AA97" s="99">
        <f t="shared" si="112"/>
        <v>1628238</v>
      </c>
      <c r="AB97" s="99">
        <f t="shared" si="120"/>
        <v>1214548</v>
      </c>
      <c r="AC97" s="99">
        <f t="shared" si="120"/>
        <v>696013</v>
      </c>
      <c r="AD97" s="99">
        <f t="shared" si="113"/>
        <v>332034.40999999997</v>
      </c>
      <c r="AE97" s="99">
        <f t="shared" si="113"/>
        <v>225214</v>
      </c>
      <c r="AF97" s="99">
        <f t="shared" si="113"/>
        <v>222079</v>
      </c>
      <c r="AG97" s="99">
        <f t="shared" si="113"/>
        <v>125540</v>
      </c>
      <c r="AH97" s="99">
        <f t="shared" ref="AH97:AI97" si="125">AH83+AH90</f>
        <v>208930</v>
      </c>
      <c r="AI97" s="99">
        <f t="shared" si="125"/>
        <v>695033</v>
      </c>
      <c r="AJ97" s="180">
        <f t="shared" ref="AJ97:AN97" si="126">AJ83+AJ90</f>
        <v>1544011</v>
      </c>
      <c r="AK97" s="99">
        <f t="shared" si="126"/>
        <v>2022301</v>
      </c>
      <c r="AL97" s="99">
        <f t="shared" si="126"/>
        <v>2432836</v>
      </c>
      <c r="AM97" s="99">
        <f t="shared" si="126"/>
        <v>2023591</v>
      </c>
      <c r="AN97" s="99">
        <f t="shared" si="126"/>
        <v>1901450</v>
      </c>
      <c r="AO97" s="749">
        <f>507062+222711+203217+72282</f>
        <v>1005272</v>
      </c>
      <c r="AP97" s="749">
        <f>SUM(133468,671824,132875,54740)</f>
        <v>992907</v>
      </c>
      <c r="AQ97" s="749">
        <f>92208+183397+44557+44584</f>
        <v>364746</v>
      </c>
      <c r="AR97" s="749">
        <f>72778+218700+38545+40035</f>
        <v>370058</v>
      </c>
      <c r="AS97" s="98"/>
      <c r="AT97" s="98"/>
      <c r="AU97" s="98"/>
      <c r="AV97" s="98"/>
      <c r="AW97" s="89">
        <f t="shared" si="115"/>
        <v>311712</v>
      </c>
      <c r="AX97" s="89">
        <f t="shared" si="115"/>
        <v>396567</v>
      </c>
      <c r="AY97" s="89">
        <f t="shared" si="115"/>
        <v>-35558</v>
      </c>
      <c r="AZ97" s="89">
        <f t="shared" si="115"/>
        <v>-302086</v>
      </c>
      <c r="BA97" s="89">
        <f t="shared" si="115"/>
        <v>715</v>
      </c>
      <c r="BB97" s="89">
        <f t="shared" si="115"/>
        <v>-10151</v>
      </c>
      <c r="BC97" s="88">
        <f t="shared" si="115"/>
        <v>76664.460000000006</v>
      </c>
      <c r="BD97" s="88">
        <f t="shared" si="115"/>
        <v>-21344</v>
      </c>
      <c r="BE97" s="88">
        <f t="shared" si="115"/>
        <v>89016</v>
      </c>
      <c r="BF97" s="259">
        <f t="shared" si="115"/>
        <v>162666</v>
      </c>
      <c r="BG97" s="259">
        <f t="shared" si="116"/>
        <v>-138400</v>
      </c>
      <c r="BH97" s="259">
        <f t="shared" si="116"/>
        <v>-152882</v>
      </c>
      <c r="BI97" s="259">
        <f t="shared" si="116"/>
        <v>-272997</v>
      </c>
      <c r="BJ97" s="259">
        <f t="shared" si="116"/>
        <v>-109360</v>
      </c>
      <c r="BK97" s="259">
        <f t="shared" si="116"/>
        <v>66287</v>
      </c>
      <c r="BL97" s="259">
        <f t="shared" si="116"/>
        <v>-82690.409999999974</v>
      </c>
      <c r="BM97" s="259">
        <f t="shared" si="116"/>
        <v>-39604</v>
      </c>
      <c r="BN97" s="259">
        <f t="shared" si="116"/>
        <v>-42293</v>
      </c>
      <c r="BO97" s="259">
        <f t="shared" si="116"/>
        <v>5264.5399999999936</v>
      </c>
      <c r="BP97" s="259">
        <f t="shared" si="116"/>
        <v>54818</v>
      </c>
      <c r="BQ97" s="259">
        <f t="shared" si="117"/>
        <v>-157875</v>
      </c>
      <c r="BR97" s="259">
        <f t="shared" si="117"/>
        <v>-475188</v>
      </c>
    </row>
    <row r="98" spans="1:70" x14ac:dyDescent="0.25">
      <c r="A98" s="4"/>
      <c r="B98" s="35" t="s">
        <v>40</v>
      </c>
      <c r="C98" s="97">
        <f>C84+C91</f>
        <v>409398</v>
      </c>
      <c r="D98" s="98">
        <f t="shared" si="111"/>
        <v>272619</v>
      </c>
      <c r="E98" s="98">
        <f t="shared" si="111"/>
        <v>206669</v>
      </c>
      <c r="F98" s="98">
        <f t="shared" si="111"/>
        <v>170691</v>
      </c>
      <c r="G98" s="98">
        <f t="shared" si="111"/>
        <v>184866</v>
      </c>
      <c r="H98" s="98">
        <f t="shared" si="111"/>
        <v>165594</v>
      </c>
      <c r="I98" s="98">
        <f t="shared" si="111"/>
        <v>138728</v>
      </c>
      <c r="J98" s="98">
        <f t="shared" si="111"/>
        <v>186073</v>
      </c>
      <c r="K98" s="98">
        <f t="shared" si="111"/>
        <v>250238</v>
      </c>
      <c r="L98" s="99">
        <f t="shared" si="111"/>
        <v>315212</v>
      </c>
      <c r="M98" s="98">
        <f t="shared" si="111"/>
        <v>332792</v>
      </c>
      <c r="N98" s="89">
        <f t="shared" si="111"/>
        <v>267787</v>
      </c>
      <c r="O98" s="98">
        <f t="shared" si="111"/>
        <v>289423</v>
      </c>
      <c r="P98" s="98">
        <f t="shared" si="111"/>
        <v>323450</v>
      </c>
      <c r="Q98" s="98">
        <f t="shared" si="111"/>
        <v>189133</v>
      </c>
      <c r="R98" s="98">
        <f t="shared" si="111"/>
        <v>181662</v>
      </c>
      <c r="S98" s="98">
        <f t="shared" si="111"/>
        <v>179797</v>
      </c>
      <c r="T98" s="98">
        <f t="shared" si="111"/>
        <v>175947</v>
      </c>
      <c r="U98" s="98">
        <f t="shared" si="119"/>
        <v>191095.52</v>
      </c>
      <c r="V98" s="98">
        <f t="shared" si="119"/>
        <v>189585</v>
      </c>
      <c r="W98" s="98">
        <f t="shared" si="112"/>
        <v>263316</v>
      </c>
      <c r="X98" s="99">
        <f t="shared" si="112"/>
        <v>358598</v>
      </c>
      <c r="Y98" s="99">
        <f t="shared" si="112"/>
        <v>465337</v>
      </c>
      <c r="Z98" s="99">
        <f t="shared" si="112"/>
        <v>367520</v>
      </c>
      <c r="AA98" s="99">
        <f t="shared" si="112"/>
        <v>365564</v>
      </c>
      <c r="AB98" s="99">
        <f t="shared" si="120"/>
        <v>319496</v>
      </c>
      <c r="AC98" s="99">
        <f t="shared" si="120"/>
        <v>480829</v>
      </c>
      <c r="AD98" s="99">
        <f t="shared" si="113"/>
        <v>74162.100000000006</v>
      </c>
      <c r="AE98" s="99">
        <f t="shared" si="113"/>
        <v>174336</v>
      </c>
      <c r="AF98" s="99">
        <f t="shared" si="113"/>
        <v>226038</v>
      </c>
      <c r="AG98" s="99">
        <f t="shared" si="113"/>
        <v>39454</v>
      </c>
      <c r="AH98" s="99">
        <f t="shared" ref="AH98:AI98" si="127">AH84+AH91</f>
        <v>194495</v>
      </c>
      <c r="AI98" s="99">
        <f t="shared" si="127"/>
        <v>321514</v>
      </c>
      <c r="AJ98" s="180">
        <f t="shared" ref="AJ98:AN98" si="128">AJ84+AJ91</f>
        <v>432022</v>
      </c>
      <c r="AK98" s="99">
        <f t="shared" si="128"/>
        <v>446912</v>
      </c>
      <c r="AL98" s="99">
        <f t="shared" si="128"/>
        <v>584590</v>
      </c>
      <c r="AM98" s="99">
        <f t="shared" si="128"/>
        <v>329651</v>
      </c>
      <c r="AN98" s="99">
        <f t="shared" si="128"/>
        <v>365988</v>
      </c>
      <c r="AO98" s="749">
        <f>14430+276988+20970+199979</f>
        <v>512367</v>
      </c>
      <c r="AP98" s="749">
        <f>SUM(5214,149432,10341,168925)</f>
        <v>333912</v>
      </c>
      <c r="AQ98" s="749">
        <f>8912+18588+4065+153169</f>
        <v>184734</v>
      </c>
      <c r="AR98" s="749">
        <f>3826+272270+3828+152215</f>
        <v>432139</v>
      </c>
      <c r="AS98" s="98"/>
      <c r="AT98" s="98"/>
      <c r="AU98" s="98"/>
      <c r="AV98" s="98"/>
      <c r="AW98" s="89">
        <f t="shared" si="115"/>
        <v>119975</v>
      </c>
      <c r="AX98" s="89">
        <f t="shared" si="115"/>
        <v>-50831</v>
      </c>
      <c r="AY98" s="89">
        <f t="shared" si="115"/>
        <v>17536</v>
      </c>
      <c r="AZ98" s="89">
        <f t="shared" si="115"/>
        <v>-10971</v>
      </c>
      <c r="BA98" s="89">
        <f t="shared" si="115"/>
        <v>5069</v>
      </c>
      <c r="BB98" s="89">
        <f t="shared" si="115"/>
        <v>-10353</v>
      </c>
      <c r="BC98" s="88">
        <f t="shared" si="115"/>
        <v>-52367.51999999999</v>
      </c>
      <c r="BD98" s="88">
        <f t="shared" si="115"/>
        <v>-3512</v>
      </c>
      <c r="BE98" s="88">
        <f t="shared" si="115"/>
        <v>-13078</v>
      </c>
      <c r="BF98" s="259">
        <f t="shared" si="115"/>
        <v>-43386</v>
      </c>
      <c r="BG98" s="259">
        <f t="shared" si="116"/>
        <v>-132545</v>
      </c>
      <c r="BH98" s="259">
        <f t="shared" si="116"/>
        <v>-99733</v>
      </c>
      <c r="BI98" s="259">
        <f t="shared" si="116"/>
        <v>-76141</v>
      </c>
      <c r="BJ98" s="259">
        <f t="shared" si="116"/>
        <v>3954</v>
      </c>
      <c r="BK98" s="259">
        <f t="shared" si="116"/>
        <v>-291696</v>
      </c>
      <c r="BL98" s="259">
        <f t="shared" si="116"/>
        <v>107499.9</v>
      </c>
      <c r="BM98" s="259">
        <f t="shared" si="116"/>
        <v>5461</v>
      </c>
      <c r="BN98" s="259">
        <f t="shared" si="116"/>
        <v>-50091</v>
      </c>
      <c r="BO98" s="259">
        <f t="shared" si="116"/>
        <v>151641.51999999999</v>
      </c>
      <c r="BP98" s="259">
        <f t="shared" si="116"/>
        <v>-4910</v>
      </c>
      <c r="BQ98" s="259">
        <f t="shared" si="117"/>
        <v>-58198</v>
      </c>
      <c r="BR98" s="259">
        <f t="shared" si="117"/>
        <v>-73424</v>
      </c>
    </row>
    <row r="99" spans="1:70" ht="15.75" thickBot="1" x14ac:dyDescent="0.3">
      <c r="A99" s="4"/>
      <c r="B99" s="37" t="s">
        <v>41</v>
      </c>
      <c r="C99" s="100">
        <f>SUM(C94:C98)</f>
        <v>12106135</v>
      </c>
      <c r="D99" s="159">
        <f t="shared" ref="D99:V99" si="129">SUM(D94:D98)</f>
        <v>9039383</v>
      </c>
      <c r="E99" s="159">
        <f t="shared" si="129"/>
        <v>4742032</v>
      </c>
      <c r="F99" s="159">
        <f t="shared" si="129"/>
        <v>2303947</v>
      </c>
      <c r="G99" s="159">
        <f t="shared" si="129"/>
        <v>1945164</v>
      </c>
      <c r="H99" s="159">
        <f t="shared" si="129"/>
        <v>1756618</v>
      </c>
      <c r="I99" s="159">
        <f t="shared" si="129"/>
        <v>1805710</v>
      </c>
      <c r="J99" s="159">
        <f t="shared" si="129"/>
        <v>2062500</v>
      </c>
      <c r="K99" s="159">
        <f t="shared" si="129"/>
        <v>4734828</v>
      </c>
      <c r="L99" s="160">
        <f t="shared" si="129"/>
        <v>9731684</v>
      </c>
      <c r="M99" s="159">
        <f t="shared" si="129"/>
        <v>12809442</v>
      </c>
      <c r="N99" s="81">
        <f t="shared" si="129"/>
        <v>11104485</v>
      </c>
      <c r="O99" s="159">
        <f t="shared" si="129"/>
        <v>10101706</v>
      </c>
      <c r="P99" s="159">
        <f t="shared" si="129"/>
        <v>8356125</v>
      </c>
      <c r="Q99" s="159">
        <f t="shared" si="129"/>
        <v>6172402</v>
      </c>
      <c r="R99" s="159">
        <f t="shared" si="129"/>
        <v>2476216</v>
      </c>
      <c r="S99" s="159">
        <f t="shared" si="129"/>
        <v>1921778</v>
      </c>
      <c r="T99" s="101">
        <f t="shared" si="129"/>
        <v>1896715</v>
      </c>
      <c r="U99" s="101">
        <f t="shared" si="129"/>
        <v>1826069.8900000001</v>
      </c>
      <c r="V99" s="101">
        <f t="shared" si="129"/>
        <v>2280546</v>
      </c>
      <c r="W99" s="101">
        <f t="shared" ref="W99:AB99" si="130">SUM(W94:W98)</f>
        <v>4267121</v>
      </c>
      <c r="X99" s="389">
        <f t="shared" si="130"/>
        <v>8383009</v>
      </c>
      <c r="Y99" s="389">
        <f t="shared" si="130"/>
        <v>13584399</v>
      </c>
      <c r="Z99" s="389">
        <f t="shared" si="130"/>
        <v>12832479</v>
      </c>
      <c r="AA99" s="389">
        <f t="shared" si="130"/>
        <v>12012718</v>
      </c>
      <c r="AB99" s="389">
        <f t="shared" si="130"/>
        <v>8550153</v>
      </c>
      <c r="AC99" s="99">
        <f>SUM(AC94:AC98)</f>
        <v>5394988</v>
      </c>
      <c r="AD99" s="99">
        <f>SUM(AD94:AD98)</f>
        <v>2577922.06</v>
      </c>
      <c r="AE99" s="99">
        <f>AE85+AE92</f>
        <v>2014920</v>
      </c>
      <c r="AF99" s="99">
        <f>AF85+AF92</f>
        <v>2179490</v>
      </c>
      <c r="AG99" s="99">
        <f>AG85+AG92</f>
        <v>1802581</v>
      </c>
      <c r="AH99" s="99">
        <f t="shared" ref="AH99:AI99" si="131">AH85+AH92</f>
        <v>2126260</v>
      </c>
      <c r="AI99" s="99">
        <f t="shared" si="131"/>
        <v>4870785</v>
      </c>
      <c r="AJ99" s="180">
        <f t="shared" ref="AJ99:AN99" si="132">AJ85+AJ92</f>
        <v>11876216</v>
      </c>
      <c r="AK99" s="99">
        <f t="shared" si="132"/>
        <v>16546586</v>
      </c>
      <c r="AL99" s="99">
        <f t="shared" si="132"/>
        <v>19209882</v>
      </c>
      <c r="AM99" s="99">
        <f t="shared" si="132"/>
        <v>15266945</v>
      </c>
      <c r="AN99" s="99">
        <f t="shared" si="132"/>
        <v>13429196</v>
      </c>
      <c r="AO99" s="98">
        <f>SUM(AO94:AO98)</f>
        <v>6966701</v>
      </c>
      <c r="AP99" s="98">
        <f>SUM(AP94:AP98)</f>
        <v>4330361</v>
      </c>
      <c r="AQ99" s="98">
        <f>SUM(AQ94:AQ98)</f>
        <v>3460746</v>
      </c>
      <c r="AR99" s="98">
        <f>SUM(AR94:AR98)</f>
        <v>2956767</v>
      </c>
      <c r="AS99" s="98"/>
      <c r="AT99" s="98"/>
      <c r="AU99" s="98"/>
      <c r="AV99" s="98"/>
      <c r="AW99" s="81">
        <f t="shared" ref="AW99:BD99" si="133">SUM(AW94:AW98)</f>
        <v>2004429</v>
      </c>
      <c r="AX99" s="81">
        <f t="shared" si="133"/>
        <v>683258</v>
      </c>
      <c r="AY99" s="81">
        <f t="shared" si="133"/>
        <v>-1430370</v>
      </c>
      <c r="AZ99" s="81">
        <f t="shared" si="133"/>
        <v>-172269</v>
      </c>
      <c r="BA99" s="81">
        <f t="shared" si="133"/>
        <v>23386</v>
      </c>
      <c r="BB99" s="81">
        <f t="shared" si="133"/>
        <v>-140097</v>
      </c>
      <c r="BC99" s="80">
        <f t="shared" si="133"/>
        <v>-20359.890000000087</v>
      </c>
      <c r="BD99" s="80">
        <f t="shared" si="133"/>
        <v>-218046</v>
      </c>
      <c r="BE99" s="80">
        <f>SUM(BE94:BE98)</f>
        <v>467707</v>
      </c>
      <c r="BF99" s="263">
        <f>SUM(BF94:BF98)</f>
        <v>1348675</v>
      </c>
      <c r="BG99" s="259">
        <f t="shared" ref="BG99:BR99" si="134">M99-Y99</f>
        <v>-774957</v>
      </c>
      <c r="BH99" s="259">
        <f t="shared" si="134"/>
        <v>-1727994</v>
      </c>
      <c r="BI99" s="259">
        <f t="shared" si="134"/>
        <v>-1911012</v>
      </c>
      <c r="BJ99" s="259">
        <f t="shared" si="134"/>
        <v>-194028</v>
      </c>
      <c r="BK99" s="259">
        <f t="shared" si="134"/>
        <v>777414</v>
      </c>
      <c r="BL99" s="259">
        <f t="shared" si="134"/>
        <v>-101706.06000000006</v>
      </c>
      <c r="BM99" s="259">
        <f t="shared" si="134"/>
        <v>-93142</v>
      </c>
      <c r="BN99" s="259">
        <f t="shared" si="134"/>
        <v>-282775</v>
      </c>
      <c r="BO99" s="259">
        <f t="shared" si="134"/>
        <v>23488.89000000013</v>
      </c>
      <c r="BP99" s="259">
        <f t="shared" si="134"/>
        <v>154286</v>
      </c>
      <c r="BQ99" s="259">
        <f t="shared" si="134"/>
        <v>-603664</v>
      </c>
      <c r="BR99" s="259">
        <f t="shared" si="134"/>
        <v>-3493207</v>
      </c>
    </row>
    <row r="100" spans="1:70" x14ac:dyDescent="0.25">
      <c r="A100" s="4">
        <f>+A93+1</f>
        <v>14</v>
      </c>
      <c r="B100" s="44" t="s">
        <v>35</v>
      </c>
      <c r="C100" s="102"/>
      <c r="D100" s="103"/>
      <c r="E100" s="103"/>
      <c r="F100" s="103"/>
      <c r="G100" s="103"/>
      <c r="H100" s="103"/>
      <c r="I100" s="103"/>
      <c r="J100" s="103"/>
      <c r="K100" s="103"/>
      <c r="L100" s="104"/>
      <c r="M100" s="161"/>
      <c r="N100" s="103"/>
      <c r="O100" s="161"/>
      <c r="P100" s="103"/>
      <c r="Q100" s="103"/>
      <c r="R100" s="103"/>
      <c r="S100" s="103"/>
      <c r="T100" s="103"/>
      <c r="U100" s="183"/>
      <c r="V100" s="314"/>
      <c r="W100" s="314"/>
      <c r="X100" s="390"/>
      <c r="Y100" s="314"/>
      <c r="Z100" s="314"/>
      <c r="AA100" s="314"/>
      <c r="AB100" s="314"/>
      <c r="AC100" s="390"/>
      <c r="AD100" s="390"/>
      <c r="AE100" s="314"/>
      <c r="AF100" s="314"/>
      <c r="AG100" s="314"/>
      <c r="AH100" s="314"/>
      <c r="AI100" s="314"/>
      <c r="AJ100" s="874"/>
      <c r="AK100" s="314"/>
      <c r="AL100" s="314"/>
      <c r="AM100" s="314"/>
      <c r="AN100" s="314"/>
      <c r="AO100" s="314"/>
      <c r="AP100" s="314"/>
      <c r="AQ100" s="314"/>
      <c r="AR100" s="314"/>
      <c r="AS100" s="314"/>
      <c r="AT100" s="314"/>
      <c r="AU100" s="314"/>
      <c r="AV100" s="314"/>
      <c r="AW100" s="169"/>
      <c r="AX100" s="105"/>
      <c r="AY100" s="106"/>
      <c r="AZ100" s="106"/>
      <c r="BA100" s="106"/>
      <c r="BB100" s="106"/>
      <c r="BC100" s="107"/>
      <c r="BD100" s="316"/>
      <c r="BE100" s="316"/>
      <c r="BF100" s="316"/>
      <c r="BG100" s="407"/>
      <c r="BH100" s="413"/>
      <c r="BI100" s="414"/>
      <c r="BJ100" s="414"/>
      <c r="BK100" s="414"/>
      <c r="BL100" s="414"/>
      <c r="BM100" s="414"/>
      <c r="BN100" s="414"/>
      <c r="BO100" s="414"/>
      <c r="BP100" s="414"/>
      <c r="BQ100" s="414"/>
      <c r="BR100" s="414"/>
    </row>
    <row r="101" spans="1:70" x14ac:dyDescent="0.25">
      <c r="A101" s="4"/>
      <c r="B101" s="35" t="s">
        <v>36</v>
      </c>
      <c r="C101" s="86">
        <v>6224696.2800000003</v>
      </c>
      <c r="D101" s="87">
        <v>5966497.21</v>
      </c>
      <c r="E101" s="87">
        <v>4109908.97</v>
      </c>
      <c r="F101" s="89">
        <v>2389317.29</v>
      </c>
      <c r="G101" s="87">
        <v>1869752.79</v>
      </c>
      <c r="H101" s="87">
        <v>1382025.56</v>
      </c>
      <c r="I101" s="87">
        <v>1280183.56</v>
      </c>
      <c r="J101" s="87">
        <v>1381879.3</v>
      </c>
      <c r="K101" s="87">
        <v>1370910.83</v>
      </c>
      <c r="L101" s="88">
        <v>3476734.93</v>
      </c>
      <c r="M101" s="89">
        <v>5089419.13</v>
      </c>
      <c r="N101" s="87">
        <v>6093875.9000000004</v>
      </c>
      <c r="O101" s="89">
        <v>6288096.2400000002</v>
      </c>
      <c r="P101" s="87">
        <v>5142196.13</v>
      </c>
      <c r="Q101" s="87">
        <v>4068503.46</v>
      </c>
      <c r="R101" s="87">
        <v>3756883.99</v>
      </c>
      <c r="S101" s="87">
        <v>1873972.34</v>
      </c>
      <c r="T101" s="87">
        <v>1460567.9</v>
      </c>
      <c r="U101" s="184">
        <v>1376164.47</v>
      </c>
      <c r="V101" s="98">
        <v>1484271.12</v>
      </c>
      <c r="W101" s="98">
        <v>1553679.22</v>
      </c>
      <c r="X101" s="99">
        <v>3091867.4</v>
      </c>
      <c r="Y101" s="98">
        <v>4969355.67</v>
      </c>
      <c r="Z101" s="98">
        <v>5624037.3700000001</v>
      </c>
      <c r="AA101" s="98">
        <v>8160353.6500000004</v>
      </c>
      <c r="AB101" s="98">
        <v>5480730.5</v>
      </c>
      <c r="AC101" s="99">
        <f>SUM(Weekly!BG80:BJ80)</f>
        <v>6048901.1799999997</v>
      </c>
      <c r="AD101" s="99">
        <v>5696281.6500000004</v>
      </c>
      <c r="AE101" s="98">
        <v>3353089.44</v>
      </c>
      <c r="AF101" s="98">
        <v>3454109.01</v>
      </c>
      <c r="AG101" s="755">
        <v>2425754.1</v>
      </c>
      <c r="AH101" s="755">
        <v>2387264.5499999998</v>
      </c>
      <c r="AI101" s="755">
        <v>5549704.0800000001</v>
      </c>
      <c r="AJ101" s="875">
        <v>5998795.0599999996</v>
      </c>
      <c r="AK101" s="755">
        <v>10179783.84</v>
      </c>
      <c r="AL101" s="755">
        <v>10179783.84</v>
      </c>
      <c r="AM101" s="755">
        <v>18607589.84</v>
      </c>
      <c r="AN101" s="755">
        <v>12244120.189999999</v>
      </c>
      <c r="AO101" s="755">
        <v>10929667.42</v>
      </c>
      <c r="AP101" s="755">
        <v>7211448.1500000004</v>
      </c>
      <c r="AQ101" s="755">
        <v>5286146.83</v>
      </c>
      <c r="AR101" s="755">
        <v>4449164.1900000004</v>
      </c>
      <c r="AS101" s="755"/>
      <c r="AT101" s="755"/>
      <c r="AU101" s="755"/>
      <c r="AV101" s="755"/>
      <c r="AW101" s="89">
        <f t="shared" ref="AW101:BF105" si="135">C101-O101</f>
        <v>-63399.959999999963</v>
      </c>
      <c r="AX101" s="89">
        <f t="shared" si="135"/>
        <v>824301.08000000007</v>
      </c>
      <c r="AY101" s="89">
        <f t="shared" si="135"/>
        <v>41405.510000000242</v>
      </c>
      <c r="AZ101" s="89">
        <f t="shared" si="135"/>
        <v>-1367566.7000000002</v>
      </c>
      <c r="BA101" s="89">
        <f t="shared" si="135"/>
        <v>-4219.5500000000466</v>
      </c>
      <c r="BB101" s="89">
        <f t="shared" si="135"/>
        <v>-78542.339999999851</v>
      </c>
      <c r="BC101" s="88">
        <f t="shared" si="135"/>
        <v>-95980.909999999916</v>
      </c>
      <c r="BD101" s="88">
        <f t="shared" si="135"/>
        <v>-102391.82000000007</v>
      </c>
      <c r="BE101" s="88">
        <f t="shared" si="135"/>
        <v>-182768.3899999999</v>
      </c>
      <c r="BF101" s="259">
        <f t="shared" si="135"/>
        <v>384867.53000000026</v>
      </c>
      <c r="BG101" s="259">
        <f t="shared" ref="BG101:BP105" si="136">M101-Y101</f>
        <v>120063.45999999996</v>
      </c>
      <c r="BH101" s="259">
        <f t="shared" si="136"/>
        <v>469838.53000000026</v>
      </c>
      <c r="BI101" s="259">
        <f t="shared" si="136"/>
        <v>-1872257.4100000001</v>
      </c>
      <c r="BJ101" s="259">
        <f t="shared" si="136"/>
        <v>-338534.37000000011</v>
      </c>
      <c r="BK101" s="259">
        <f t="shared" si="136"/>
        <v>-1980397.7199999997</v>
      </c>
      <c r="BL101" s="259">
        <f t="shared" si="136"/>
        <v>-1939397.6600000001</v>
      </c>
      <c r="BM101" s="259">
        <f t="shared" si="136"/>
        <v>-1479117.0999999999</v>
      </c>
      <c r="BN101" s="259">
        <f t="shared" si="136"/>
        <v>-1993541.1099999999</v>
      </c>
      <c r="BO101" s="259">
        <f t="shared" si="136"/>
        <v>-1049589.6300000001</v>
      </c>
      <c r="BP101" s="259">
        <f t="shared" si="136"/>
        <v>-902993.4299999997</v>
      </c>
      <c r="BQ101" s="259">
        <f t="shared" ref="BQ101:BR105" si="137">W101-AI101</f>
        <v>-3996024.8600000003</v>
      </c>
      <c r="BR101" s="259">
        <f t="shared" si="137"/>
        <v>-2906927.6599999997</v>
      </c>
    </row>
    <row r="102" spans="1:70" x14ac:dyDescent="0.25">
      <c r="A102" s="4"/>
      <c r="B102" s="35" t="s">
        <v>37</v>
      </c>
      <c r="C102" s="86">
        <v>1152704.6599999999</v>
      </c>
      <c r="D102" s="87">
        <v>1205346.18</v>
      </c>
      <c r="E102" s="87">
        <v>1113240.8999999999</v>
      </c>
      <c r="F102" s="89">
        <v>334407.42</v>
      </c>
      <c r="G102" s="87">
        <v>243720.66</v>
      </c>
      <c r="H102" s="87">
        <v>206173.58</v>
      </c>
      <c r="I102" s="87">
        <v>178229.8</v>
      </c>
      <c r="J102" s="87">
        <v>188945.35</v>
      </c>
      <c r="K102" s="87">
        <v>288079.65000000002</v>
      </c>
      <c r="L102" s="88">
        <v>538926.78</v>
      </c>
      <c r="M102" s="89">
        <v>1370380.67</v>
      </c>
      <c r="N102" s="87">
        <v>1174618.57</v>
      </c>
      <c r="O102" s="89">
        <v>1223880.3400000001</v>
      </c>
      <c r="P102" s="87">
        <v>572923.34</v>
      </c>
      <c r="Q102" s="87">
        <v>790662.2</v>
      </c>
      <c r="R102" s="87">
        <v>540631.37</v>
      </c>
      <c r="S102" s="87">
        <v>322995.63</v>
      </c>
      <c r="T102" s="87">
        <v>163410.35999999999</v>
      </c>
      <c r="U102" s="184">
        <v>144194.82</v>
      </c>
      <c r="V102" s="98">
        <v>142063.85</v>
      </c>
      <c r="W102" s="98">
        <v>131282.1</v>
      </c>
      <c r="X102" s="99">
        <v>363426.81</v>
      </c>
      <c r="Y102" s="98">
        <v>597678.12</v>
      </c>
      <c r="Z102" s="98">
        <v>837373.62</v>
      </c>
      <c r="AA102" s="98">
        <v>1541214.99</v>
      </c>
      <c r="AB102" s="98">
        <v>1666763.74</v>
      </c>
      <c r="AC102" s="99">
        <f>SUM(Weekly!BG81:BJ81)</f>
        <v>0</v>
      </c>
      <c r="AD102" s="99">
        <f>SUM(Weekly!BH81:BK81)</f>
        <v>0</v>
      </c>
      <c r="AE102" s="98">
        <v>0</v>
      </c>
      <c r="AF102" s="98">
        <v>0</v>
      </c>
      <c r="AG102" s="98">
        <v>0</v>
      </c>
      <c r="AH102" s="98"/>
      <c r="AI102" s="98"/>
      <c r="AJ102" s="180"/>
      <c r="AK102" s="98"/>
      <c r="AL102" s="98"/>
      <c r="AM102" s="98"/>
      <c r="AN102" s="98"/>
      <c r="AO102" s="98"/>
      <c r="AP102" s="98"/>
      <c r="AQ102" s="98"/>
      <c r="AR102" s="98"/>
      <c r="AS102" s="98"/>
      <c r="AT102" s="98"/>
      <c r="AU102" s="98"/>
      <c r="AV102" s="98"/>
      <c r="AW102" s="89">
        <f t="shared" si="135"/>
        <v>-71175.680000000168</v>
      </c>
      <c r="AX102" s="89">
        <f t="shared" si="135"/>
        <v>632422.84</v>
      </c>
      <c r="AY102" s="89">
        <f t="shared" si="135"/>
        <v>322578.69999999995</v>
      </c>
      <c r="AZ102" s="89">
        <f t="shared" si="135"/>
        <v>-206223.95</v>
      </c>
      <c r="BA102" s="89">
        <f t="shared" si="135"/>
        <v>-79274.97</v>
      </c>
      <c r="BB102" s="89">
        <f t="shared" si="135"/>
        <v>42763.22</v>
      </c>
      <c r="BC102" s="88">
        <f t="shared" si="135"/>
        <v>34034.979999999981</v>
      </c>
      <c r="BD102" s="88">
        <f t="shared" si="135"/>
        <v>46881.5</v>
      </c>
      <c r="BE102" s="88">
        <f t="shared" si="135"/>
        <v>156797.55000000002</v>
      </c>
      <c r="BF102" s="259">
        <f t="shared" si="135"/>
        <v>175499.97000000003</v>
      </c>
      <c r="BG102" s="259">
        <f t="shared" si="136"/>
        <v>772702.54999999993</v>
      </c>
      <c r="BH102" s="259">
        <f t="shared" si="136"/>
        <v>337244.95000000007</v>
      </c>
      <c r="BI102" s="259">
        <f t="shared" si="136"/>
        <v>-317334.64999999991</v>
      </c>
      <c r="BJ102" s="259">
        <f t="shared" si="136"/>
        <v>-1093840.3999999999</v>
      </c>
      <c r="BK102" s="259">
        <f t="shared" si="136"/>
        <v>790662.2</v>
      </c>
      <c r="BL102" s="259">
        <f t="shared" si="136"/>
        <v>540631.37</v>
      </c>
      <c r="BM102" s="259">
        <f t="shared" si="136"/>
        <v>322995.63</v>
      </c>
      <c r="BN102" s="259">
        <f t="shared" si="136"/>
        <v>163410.35999999999</v>
      </c>
      <c r="BO102" s="259">
        <f t="shared" si="136"/>
        <v>144194.82</v>
      </c>
      <c r="BP102" s="259">
        <f t="shared" si="136"/>
        <v>142063.85</v>
      </c>
      <c r="BQ102" s="259">
        <f t="shared" si="137"/>
        <v>131282.1</v>
      </c>
      <c r="BR102" s="259">
        <f t="shared" si="137"/>
        <v>363426.81</v>
      </c>
    </row>
    <row r="103" spans="1:70" x14ac:dyDescent="0.25">
      <c r="A103" s="4"/>
      <c r="B103" s="35" t="s">
        <v>38</v>
      </c>
      <c r="C103" s="86">
        <v>1338903.8600000001</v>
      </c>
      <c r="D103" s="87">
        <v>1253267.72</v>
      </c>
      <c r="E103" s="87">
        <v>736421.66</v>
      </c>
      <c r="F103" s="89">
        <v>389481.37</v>
      </c>
      <c r="G103" s="87">
        <v>249568.06</v>
      </c>
      <c r="H103" s="87">
        <v>181985.06</v>
      </c>
      <c r="I103" s="87">
        <v>171141.23</v>
      </c>
      <c r="J103" s="87">
        <v>207768.59</v>
      </c>
      <c r="K103" s="87">
        <v>220879.42</v>
      </c>
      <c r="L103" s="88">
        <v>642369.98</v>
      </c>
      <c r="M103" s="89">
        <v>926205.67</v>
      </c>
      <c r="N103" s="87">
        <v>1284933.42</v>
      </c>
      <c r="O103" s="89">
        <v>1338234.06</v>
      </c>
      <c r="P103" s="87">
        <v>944649.84</v>
      </c>
      <c r="Q103" s="87">
        <v>686592.76</v>
      </c>
      <c r="R103" s="87">
        <v>662227.56999999995</v>
      </c>
      <c r="S103" s="87">
        <v>269127.25</v>
      </c>
      <c r="T103" s="87">
        <v>226509.85</v>
      </c>
      <c r="U103" s="184">
        <v>230746.62</v>
      </c>
      <c r="V103" s="98">
        <v>194491.59</v>
      </c>
      <c r="W103" s="98">
        <v>200497.33</v>
      </c>
      <c r="X103" s="99">
        <v>465900.4</v>
      </c>
      <c r="Y103" s="98">
        <v>897870.5</v>
      </c>
      <c r="Z103" s="98">
        <v>1220382.67</v>
      </c>
      <c r="AA103" s="98">
        <v>1849852.36</v>
      </c>
      <c r="AB103" s="98">
        <v>1220906.53</v>
      </c>
      <c r="AC103" s="99">
        <f>SUM(Weekly!BG82:BJ82)</f>
        <v>0</v>
      </c>
      <c r="AD103" s="99">
        <f>SUM(Weekly!BH82:BK82)</f>
        <v>0</v>
      </c>
      <c r="AE103" s="98">
        <v>0</v>
      </c>
      <c r="AF103" s="98">
        <v>0</v>
      </c>
      <c r="AG103" s="98">
        <v>0</v>
      </c>
      <c r="AH103" s="98"/>
      <c r="AI103" s="98"/>
      <c r="AJ103" s="180"/>
      <c r="AK103" s="98"/>
      <c r="AL103" s="98"/>
      <c r="AM103" s="98"/>
      <c r="AN103" s="98"/>
      <c r="AO103" s="98"/>
      <c r="AP103" s="98"/>
      <c r="AQ103" s="98"/>
      <c r="AR103" s="98"/>
      <c r="AS103" s="98"/>
      <c r="AT103" s="98"/>
      <c r="AU103" s="98"/>
      <c r="AV103" s="98"/>
      <c r="AW103" s="89">
        <f t="shared" si="135"/>
        <v>669.80000000004657</v>
      </c>
      <c r="AX103" s="89">
        <f t="shared" si="135"/>
        <v>308617.88</v>
      </c>
      <c r="AY103" s="89">
        <f t="shared" si="135"/>
        <v>49828.900000000023</v>
      </c>
      <c r="AZ103" s="89">
        <f t="shared" si="135"/>
        <v>-272746.19999999995</v>
      </c>
      <c r="BA103" s="89">
        <f t="shared" si="135"/>
        <v>-19559.190000000002</v>
      </c>
      <c r="BB103" s="89">
        <f t="shared" si="135"/>
        <v>-44524.790000000008</v>
      </c>
      <c r="BC103" s="78">
        <f t="shared" si="135"/>
        <v>-59605.389999999985</v>
      </c>
      <c r="BD103" s="88">
        <f t="shared" si="135"/>
        <v>13277</v>
      </c>
      <c r="BE103" s="88">
        <f t="shared" si="135"/>
        <v>20382.090000000026</v>
      </c>
      <c r="BF103" s="259">
        <f t="shared" si="135"/>
        <v>176469.57999999996</v>
      </c>
      <c r="BG103" s="259">
        <f t="shared" si="136"/>
        <v>28335.170000000042</v>
      </c>
      <c r="BH103" s="259">
        <f t="shared" si="136"/>
        <v>64550.75</v>
      </c>
      <c r="BI103" s="259">
        <f t="shared" si="136"/>
        <v>-511618.30000000005</v>
      </c>
      <c r="BJ103" s="259">
        <f t="shared" si="136"/>
        <v>-276256.69000000006</v>
      </c>
      <c r="BK103" s="259">
        <f t="shared" si="136"/>
        <v>686592.76</v>
      </c>
      <c r="BL103" s="259">
        <f t="shared" si="136"/>
        <v>662227.56999999995</v>
      </c>
      <c r="BM103" s="259">
        <f t="shared" si="136"/>
        <v>269127.25</v>
      </c>
      <c r="BN103" s="259">
        <f t="shared" si="136"/>
        <v>226509.85</v>
      </c>
      <c r="BO103" s="259">
        <f t="shared" si="136"/>
        <v>230746.62</v>
      </c>
      <c r="BP103" s="259">
        <f t="shared" si="136"/>
        <v>194491.59</v>
      </c>
      <c r="BQ103" s="259">
        <f t="shared" si="137"/>
        <v>200497.33</v>
      </c>
      <c r="BR103" s="259">
        <f t="shared" si="137"/>
        <v>465900.4</v>
      </c>
    </row>
    <row r="104" spans="1:70" x14ac:dyDescent="0.25">
      <c r="A104" s="4"/>
      <c r="B104" s="35" t="s">
        <v>39</v>
      </c>
      <c r="C104" s="86">
        <v>1928917.59</v>
      </c>
      <c r="D104" s="87">
        <v>1689842.93</v>
      </c>
      <c r="E104" s="87">
        <v>1068180.8799999999</v>
      </c>
      <c r="F104" s="89">
        <v>587471.06000000006</v>
      </c>
      <c r="G104" s="87">
        <v>373450.97</v>
      </c>
      <c r="H104" s="87">
        <v>208150.33</v>
      </c>
      <c r="I104" s="87">
        <v>185953.29</v>
      </c>
      <c r="J104" s="87">
        <v>232630.14</v>
      </c>
      <c r="K104" s="87">
        <v>252697.01699999999</v>
      </c>
      <c r="L104" s="88">
        <v>809851.28</v>
      </c>
      <c r="M104" s="89">
        <v>1112456.3500000001</v>
      </c>
      <c r="N104" s="87">
        <v>1544069.19</v>
      </c>
      <c r="O104" s="89">
        <v>1676548.89</v>
      </c>
      <c r="P104" s="87">
        <v>1123779.1599999999</v>
      </c>
      <c r="Q104" s="87">
        <v>850744.08</v>
      </c>
      <c r="R104" s="87">
        <v>841788.72</v>
      </c>
      <c r="S104" s="87">
        <v>321609.38</v>
      </c>
      <c r="T104" s="87">
        <v>222264.56</v>
      </c>
      <c r="U104" s="184">
        <v>231548.13</v>
      </c>
      <c r="V104" s="98">
        <v>246717.02</v>
      </c>
      <c r="W104" s="98">
        <v>258288.5</v>
      </c>
      <c r="X104" s="99">
        <v>618248.94999999995</v>
      </c>
      <c r="Y104" s="98">
        <v>1009552.11</v>
      </c>
      <c r="Z104" s="98">
        <v>1462723.26</v>
      </c>
      <c r="AA104" s="98">
        <v>2456826.89</v>
      </c>
      <c r="AB104" s="98">
        <v>1386065.66</v>
      </c>
      <c r="AC104" s="99">
        <f>SUM(Weekly!BG83:BJ83)</f>
        <v>0</v>
      </c>
      <c r="AD104" s="99">
        <f>SUM(Weekly!BH83:BK83)</f>
        <v>0</v>
      </c>
      <c r="AE104" s="98">
        <v>0</v>
      </c>
      <c r="AF104" s="98">
        <v>0</v>
      </c>
      <c r="AG104" s="98">
        <v>0</v>
      </c>
      <c r="AH104" s="98"/>
      <c r="AI104" s="98"/>
      <c r="AJ104" s="180"/>
      <c r="AK104" s="98"/>
      <c r="AL104" s="98"/>
      <c r="AM104" s="98"/>
      <c r="AN104" s="98"/>
      <c r="AO104" s="98"/>
      <c r="AP104" s="98"/>
      <c r="AQ104" s="98"/>
      <c r="AR104" s="98"/>
      <c r="AS104" s="98"/>
      <c r="AT104" s="98"/>
      <c r="AU104" s="98"/>
      <c r="AV104" s="98"/>
      <c r="AW104" s="89">
        <f t="shared" si="135"/>
        <v>252368.70000000019</v>
      </c>
      <c r="AX104" s="89">
        <f t="shared" si="135"/>
        <v>566063.77</v>
      </c>
      <c r="AY104" s="89">
        <f t="shared" si="135"/>
        <v>217436.79999999993</v>
      </c>
      <c r="AZ104" s="89">
        <f t="shared" si="135"/>
        <v>-254317.65999999992</v>
      </c>
      <c r="BA104" s="89">
        <f t="shared" si="135"/>
        <v>51841.589999999967</v>
      </c>
      <c r="BB104" s="89">
        <f t="shared" si="135"/>
        <v>-14114.23000000001</v>
      </c>
      <c r="BC104" s="99">
        <f t="shared" si="135"/>
        <v>-45594.84</v>
      </c>
      <c r="BD104" s="88">
        <f t="shared" si="135"/>
        <v>-14086.879999999976</v>
      </c>
      <c r="BE104" s="88">
        <f t="shared" si="135"/>
        <v>-5591.4830000000075</v>
      </c>
      <c r="BF104" s="259">
        <f t="shared" si="135"/>
        <v>191602.33000000007</v>
      </c>
      <c r="BG104" s="259">
        <f t="shared" si="136"/>
        <v>102904.24000000011</v>
      </c>
      <c r="BH104" s="259">
        <f t="shared" si="136"/>
        <v>81345.929999999935</v>
      </c>
      <c r="BI104" s="259">
        <f t="shared" si="136"/>
        <v>-780278.00000000023</v>
      </c>
      <c r="BJ104" s="259">
        <f t="shared" si="136"/>
        <v>-262286.5</v>
      </c>
      <c r="BK104" s="259">
        <f t="shared" si="136"/>
        <v>850744.08</v>
      </c>
      <c r="BL104" s="259">
        <f t="shared" si="136"/>
        <v>841788.72</v>
      </c>
      <c r="BM104" s="259">
        <f t="shared" si="136"/>
        <v>321609.38</v>
      </c>
      <c r="BN104" s="259">
        <f t="shared" si="136"/>
        <v>222264.56</v>
      </c>
      <c r="BO104" s="259">
        <f t="shared" si="136"/>
        <v>231548.13</v>
      </c>
      <c r="BP104" s="259">
        <f t="shared" si="136"/>
        <v>246717.02</v>
      </c>
      <c r="BQ104" s="259">
        <f t="shared" si="137"/>
        <v>258288.5</v>
      </c>
      <c r="BR104" s="259">
        <f t="shared" si="137"/>
        <v>618248.94999999995</v>
      </c>
    </row>
    <row r="105" spans="1:70" x14ac:dyDescent="0.25">
      <c r="A105" s="4"/>
      <c r="B105" s="35" t="s">
        <v>40</v>
      </c>
      <c r="C105" s="86">
        <v>542865.93000000005</v>
      </c>
      <c r="D105" s="87">
        <v>690944.67</v>
      </c>
      <c r="E105" s="87">
        <v>201634.94</v>
      </c>
      <c r="F105" s="89">
        <v>582547</v>
      </c>
      <c r="G105" s="87">
        <v>395762.86</v>
      </c>
      <c r="H105" s="87">
        <v>355310.46</v>
      </c>
      <c r="I105" s="87">
        <v>341466.93</v>
      </c>
      <c r="J105" s="87">
        <v>278171.59999999998</v>
      </c>
      <c r="K105" s="87">
        <v>347851.2</v>
      </c>
      <c r="L105" s="88">
        <v>416494.79</v>
      </c>
      <c r="M105" s="89">
        <v>470839.95</v>
      </c>
      <c r="N105" s="87">
        <v>468482.97</v>
      </c>
      <c r="O105" s="89">
        <v>470029.83</v>
      </c>
      <c r="P105" s="87">
        <v>349206.2</v>
      </c>
      <c r="Q105" s="87">
        <v>376956.64</v>
      </c>
      <c r="R105" s="87">
        <v>528877.03</v>
      </c>
      <c r="S105" s="87">
        <v>353511.97</v>
      </c>
      <c r="T105" s="87">
        <v>420958.27</v>
      </c>
      <c r="U105" s="184">
        <v>337894.28</v>
      </c>
      <c r="V105" s="98">
        <v>389343.91</v>
      </c>
      <c r="W105" s="98">
        <v>188692.81</v>
      </c>
      <c r="X105" s="99">
        <v>640813.85</v>
      </c>
      <c r="Y105" s="98">
        <v>520252.57</v>
      </c>
      <c r="Z105" s="98">
        <v>529662.76</v>
      </c>
      <c r="AA105" s="98">
        <v>943216.09</v>
      </c>
      <c r="AB105" s="98">
        <v>558217.62</v>
      </c>
      <c r="AC105" s="99">
        <f>SUM(Weekly!BG84:BJ84)</f>
        <v>0</v>
      </c>
      <c r="AD105" s="99">
        <f>SUM(Weekly!BH84:BK84)</f>
        <v>0</v>
      </c>
      <c r="AE105" s="98">
        <v>0</v>
      </c>
      <c r="AF105" s="98">
        <v>0</v>
      </c>
      <c r="AG105" s="98">
        <v>0</v>
      </c>
      <c r="AH105" s="98"/>
      <c r="AI105" s="98"/>
      <c r="AJ105" s="180"/>
      <c r="AK105" s="98"/>
      <c r="AL105" s="98"/>
      <c r="AM105" s="98"/>
      <c r="AN105" s="98"/>
      <c r="AO105" s="98"/>
      <c r="AP105" s="98"/>
      <c r="AQ105" s="98"/>
      <c r="AR105" s="98"/>
      <c r="AS105" s="98"/>
      <c r="AT105" s="98"/>
      <c r="AU105" s="98"/>
      <c r="AV105" s="98"/>
      <c r="AW105" s="89">
        <f t="shared" si="135"/>
        <v>72836.100000000035</v>
      </c>
      <c r="AX105" s="89">
        <f t="shared" si="135"/>
        <v>341738.47000000003</v>
      </c>
      <c r="AY105" s="89">
        <f t="shared" si="135"/>
        <v>-175321.7</v>
      </c>
      <c r="AZ105" s="89">
        <f t="shared" si="135"/>
        <v>53669.969999999972</v>
      </c>
      <c r="BA105" s="89">
        <f t="shared" si="135"/>
        <v>42250.890000000014</v>
      </c>
      <c r="BB105" s="89">
        <f t="shared" si="135"/>
        <v>-65647.81</v>
      </c>
      <c r="BC105" s="99">
        <f t="shared" si="135"/>
        <v>3572.6499999999651</v>
      </c>
      <c r="BD105" s="88">
        <f t="shared" si="135"/>
        <v>-111172.31</v>
      </c>
      <c r="BE105" s="88">
        <f t="shared" si="135"/>
        <v>159158.39000000001</v>
      </c>
      <c r="BF105" s="259">
        <f t="shared" si="135"/>
        <v>-224319.06</v>
      </c>
      <c r="BG105" s="259">
        <f t="shared" si="136"/>
        <v>-49412.619999999995</v>
      </c>
      <c r="BH105" s="259">
        <f t="shared" si="136"/>
        <v>-61179.790000000037</v>
      </c>
      <c r="BI105" s="259">
        <f t="shared" si="136"/>
        <v>-473186.25999999995</v>
      </c>
      <c r="BJ105" s="259">
        <f t="shared" si="136"/>
        <v>-209011.41999999998</v>
      </c>
      <c r="BK105" s="259">
        <f t="shared" si="136"/>
        <v>376956.64</v>
      </c>
      <c r="BL105" s="259">
        <f t="shared" si="136"/>
        <v>528877.03</v>
      </c>
      <c r="BM105" s="259">
        <f t="shared" si="136"/>
        <v>353511.97</v>
      </c>
      <c r="BN105" s="259">
        <f t="shared" si="136"/>
        <v>420958.27</v>
      </c>
      <c r="BO105" s="259">
        <f t="shared" si="136"/>
        <v>337894.28</v>
      </c>
      <c r="BP105" s="259">
        <f t="shared" si="136"/>
        <v>389343.91</v>
      </c>
      <c r="BQ105" s="259">
        <f t="shared" si="137"/>
        <v>188692.81</v>
      </c>
      <c r="BR105" s="259">
        <f t="shared" si="137"/>
        <v>640813.85</v>
      </c>
    </row>
    <row r="106" spans="1:70" x14ac:dyDescent="0.25">
      <c r="A106" s="4"/>
      <c r="B106" s="35" t="s">
        <v>41</v>
      </c>
      <c r="C106" s="108">
        <f>SUM(C101:C105)</f>
        <v>11188088.32</v>
      </c>
      <c r="D106" s="79">
        <f>SUM(D101:D105)</f>
        <v>10805898.709999999</v>
      </c>
      <c r="E106" s="109">
        <f t="shared" ref="E106:BD106" si="138">SUM(E101:E105)</f>
        <v>7229387.3500000006</v>
      </c>
      <c r="F106" s="109">
        <f t="shared" si="138"/>
        <v>4283224.1400000006</v>
      </c>
      <c r="G106" s="79">
        <f t="shared" si="138"/>
        <v>3132255.3400000003</v>
      </c>
      <c r="H106" s="109">
        <f t="shared" si="138"/>
        <v>2333644.9900000002</v>
      </c>
      <c r="I106" s="109">
        <f t="shared" si="138"/>
        <v>2156974.81</v>
      </c>
      <c r="J106" s="109">
        <f t="shared" si="138"/>
        <v>2289394.9800000004</v>
      </c>
      <c r="K106" s="109">
        <f t="shared" si="138"/>
        <v>2480418.1170000001</v>
      </c>
      <c r="L106" s="110">
        <f t="shared" si="138"/>
        <v>5884377.7599999998</v>
      </c>
      <c r="M106" s="79">
        <f t="shared" si="138"/>
        <v>8969301.7699999996</v>
      </c>
      <c r="N106" s="89">
        <f t="shared" si="138"/>
        <v>10565980.050000001</v>
      </c>
      <c r="O106" s="109">
        <f t="shared" si="138"/>
        <v>10996789.360000001</v>
      </c>
      <c r="P106" s="98">
        <f t="shared" si="138"/>
        <v>8132754.6699999999</v>
      </c>
      <c r="Q106" s="109">
        <f t="shared" si="138"/>
        <v>6773459.1399999997</v>
      </c>
      <c r="R106" s="98">
        <f t="shared" si="138"/>
        <v>6330408.6800000006</v>
      </c>
      <c r="S106" s="109">
        <f t="shared" si="138"/>
        <v>3141216.5700000003</v>
      </c>
      <c r="T106" s="79">
        <f t="shared" si="138"/>
        <v>2493710.94</v>
      </c>
      <c r="U106" s="180">
        <f t="shared" si="138"/>
        <v>2320548.3200000003</v>
      </c>
      <c r="V106" s="180">
        <f t="shared" si="138"/>
        <v>2456887.4900000002</v>
      </c>
      <c r="W106" s="180">
        <f t="shared" ref="W106:AB106" si="139">SUM(W101:W105)</f>
        <v>2332439.9600000004</v>
      </c>
      <c r="X106" s="99">
        <f t="shared" si="139"/>
        <v>5180257.4099999992</v>
      </c>
      <c r="Y106" s="99">
        <f t="shared" si="139"/>
        <v>7994708.9700000007</v>
      </c>
      <c r="Z106" s="99">
        <f t="shared" si="139"/>
        <v>9674179.6799999997</v>
      </c>
      <c r="AA106" s="99">
        <f t="shared" si="139"/>
        <v>14951463.98</v>
      </c>
      <c r="AB106" s="99">
        <f t="shared" si="139"/>
        <v>10312684.049999999</v>
      </c>
      <c r="AC106" s="99">
        <f t="shared" ref="AC106:AI106" si="140">SUM(AC101:AC105)</f>
        <v>6048901.1799999997</v>
      </c>
      <c r="AD106" s="99">
        <f t="shared" si="140"/>
        <v>5696281.6500000004</v>
      </c>
      <c r="AE106" s="99">
        <f t="shared" si="140"/>
        <v>3353089.44</v>
      </c>
      <c r="AF106" s="99">
        <f t="shared" si="140"/>
        <v>3454109.01</v>
      </c>
      <c r="AG106" s="99">
        <f t="shared" si="140"/>
        <v>2425754.1</v>
      </c>
      <c r="AH106" s="99">
        <f t="shared" si="140"/>
        <v>2387264.5499999998</v>
      </c>
      <c r="AI106" s="99">
        <f t="shared" si="140"/>
        <v>5549704.0800000001</v>
      </c>
      <c r="AJ106" s="180">
        <f t="shared" ref="AJ106:AK106" si="141">SUM(AJ101:AJ105)</f>
        <v>5998795.0599999996</v>
      </c>
      <c r="AK106" s="99">
        <f t="shared" si="141"/>
        <v>10179783.84</v>
      </c>
      <c r="AL106" s="99">
        <v>14623207.449999999</v>
      </c>
      <c r="AM106" s="99">
        <v>14623207.449999999</v>
      </c>
      <c r="AN106" s="99">
        <v>14623207.449999999</v>
      </c>
      <c r="AO106" s="98">
        <f>SUM(AO101:AO105)</f>
        <v>10929667.42</v>
      </c>
      <c r="AP106" s="98">
        <v>7211448.1500000004</v>
      </c>
      <c r="AQ106" s="98">
        <v>5286146.83</v>
      </c>
      <c r="AR106" s="885">
        <v>4449164.1900000004</v>
      </c>
      <c r="AS106" s="98"/>
      <c r="AT106" s="98"/>
      <c r="AU106" s="98"/>
      <c r="AV106" s="98"/>
      <c r="AW106" s="109">
        <f t="shared" si="138"/>
        <v>191298.96000000014</v>
      </c>
      <c r="AX106" s="79">
        <f t="shared" si="138"/>
        <v>2673144.04</v>
      </c>
      <c r="AY106" s="77">
        <f t="shared" si="138"/>
        <v>455928.21000000014</v>
      </c>
      <c r="AZ106" s="77">
        <f t="shared" si="138"/>
        <v>-2047184.5399999998</v>
      </c>
      <c r="BA106" s="77">
        <f t="shared" si="138"/>
        <v>-8961.2300000000687</v>
      </c>
      <c r="BB106" s="109">
        <f t="shared" si="138"/>
        <v>-160065.94999999987</v>
      </c>
      <c r="BC106" s="110">
        <f t="shared" si="138"/>
        <v>-163573.50999999995</v>
      </c>
      <c r="BD106" s="110">
        <f t="shared" si="138"/>
        <v>-167492.51000000004</v>
      </c>
      <c r="BE106" s="110">
        <f>SUM(BE101:BE105)</f>
        <v>147978.15700000015</v>
      </c>
      <c r="BF106" s="109">
        <f>SUM(BF101:BF105)</f>
        <v>704120.35000000033</v>
      </c>
      <c r="BG106" s="259">
        <f t="shared" ref="BG106:BR106" si="142">M106-Y106</f>
        <v>974592.79999999888</v>
      </c>
      <c r="BH106" s="259">
        <f t="shared" si="142"/>
        <v>891800.37000000104</v>
      </c>
      <c r="BI106" s="259">
        <f t="shared" si="142"/>
        <v>-3954674.6199999992</v>
      </c>
      <c r="BJ106" s="259">
        <f t="shared" si="142"/>
        <v>-2179929.379999999</v>
      </c>
      <c r="BK106" s="259">
        <f t="shared" si="142"/>
        <v>724557.96</v>
      </c>
      <c r="BL106" s="259">
        <f t="shared" si="142"/>
        <v>634127.03000000026</v>
      </c>
      <c r="BM106" s="259">
        <f t="shared" si="142"/>
        <v>-211872.86999999965</v>
      </c>
      <c r="BN106" s="259">
        <f t="shared" si="142"/>
        <v>-960398.06999999983</v>
      </c>
      <c r="BO106" s="259">
        <f t="shared" si="142"/>
        <v>-105205.7799999998</v>
      </c>
      <c r="BP106" s="259">
        <f t="shared" si="142"/>
        <v>69622.94000000041</v>
      </c>
      <c r="BQ106" s="259">
        <f t="shared" si="142"/>
        <v>-3217264.1199999996</v>
      </c>
      <c r="BR106" s="259">
        <f t="shared" si="142"/>
        <v>-818537.65000000037</v>
      </c>
    </row>
    <row r="107" spans="1:70" x14ac:dyDescent="0.25">
      <c r="A107" s="4">
        <f>+A100+1</f>
        <v>15</v>
      </c>
      <c r="B107" s="43" t="s">
        <v>32</v>
      </c>
      <c r="C107" s="111"/>
      <c r="D107" s="112"/>
      <c r="E107" s="112"/>
      <c r="F107" s="113"/>
      <c r="G107" s="112"/>
      <c r="H107" s="112"/>
      <c r="I107" s="112"/>
      <c r="J107" s="112"/>
      <c r="K107" s="112"/>
      <c r="L107" s="114"/>
      <c r="M107" s="113"/>
      <c r="N107" s="112"/>
      <c r="O107" s="113"/>
      <c r="P107" s="112"/>
      <c r="Q107" s="112"/>
      <c r="R107" s="112"/>
      <c r="S107" s="112"/>
      <c r="T107" s="112"/>
      <c r="U107" s="185"/>
      <c r="V107" s="325"/>
      <c r="W107" s="325"/>
      <c r="X107" s="391"/>
      <c r="Y107" s="325"/>
      <c r="Z107" s="325"/>
      <c r="AA107" s="325"/>
      <c r="AB107" s="325"/>
      <c r="AC107" s="391"/>
      <c r="AD107" s="391"/>
      <c r="AE107" s="325"/>
      <c r="AF107" s="325"/>
      <c r="AG107" s="325"/>
      <c r="AH107" s="325"/>
      <c r="AI107" s="325"/>
      <c r="AJ107" s="876"/>
      <c r="AK107" s="325"/>
      <c r="AL107" s="325"/>
      <c r="AM107" s="325"/>
      <c r="AN107" s="325"/>
      <c r="AO107" s="325"/>
      <c r="AP107" s="325"/>
      <c r="AQ107" s="325"/>
      <c r="AR107" s="325"/>
      <c r="AS107" s="325"/>
      <c r="AT107" s="325"/>
      <c r="AU107" s="325"/>
      <c r="AV107" s="325"/>
      <c r="AW107" s="113"/>
      <c r="AX107" s="115"/>
      <c r="AY107" s="116"/>
      <c r="AZ107" s="116"/>
      <c r="BA107" s="116"/>
      <c r="BB107" s="116"/>
      <c r="BC107" s="117"/>
      <c r="BD107" s="317"/>
      <c r="BE107" s="317"/>
      <c r="BF107" s="317"/>
      <c r="BG107" s="408"/>
      <c r="BH107" s="415"/>
      <c r="BI107" s="416"/>
      <c r="BJ107" s="416"/>
      <c r="BK107" s="416"/>
      <c r="BL107" s="416"/>
      <c r="BM107" s="416"/>
      <c r="BN107" s="416"/>
      <c r="BO107" s="416"/>
      <c r="BP107" s="416"/>
      <c r="BQ107" s="416"/>
      <c r="BR107" s="416"/>
    </row>
    <row r="108" spans="1:70" x14ac:dyDescent="0.25">
      <c r="A108" s="4"/>
      <c r="B108" s="35" t="s">
        <v>36</v>
      </c>
      <c r="C108" s="118">
        <v>31838</v>
      </c>
      <c r="D108" s="119">
        <v>33081</v>
      </c>
      <c r="E108" s="119">
        <v>31193</v>
      </c>
      <c r="F108" s="120">
        <v>28141</v>
      </c>
      <c r="G108" s="119">
        <v>31124</v>
      </c>
      <c r="H108" s="119">
        <v>28268</v>
      </c>
      <c r="I108" s="119">
        <v>28195</v>
      </c>
      <c r="J108" s="119">
        <v>31279</v>
      </c>
      <c r="K108" s="119">
        <v>24640</v>
      </c>
      <c r="L108" s="121">
        <v>33868</v>
      </c>
      <c r="M108" s="120">
        <v>30933</v>
      </c>
      <c r="N108" s="119">
        <v>32879</v>
      </c>
      <c r="O108" s="120">
        <v>36883</v>
      </c>
      <c r="P108" s="119">
        <v>33330</v>
      </c>
      <c r="Q108" s="119">
        <v>29310</v>
      </c>
      <c r="R108" s="119">
        <v>38391</v>
      </c>
      <c r="S108" s="119">
        <v>31047</v>
      </c>
      <c r="T108" s="119">
        <v>29739</v>
      </c>
      <c r="U108" s="186">
        <v>30126</v>
      </c>
      <c r="V108" s="326">
        <v>30533</v>
      </c>
      <c r="W108" s="326">
        <v>26370</v>
      </c>
      <c r="X108" s="392">
        <v>35953</v>
      </c>
      <c r="Y108" s="326">
        <v>31799</v>
      </c>
      <c r="Z108" s="326">
        <v>29599</v>
      </c>
      <c r="AA108" s="326">
        <v>41022</v>
      </c>
      <c r="AB108" s="326">
        <v>31195</v>
      </c>
      <c r="AC108" s="392">
        <f>SUM(Weekly!BG87:BJ87)</f>
        <v>41145</v>
      </c>
      <c r="AD108" s="392">
        <v>44363</v>
      </c>
      <c r="AE108" s="326">
        <v>34709</v>
      </c>
      <c r="AF108" s="326">
        <v>43611</v>
      </c>
      <c r="AG108" s="326">
        <v>35467</v>
      </c>
      <c r="AH108" s="326">
        <v>35471</v>
      </c>
      <c r="AI108" s="326">
        <v>45890</v>
      </c>
      <c r="AJ108" s="848">
        <v>36512</v>
      </c>
      <c r="AK108" s="326">
        <v>38422</v>
      </c>
      <c r="AL108" s="326">
        <v>45460</v>
      </c>
      <c r="AM108" s="326"/>
      <c r="AN108" s="326">
        <v>40205</v>
      </c>
      <c r="AO108" s="326">
        <v>45993</v>
      </c>
      <c r="AP108" s="326">
        <v>43332</v>
      </c>
      <c r="AQ108" s="326">
        <v>36878</v>
      </c>
      <c r="AR108" s="326">
        <v>42834</v>
      </c>
      <c r="AS108" s="326"/>
      <c r="AT108" s="326"/>
      <c r="AU108" s="326"/>
      <c r="AV108" s="326"/>
      <c r="AW108" s="120">
        <f t="shared" ref="AW108:BF112" si="143">C108-O108</f>
        <v>-5045</v>
      </c>
      <c r="AX108" s="120">
        <f t="shared" si="143"/>
        <v>-249</v>
      </c>
      <c r="AY108" s="120">
        <f t="shared" si="143"/>
        <v>1883</v>
      </c>
      <c r="AZ108" s="120">
        <f t="shared" si="143"/>
        <v>-10250</v>
      </c>
      <c r="BA108" s="120">
        <f t="shared" si="143"/>
        <v>77</v>
      </c>
      <c r="BB108" s="120">
        <f t="shared" si="143"/>
        <v>-1471</v>
      </c>
      <c r="BC108" s="121">
        <f t="shared" si="143"/>
        <v>-1931</v>
      </c>
      <c r="BD108" s="121">
        <f t="shared" si="143"/>
        <v>746</v>
      </c>
      <c r="BE108" s="121">
        <f t="shared" si="143"/>
        <v>-1730</v>
      </c>
      <c r="BF108" s="261">
        <f t="shared" si="143"/>
        <v>-2085</v>
      </c>
      <c r="BG108" s="261">
        <f t="shared" ref="BG108:BP112" si="144">M108-Y108</f>
        <v>-866</v>
      </c>
      <c r="BH108" s="261">
        <f t="shared" si="144"/>
        <v>3280</v>
      </c>
      <c r="BI108" s="261">
        <f t="shared" si="144"/>
        <v>-4139</v>
      </c>
      <c r="BJ108" s="261">
        <f t="shared" si="144"/>
        <v>2135</v>
      </c>
      <c r="BK108" s="261">
        <f t="shared" si="144"/>
        <v>-11835</v>
      </c>
      <c r="BL108" s="261">
        <f t="shared" si="144"/>
        <v>-5972</v>
      </c>
      <c r="BM108" s="261">
        <f t="shared" si="144"/>
        <v>-3662</v>
      </c>
      <c r="BN108" s="261">
        <f t="shared" si="144"/>
        <v>-13872</v>
      </c>
      <c r="BO108" s="261">
        <f t="shared" si="144"/>
        <v>-5341</v>
      </c>
      <c r="BP108" s="261">
        <f t="shared" si="144"/>
        <v>-4938</v>
      </c>
      <c r="BQ108" s="261">
        <f t="shared" ref="BQ108:BR112" si="145">W108-AI108</f>
        <v>-19520</v>
      </c>
      <c r="BR108" s="261">
        <f t="shared" si="145"/>
        <v>-559</v>
      </c>
    </row>
    <row r="109" spans="1:70" x14ac:dyDescent="0.25">
      <c r="A109" s="4"/>
      <c r="B109" s="35" t="s">
        <v>37</v>
      </c>
      <c r="C109" s="118">
        <v>6771</v>
      </c>
      <c r="D109" s="119">
        <v>7575</v>
      </c>
      <c r="E109" s="119">
        <v>9731</v>
      </c>
      <c r="F109" s="120">
        <v>5421</v>
      </c>
      <c r="G109" s="119">
        <v>3682</v>
      </c>
      <c r="H109" s="119">
        <v>3839</v>
      </c>
      <c r="I109" s="119">
        <v>3977</v>
      </c>
      <c r="J109" s="119">
        <v>4349</v>
      </c>
      <c r="K109" s="119">
        <v>4452</v>
      </c>
      <c r="L109" s="121">
        <v>5266</v>
      </c>
      <c r="M109" s="120">
        <v>9600</v>
      </c>
      <c r="N109" s="119">
        <v>7934</v>
      </c>
      <c r="O109" s="120">
        <v>9447</v>
      </c>
      <c r="P109" s="119">
        <v>4771</v>
      </c>
      <c r="Q109" s="119">
        <v>8029</v>
      </c>
      <c r="R109" s="119">
        <v>8259</v>
      </c>
      <c r="S109" s="119">
        <v>3985</v>
      </c>
      <c r="T109" s="119">
        <v>3239</v>
      </c>
      <c r="U109" s="186">
        <v>3654</v>
      </c>
      <c r="V109" s="326">
        <v>3666</v>
      </c>
      <c r="W109" s="326">
        <v>3130</v>
      </c>
      <c r="X109" s="392">
        <v>4775</v>
      </c>
      <c r="Y109" s="326">
        <v>4778</v>
      </c>
      <c r="Z109" s="326">
        <v>5514</v>
      </c>
      <c r="AA109" s="326">
        <v>9198</v>
      </c>
      <c r="AB109" s="326">
        <v>8874</v>
      </c>
      <c r="AC109" s="392">
        <f>SUM(Weekly!BG88:BJ88)</f>
        <v>0</v>
      </c>
      <c r="AD109" s="392">
        <f>SUM(Weekly!BH88:BK88)</f>
        <v>0</v>
      </c>
      <c r="AE109" s="326">
        <v>0</v>
      </c>
      <c r="AF109" s="326">
        <v>0</v>
      </c>
      <c r="AG109" s="326">
        <v>0</v>
      </c>
      <c r="AH109" s="326"/>
      <c r="AI109" s="326"/>
      <c r="AJ109" s="848"/>
      <c r="AK109" s="326"/>
      <c r="AL109" s="326"/>
      <c r="AM109" s="326"/>
      <c r="AN109" s="326"/>
      <c r="AO109" s="326"/>
      <c r="AP109" s="326"/>
      <c r="AQ109" s="326"/>
      <c r="AR109" s="326"/>
      <c r="AS109" s="326"/>
      <c r="AT109" s="326"/>
      <c r="AU109" s="326"/>
      <c r="AV109" s="326"/>
      <c r="AW109" s="120">
        <f t="shared" si="143"/>
        <v>-2676</v>
      </c>
      <c r="AX109" s="120">
        <f t="shared" si="143"/>
        <v>2804</v>
      </c>
      <c r="AY109" s="120">
        <f t="shared" si="143"/>
        <v>1702</v>
      </c>
      <c r="AZ109" s="120">
        <f t="shared" si="143"/>
        <v>-2838</v>
      </c>
      <c r="BA109" s="120">
        <f t="shared" si="143"/>
        <v>-303</v>
      </c>
      <c r="BB109" s="120">
        <f t="shared" si="143"/>
        <v>600</v>
      </c>
      <c r="BC109" s="121">
        <f t="shared" si="143"/>
        <v>323</v>
      </c>
      <c r="BD109" s="121">
        <f t="shared" si="143"/>
        <v>683</v>
      </c>
      <c r="BE109" s="121">
        <f t="shared" si="143"/>
        <v>1322</v>
      </c>
      <c r="BF109" s="261">
        <f t="shared" si="143"/>
        <v>491</v>
      </c>
      <c r="BG109" s="261">
        <f t="shared" si="144"/>
        <v>4822</v>
      </c>
      <c r="BH109" s="261">
        <f t="shared" si="144"/>
        <v>2420</v>
      </c>
      <c r="BI109" s="261">
        <f t="shared" si="144"/>
        <v>249</v>
      </c>
      <c r="BJ109" s="261">
        <f t="shared" si="144"/>
        <v>-4103</v>
      </c>
      <c r="BK109" s="261">
        <f t="shared" si="144"/>
        <v>8029</v>
      </c>
      <c r="BL109" s="261">
        <f t="shared" si="144"/>
        <v>8259</v>
      </c>
      <c r="BM109" s="261">
        <f t="shared" si="144"/>
        <v>3985</v>
      </c>
      <c r="BN109" s="261">
        <f t="shared" si="144"/>
        <v>3239</v>
      </c>
      <c r="BO109" s="261">
        <f t="shared" si="144"/>
        <v>3654</v>
      </c>
      <c r="BP109" s="261">
        <f t="shared" si="144"/>
        <v>3666</v>
      </c>
      <c r="BQ109" s="261">
        <f t="shared" si="145"/>
        <v>3130</v>
      </c>
      <c r="BR109" s="261">
        <f t="shared" si="145"/>
        <v>4775</v>
      </c>
    </row>
    <row r="110" spans="1:70" x14ac:dyDescent="0.25">
      <c r="A110" s="4"/>
      <c r="B110" s="35" t="s">
        <v>38</v>
      </c>
      <c r="C110" s="118">
        <v>3168</v>
      </c>
      <c r="D110" s="119">
        <v>3289</v>
      </c>
      <c r="E110" s="119">
        <v>2956</v>
      </c>
      <c r="F110" s="120">
        <v>2949</v>
      </c>
      <c r="G110" s="119">
        <v>3102</v>
      </c>
      <c r="H110" s="119">
        <v>2928</v>
      </c>
      <c r="I110" s="119">
        <v>2930</v>
      </c>
      <c r="J110" s="119">
        <v>3201</v>
      </c>
      <c r="K110" s="119">
        <v>2573</v>
      </c>
      <c r="L110" s="121">
        <v>3455</v>
      </c>
      <c r="M110" s="120">
        <v>2837</v>
      </c>
      <c r="N110" s="119">
        <v>3239</v>
      </c>
      <c r="O110" s="120">
        <v>3787</v>
      </c>
      <c r="P110" s="119">
        <v>2883</v>
      </c>
      <c r="Q110" s="119">
        <v>2709</v>
      </c>
      <c r="R110" s="119">
        <v>3920</v>
      </c>
      <c r="S110" s="119">
        <v>3094</v>
      </c>
      <c r="T110" s="119">
        <v>3053</v>
      </c>
      <c r="U110" s="186">
        <v>3107</v>
      </c>
      <c r="V110" s="326">
        <v>2979</v>
      </c>
      <c r="W110" s="326">
        <v>2659</v>
      </c>
      <c r="X110" s="392">
        <v>3469</v>
      </c>
      <c r="Y110" s="326">
        <v>3078</v>
      </c>
      <c r="Z110" s="326">
        <v>2937</v>
      </c>
      <c r="AA110" s="326">
        <v>4377</v>
      </c>
      <c r="AB110" s="326">
        <v>3298</v>
      </c>
      <c r="AC110" s="392">
        <f>SUM(Weekly!BG89:BJ89)</f>
        <v>0</v>
      </c>
      <c r="AD110" s="392">
        <f>SUM(Weekly!BH89:BK89)</f>
        <v>0</v>
      </c>
      <c r="AE110" s="326">
        <v>0</v>
      </c>
      <c r="AF110" s="326">
        <v>0</v>
      </c>
      <c r="AG110" s="326">
        <v>0</v>
      </c>
      <c r="AH110" s="326"/>
      <c r="AI110" s="326"/>
      <c r="AJ110" s="848"/>
      <c r="AK110" s="326"/>
      <c r="AL110" s="326"/>
      <c r="AM110" s="326"/>
      <c r="AN110" s="326"/>
      <c r="AO110" s="326"/>
      <c r="AP110" s="326"/>
      <c r="AQ110" s="326"/>
      <c r="AR110" s="326"/>
      <c r="AS110" s="326"/>
      <c r="AT110" s="326"/>
      <c r="AU110" s="326"/>
      <c r="AV110" s="326"/>
      <c r="AW110" s="120">
        <f t="shared" si="143"/>
        <v>-619</v>
      </c>
      <c r="AX110" s="120">
        <f t="shared" si="143"/>
        <v>406</v>
      </c>
      <c r="AY110" s="120">
        <f t="shared" si="143"/>
        <v>247</v>
      </c>
      <c r="AZ110" s="120">
        <f t="shared" si="143"/>
        <v>-971</v>
      </c>
      <c r="BA110" s="120">
        <f t="shared" si="143"/>
        <v>8</v>
      </c>
      <c r="BB110" s="120">
        <f t="shared" si="143"/>
        <v>-125</v>
      </c>
      <c r="BC110" s="121">
        <f t="shared" si="143"/>
        <v>-177</v>
      </c>
      <c r="BD110" s="121">
        <f t="shared" si="143"/>
        <v>222</v>
      </c>
      <c r="BE110" s="121">
        <f t="shared" si="143"/>
        <v>-86</v>
      </c>
      <c r="BF110" s="261">
        <f t="shared" si="143"/>
        <v>-14</v>
      </c>
      <c r="BG110" s="261">
        <f t="shared" si="144"/>
        <v>-241</v>
      </c>
      <c r="BH110" s="261">
        <f t="shared" si="144"/>
        <v>302</v>
      </c>
      <c r="BI110" s="261">
        <f t="shared" si="144"/>
        <v>-590</v>
      </c>
      <c r="BJ110" s="261">
        <f t="shared" si="144"/>
        <v>-415</v>
      </c>
      <c r="BK110" s="261">
        <f t="shared" si="144"/>
        <v>2709</v>
      </c>
      <c r="BL110" s="261">
        <f t="shared" si="144"/>
        <v>3920</v>
      </c>
      <c r="BM110" s="261">
        <f t="shared" si="144"/>
        <v>3094</v>
      </c>
      <c r="BN110" s="261">
        <f t="shared" si="144"/>
        <v>3053</v>
      </c>
      <c r="BO110" s="261">
        <f t="shared" si="144"/>
        <v>3107</v>
      </c>
      <c r="BP110" s="261">
        <f t="shared" si="144"/>
        <v>2979</v>
      </c>
      <c r="BQ110" s="261">
        <f t="shared" si="145"/>
        <v>2659</v>
      </c>
      <c r="BR110" s="261">
        <f t="shared" si="145"/>
        <v>3469</v>
      </c>
    </row>
    <row r="111" spans="1:70" x14ac:dyDescent="0.25">
      <c r="A111" s="4"/>
      <c r="B111" s="35" t="s">
        <v>39</v>
      </c>
      <c r="C111" s="118">
        <v>549</v>
      </c>
      <c r="D111" s="119">
        <v>568</v>
      </c>
      <c r="E111" s="119">
        <v>486</v>
      </c>
      <c r="F111" s="120">
        <v>478</v>
      </c>
      <c r="G111" s="119">
        <v>558</v>
      </c>
      <c r="H111" s="119">
        <v>489</v>
      </c>
      <c r="I111" s="119">
        <v>471</v>
      </c>
      <c r="J111" s="119">
        <v>537</v>
      </c>
      <c r="K111" s="119">
        <v>406</v>
      </c>
      <c r="L111" s="121">
        <v>562</v>
      </c>
      <c r="M111" s="120">
        <v>454</v>
      </c>
      <c r="N111" s="119">
        <v>483</v>
      </c>
      <c r="O111" s="120">
        <v>598</v>
      </c>
      <c r="P111" s="119">
        <v>444</v>
      </c>
      <c r="Q111" s="119">
        <v>402</v>
      </c>
      <c r="R111" s="119">
        <v>608</v>
      </c>
      <c r="S111" s="119">
        <v>506</v>
      </c>
      <c r="T111" s="119">
        <v>470</v>
      </c>
      <c r="U111" s="186">
        <v>497</v>
      </c>
      <c r="V111" s="326">
        <v>456</v>
      </c>
      <c r="W111" s="326">
        <v>397</v>
      </c>
      <c r="X111" s="392">
        <v>528</v>
      </c>
      <c r="Y111" s="326">
        <v>488</v>
      </c>
      <c r="Z111" s="326">
        <v>461</v>
      </c>
      <c r="AA111" s="326">
        <v>780</v>
      </c>
      <c r="AB111" s="326">
        <v>488</v>
      </c>
      <c r="AC111" s="392">
        <f>SUM(Weekly!BG90:BJ90)</f>
        <v>0</v>
      </c>
      <c r="AD111" s="392">
        <f>SUM(Weekly!BH90:BK90)</f>
        <v>0</v>
      </c>
      <c r="AE111" s="326">
        <v>0</v>
      </c>
      <c r="AF111" s="326">
        <v>0</v>
      </c>
      <c r="AG111" s="326">
        <v>0</v>
      </c>
      <c r="AH111" s="326"/>
      <c r="AI111" s="326"/>
      <c r="AJ111" s="848"/>
      <c r="AK111" s="326"/>
      <c r="AL111" s="326"/>
      <c r="AM111" s="326"/>
      <c r="AN111" s="326"/>
      <c r="AO111" s="326"/>
      <c r="AP111" s="326"/>
      <c r="AQ111" s="326"/>
      <c r="AR111" s="326"/>
      <c r="AS111" s="326"/>
      <c r="AT111" s="326"/>
      <c r="AU111" s="326"/>
      <c r="AV111" s="326"/>
      <c r="AW111" s="120">
        <f t="shared" si="143"/>
        <v>-49</v>
      </c>
      <c r="AX111" s="120">
        <f t="shared" si="143"/>
        <v>124</v>
      </c>
      <c r="AY111" s="120">
        <f t="shared" si="143"/>
        <v>84</v>
      </c>
      <c r="AZ111" s="120">
        <f t="shared" si="143"/>
        <v>-130</v>
      </c>
      <c r="BA111" s="120">
        <f t="shared" si="143"/>
        <v>52</v>
      </c>
      <c r="BB111" s="120">
        <f t="shared" si="143"/>
        <v>19</v>
      </c>
      <c r="BC111" s="121">
        <f t="shared" si="143"/>
        <v>-26</v>
      </c>
      <c r="BD111" s="121">
        <f t="shared" si="143"/>
        <v>81</v>
      </c>
      <c r="BE111" s="121">
        <f t="shared" si="143"/>
        <v>9</v>
      </c>
      <c r="BF111" s="261">
        <f t="shared" si="143"/>
        <v>34</v>
      </c>
      <c r="BG111" s="261">
        <f t="shared" si="144"/>
        <v>-34</v>
      </c>
      <c r="BH111" s="261">
        <f t="shared" si="144"/>
        <v>22</v>
      </c>
      <c r="BI111" s="261">
        <f t="shared" si="144"/>
        <v>-182</v>
      </c>
      <c r="BJ111" s="261">
        <f t="shared" si="144"/>
        <v>-44</v>
      </c>
      <c r="BK111" s="261">
        <f t="shared" si="144"/>
        <v>402</v>
      </c>
      <c r="BL111" s="261">
        <f t="shared" si="144"/>
        <v>608</v>
      </c>
      <c r="BM111" s="261">
        <f t="shared" si="144"/>
        <v>506</v>
      </c>
      <c r="BN111" s="261">
        <f t="shared" si="144"/>
        <v>470</v>
      </c>
      <c r="BO111" s="261">
        <f t="shared" si="144"/>
        <v>497</v>
      </c>
      <c r="BP111" s="261">
        <f t="shared" si="144"/>
        <v>456</v>
      </c>
      <c r="BQ111" s="261">
        <f t="shared" si="145"/>
        <v>397</v>
      </c>
      <c r="BR111" s="261">
        <f t="shared" si="145"/>
        <v>528</v>
      </c>
    </row>
    <row r="112" spans="1:70" x14ac:dyDescent="0.25">
      <c r="A112" s="4"/>
      <c r="B112" s="35" t="s">
        <v>40</v>
      </c>
      <c r="C112" s="118">
        <v>27</v>
      </c>
      <c r="D112" s="119">
        <v>34</v>
      </c>
      <c r="E112" s="119">
        <v>11</v>
      </c>
      <c r="F112" s="120">
        <v>28</v>
      </c>
      <c r="G112" s="119">
        <v>34</v>
      </c>
      <c r="H112" s="119">
        <v>30</v>
      </c>
      <c r="I112" s="119">
        <v>35</v>
      </c>
      <c r="J112" s="119">
        <v>20</v>
      </c>
      <c r="K112" s="119">
        <v>26</v>
      </c>
      <c r="L112" s="121">
        <v>32</v>
      </c>
      <c r="M112" s="120">
        <v>25</v>
      </c>
      <c r="N112" s="119">
        <v>26</v>
      </c>
      <c r="O112" s="120">
        <v>27</v>
      </c>
      <c r="P112" s="119">
        <v>21</v>
      </c>
      <c r="Q112" s="119">
        <v>18</v>
      </c>
      <c r="R112" s="119">
        <v>36</v>
      </c>
      <c r="S112" s="119">
        <v>32</v>
      </c>
      <c r="T112" s="119">
        <v>29</v>
      </c>
      <c r="U112" s="186">
        <v>28</v>
      </c>
      <c r="V112" s="326">
        <v>31</v>
      </c>
      <c r="W112" s="326">
        <v>20</v>
      </c>
      <c r="X112" s="392">
        <v>33</v>
      </c>
      <c r="Y112" s="326">
        <v>29</v>
      </c>
      <c r="Z112" s="326">
        <v>25</v>
      </c>
      <c r="AA112" s="326">
        <v>48</v>
      </c>
      <c r="AB112" s="326">
        <v>24</v>
      </c>
      <c r="AC112" s="392">
        <f>SUM(Weekly!BG91:BJ91)</f>
        <v>0</v>
      </c>
      <c r="AD112" s="392">
        <f>SUM(Weekly!BH91:BK91)</f>
        <v>0</v>
      </c>
      <c r="AE112" s="326">
        <v>0</v>
      </c>
      <c r="AF112" s="326">
        <v>0</v>
      </c>
      <c r="AG112" s="326">
        <v>0</v>
      </c>
      <c r="AH112" s="326"/>
      <c r="AI112" s="326"/>
      <c r="AJ112" s="848"/>
      <c r="AK112" s="326"/>
      <c r="AL112" s="326"/>
      <c r="AM112" s="326"/>
      <c r="AN112" s="326"/>
      <c r="AO112" s="326"/>
      <c r="AP112" s="326"/>
      <c r="AQ112" s="326"/>
      <c r="AR112" s="326"/>
      <c r="AS112" s="326"/>
      <c r="AT112" s="326"/>
      <c r="AU112" s="326"/>
      <c r="AV112" s="326"/>
      <c r="AW112" s="120">
        <f t="shared" si="143"/>
        <v>0</v>
      </c>
      <c r="AX112" s="120">
        <f t="shared" si="143"/>
        <v>13</v>
      </c>
      <c r="AY112" s="120">
        <f t="shared" si="143"/>
        <v>-7</v>
      </c>
      <c r="AZ112" s="120">
        <f t="shared" si="143"/>
        <v>-8</v>
      </c>
      <c r="BA112" s="120">
        <f t="shared" si="143"/>
        <v>2</v>
      </c>
      <c r="BB112" s="120">
        <f t="shared" si="143"/>
        <v>1</v>
      </c>
      <c r="BC112" s="121">
        <f t="shared" si="143"/>
        <v>7</v>
      </c>
      <c r="BD112" s="121">
        <f t="shared" si="143"/>
        <v>-11</v>
      </c>
      <c r="BE112" s="121">
        <f t="shared" si="143"/>
        <v>6</v>
      </c>
      <c r="BF112" s="261">
        <f t="shared" si="143"/>
        <v>-1</v>
      </c>
      <c r="BG112" s="261">
        <f t="shared" si="144"/>
        <v>-4</v>
      </c>
      <c r="BH112" s="261">
        <f t="shared" si="144"/>
        <v>1</v>
      </c>
      <c r="BI112" s="261">
        <f t="shared" si="144"/>
        <v>-21</v>
      </c>
      <c r="BJ112" s="261">
        <f t="shared" si="144"/>
        <v>-3</v>
      </c>
      <c r="BK112" s="261">
        <f t="shared" si="144"/>
        <v>18</v>
      </c>
      <c r="BL112" s="261">
        <f t="shared" si="144"/>
        <v>36</v>
      </c>
      <c r="BM112" s="261">
        <f t="shared" si="144"/>
        <v>32</v>
      </c>
      <c r="BN112" s="261">
        <f t="shared" si="144"/>
        <v>29</v>
      </c>
      <c r="BO112" s="261">
        <f t="shared" si="144"/>
        <v>28</v>
      </c>
      <c r="BP112" s="261">
        <f t="shared" si="144"/>
        <v>31</v>
      </c>
      <c r="BQ112" s="261">
        <f t="shared" si="145"/>
        <v>20</v>
      </c>
      <c r="BR112" s="261">
        <f t="shared" si="145"/>
        <v>33</v>
      </c>
    </row>
    <row r="113" spans="1:70" ht="15.75" thickBot="1" x14ac:dyDescent="0.3">
      <c r="A113" s="4"/>
      <c r="B113" s="37" t="s">
        <v>41</v>
      </c>
      <c r="C113" s="122">
        <f>SUM(C108:C112)</f>
        <v>42353</v>
      </c>
      <c r="D113" s="60">
        <f>SUM(D108:D112)</f>
        <v>44547</v>
      </c>
      <c r="E113" s="60">
        <f t="shared" ref="E113:BD113" si="146">SUM(E108:E112)</f>
        <v>44377</v>
      </c>
      <c r="F113" s="60">
        <f t="shared" si="146"/>
        <v>37017</v>
      </c>
      <c r="G113" s="60">
        <f t="shared" si="146"/>
        <v>38500</v>
      </c>
      <c r="H113" s="60">
        <f t="shared" si="146"/>
        <v>35554</v>
      </c>
      <c r="I113" s="60">
        <f t="shared" si="146"/>
        <v>35608</v>
      </c>
      <c r="J113" s="60">
        <f t="shared" si="146"/>
        <v>39386</v>
      </c>
      <c r="K113" s="60">
        <f t="shared" si="146"/>
        <v>32097</v>
      </c>
      <c r="L113" s="163">
        <f t="shared" si="146"/>
        <v>43183</v>
      </c>
      <c r="M113" s="60">
        <f t="shared" si="146"/>
        <v>43849</v>
      </c>
      <c r="N113" s="60">
        <f t="shared" si="146"/>
        <v>44561</v>
      </c>
      <c r="O113" s="60">
        <f t="shared" si="146"/>
        <v>50742</v>
      </c>
      <c r="P113" s="60">
        <f t="shared" si="146"/>
        <v>41449</v>
      </c>
      <c r="Q113" s="60">
        <f t="shared" si="146"/>
        <v>40468</v>
      </c>
      <c r="R113" s="60">
        <f t="shared" si="146"/>
        <v>51214</v>
      </c>
      <c r="S113" s="60">
        <f t="shared" si="146"/>
        <v>38664</v>
      </c>
      <c r="T113" s="60">
        <f t="shared" si="146"/>
        <v>36530</v>
      </c>
      <c r="U113" s="187">
        <f t="shared" si="146"/>
        <v>37412</v>
      </c>
      <c r="V113" s="187">
        <f t="shared" si="146"/>
        <v>37665</v>
      </c>
      <c r="W113" s="187">
        <f t="shared" ref="W113:AB113" si="147">SUM(W108:W112)</f>
        <v>32576</v>
      </c>
      <c r="X113" s="59">
        <f t="shared" si="147"/>
        <v>44758</v>
      </c>
      <c r="Y113" s="59">
        <f t="shared" si="147"/>
        <v>40172</v>
      </c>
      <c r="Z113" s="59">
        <f t="shared" si="147"/>
        <v>38536</v>
      </c>
      <c r="AA113" s="59">
        <f t="shared" si="147"/>
        <v>55425</v>
      </c>
      <c r="AB113" s="59">
        <f t="shared" si="147"/>
        <v>43879</v>
      </c>
      <c r="AC113" s="163">
        <f t="shared" ref="AC113:AI113" si="148">SUM(AC108:AC112)</f>
        <v>41145</v>
      </c>
      <c r="AD113" s="163">
        <f t="shared" si="148"/>
        <v>44363</v>
      </c>
      <c r="AE113" s="163">
        <f t="shared" si="148"/>
        <v>34709</v>
      </c>
      <c r="AF113" s="163">
        <f t="shared" si="148"/>
        <v>43611</v>
      </c>
      <c r="AG113" s="163">
        <f t="shared" si="148"/>
        <v>35467</v>
      </c>
      <c r="AH113" s="163">
        <f t="shared" si="148"/>
        <v>35471</v>
      </c>
      <c r="AI113" s="163">
        <f t="shared" si="148"/>
        <v>45890</v>
      </c>
      <c r="AJ113" s="173">
        <f t="shared" ref="AJ113:AL113" si="149">SUM(AJ108:AJ112)</f>
        <v>36512</v>
      </c>
      <c r="AK113" s="163">
        <f t="shared" si="149"/>
        <v>38422</v>
      </c>
      <c r="AL113" s="163">
        <f t="shared" si="149"/>
        <v>45460</v>
      </c>
      <c r="AM113" s="163">
        <v>51973</v>
      </c>
      <c r="AN113" s="252">
        <f>SUM(AN108:AN112)</f>
        <v>40205</v>
      </c>
      <c r="AO113" s="252">
        <v>45993</v>
      </c>
      <c r="AP113" s="252">
        <v>43332</v>
      </c>
      <c r="AQ113" s="252">
        <v>36878</v>
      </c>
      <c r="AR113" s="252">
        <v>42834</v>
      </c>
      <c r="AS113" s="252"/>
      <c r="AT113" s="252"/>
      <c r="AU113" s="252"/>
      <c r="AV113" s="252"/>
      <c r="AW113" s="60">
        <f t="shared" si="146"/>
        <v>-8389</v>
      </c>
      <c r="AX113" s="60">
        <f t="shared" si="146"/>
        <v>3098</v>
      </c>
      <c r="AY113" s="60">
        <f t="shared" si="146"/>
        <v>3909</v>
      </c>
      <c r="AZ113" s="60">
        <f t="shared" si="146"/>
        <v>-14197</v>
      </c>
      <c r="BA113" s="60">
        <f t="shared" si="146"/>
        <v>-164</v>
      </c>
      <c r="BB113" s="60">
        <f t="shared" si="146"/>
        <v>-976</v>
      </c>
      <c r="BC113" s="59">
        <f t="shared" si="146"/>
        <v>-1804</v>
      </c>
      <c r="BD113" s="59">
        <f t="shared" si="146"/>
        <v>1721</v>
      </c>
      <c r="BE113" s="59">
        <f>SUM(BE108:BE112)</f>
        <v>-479</v>
      </c>
      <c r="BF113" s="262">
        <f>SUM(BF108:BF112)</f>
        <v>-1575</v>
      </c>
      <c r="BG113" s="261">
        <f t="shared" ref="BG113:BR113" si="150">M113-Y113</f>
        <v>3677</v>
      </c>
      <c r="BH113" s="261">
        <f t="shared" si="150"/>
        <v>6025</v>
      </c>
      <c r="BI113" s="261">
        <f t="shared" si="150"/>
        <v>-4683</v>
      </c>
      <c r="BJ113" s="261">
        <f t="shared" si="150"/>
        <v>-2430</v>
      </c>
      <c r="BK113" s="261">
        <f t="shared" si="150"/>
        <v>-677</v>
      </c>
      <c r="BL113" s="261">
        <f t="shared" si="150"/>
        <v>6851</v>
      </c>
      <c r="BM113" s="261">
        <f t="shared" si="150"/>
        <v>3955</v>
      </c>
      <c r="BN113" s="261">
        <f t="shared" si="150"/>
        <v>-7081</v>
      </c>
      <c r="BO113" s="261">
        <f t="shared" si="150"/>
        <v>1945</v>
      </c>
      <c r="BP113" s="261">
        <f t="shared" si="150"/>
        <v>2194</v>
      </c>
      <c r="BQ113" s="261">
        <f t="shared" si="150"/>
        <v>-13314</v>
      </c>
      <c r="BR113" s="261">
        <f t="shared" si="150"/>
        <v>8246</v>
      </c>
    </row>
    <row r="114" spans="1:70" x14ac:dyDescent="0.25">
      <c r="A114" s="4">
        <f>+A107+1</f>
        <v>16</v>
      </c>
      <c r="B114" s="45" t="s">
        <v>44</v>
      </c>
      <c r="C114" s="123"/>
      <c r="D114" s="124"/>
      <c r="E114" s="124"/>
      <c r="F114" s="125"/>
      <c r="G114" s="124"/>
      <c r="H114" s="124"/>
      <c r="I114" s="124"/>
      <c r="J114" s="124"/>
      <c r="K114" s="124"/>
      <c r="L114" s="126"/>
      <c r="M114" s="125"/>
      <c r="N114" s="124"/>
      <c r="O114" s="125"/>
      <c r="P114" s="124"/>
      <c r="Q114" s="124"/>
      <c r="R114" s="124"/>
      <c r="S114" s="124"/>
      <c r="T114" s="124"/>
      <c r="U114" s="188"/>
      <c r="V114" s="315"/>
      <c r="W114" s="315"/>
      <c r="X114" s="393"/>
      <c r="Y114" s="315"/>
      <c r="Z114" s="315"/>
      <c r="AA114" s="315"/>
      <c r="AB114" s="315"/>
      <c r="AC114" s="393"/>
      <c r="AD114" s="393"/>
      <c r="AE114" s="315"/>
      <c r="AF114" s="315"/>
      <c r="AG114" s="315"/>
      <c r="AH114" s="315"/>
      <c r="AI114" s="315"/>
      <c r="AJ114" s="849"/>
      <c r="AK114" s="315"/>
      <c r="AL114" s="315"/>
      <c r="AM114" s="315"/>
      <c r="AN114" s="315"/>
      <c r="AO114" s="315"/>
      <c r="AP114" s="315"/>
      <c r="AQ114" s="315"/>
      <c r="AR114" s="315"/>
      <c r="AS114" s="315"/>
      <c r="AT114" s="315"/>
      <c r="AU114" s="315"/>
      <c r="AV114" s="315"/>
      <c r="AW114" s="125"/>
      <c r="AX114" s="127"/>
      <c r="AY114" s="128"/>
      <c r="AZ114" s="128"/>
      <c r="BA114" s="128"/>
      <c r="BB114" s="128"/>
      <c r="BC114" s="129"/>
      <c r="BD114" s="231"/>
      <c r="BE114" s="231"/>
      <c r="BF114" s="231"/>
      <c r="BG114" s="404"/>
      <c r="BH114" s="212"/>
      <c r="BI114" s="410"/>
      <c r="BJ114" s="410"/>
      <c r="BK114" s="410"/>
      <c r="BL114" s="410"/>
      <c r="BM114" s="410"/>
      <c r="BN114" s="410"/>
      <c r="BO114" s="410"/>
      <c r="BP114" s="410"/>
      <c r="BQ114" s="410"/>
      <c r="BR114" s="410"/>
    </row>
    <row r="115" spans="1:70" x14ac:dyDescent="0.25">
      <c r="A115" s="4"/>
      <c r="B115" s="35" t="s">
        <v>36</v>
      </c>
      <c r="C115" s="97">
        <f>C94-C101</f>
        <v>1095955.7199999997</v>
      </c>
      <c r="D115" s="89">
        <f>D94-D101</f>
        <v>-583025.21</v>
      </c>
      <c r="E115" s="89">
        <f t="shared" ref="E115:V115" si="151">E94-E101</f>
        <v>-1273980.9700000002</v>
      </c>
      <c r="F115" s="89">
        <f t="shared" si="151"/>
        <v>-754083.29</v>
      </c>
      <c r="G115" s="89">
        <f t="shared" si="151"/>
        <v>-678775.79</v>
      </c>
      <c r="H115" s="89">
        <f t="shared" si="151"/>
        <v>-308283.56000000006</v>
      </c>
      <c r="I115" s="89">
        <f t="shared" si="151"/>
        <v>-186856.56000000006</v>
      </c>
      <c r="J115" s="89">
        <f t="shared" si="151"/>
        <v>-177026.30000000005</v>
      </c>
      <c r="K115" s="89">
        <f t="shared" si="151"/>
        <v>1461687.17</v>
      </c>
      <c r="L115" s="99">
        <f t="shared" si="151"/>
        <v>2530458.0699999998</v>
      </c>
      <c r="M115" s="89">
        <f t="shared" si="151"/>
        <v>2773012.87</v>
      </c>
      <c r="N115" s="87">
        <f>N94-N101</f>
        <v>767793.09999999963</v>
      </c>
      <c r="O115" s="89">
        <f t="shared" si="151"/>
        <v>-64992.240000000224</v>
      </c>
      <c r="P115" s="89">
        <f t="shared" si="151"/>
        <v>-5602.1299999998882</v>
      </c>
      <c r="Q115" s="89">
        <f t="shared" si="151"/>
        <v>-98451.459999999963</v>
      </c>
      <c r="R115" s="89">
        <f t="shared" si="151"/>
        <v>-2175016.9900000002</v>
      </c>
      <c r="S115" s="89">
        <f t="shared" si="151"/>
        <v>-678991.34000000008</v>
      </c>
      <c r="T115" s="89">
        <f t="shared" si="151"/>
        <v>-293801.89999999991</v>
      </c>
      <c r="U115" s="189">
        <f t="shared" si="151"/>
        <v>-212622.34999999986</v>
      </c>
      <c r="V115" s="189">
        <f t="shared" si="151"/>
        <v>-104017.12000000011</v>
      </c>
      <c r="W115" s="189">
        <f t="shared" ref="W115:AC119" si="152">W94-W101</f>
        <v>1021609.78</v>
      </c>
      <c r="X115" s="78">
        <f t="shared" si="152"/>
        <v>2046329.6</v>
      </c>
      <c r="Y115" s="78">
        <f t="shared" si="152"/>
        <v>3370052.33</v>
      </c>
      <c r="Z115" s="78">
        <f t="shared" si="152"/>
        <v>2309745.63</v>
      </c>
      <c r="AA115" s="78">
        <f t="shared" si="152"/>
        <v>-734639.65000000037</v>
      </c>
      <c r="AB115" s="78">
        <f t="shared" si="152"/>
        <v>-184691.5</v>
      </c>
      <c r="AC115" s="78">
        <f t="shared" si="152"/>
        <v>-2887691.1799999997</v>
      </c>
      <c r="AD115" s="78">
        <f t="shared" ref="AD115:AI119" si="153">AD94-AD101</f>
        <v>-4011621.1100000003</v>
      </c>
      <c r="AE115" s="78">
        <f t="shared" si="153"/>
        <v>-2091890.44</v>
      </c>
      <c r="AF115" s="78">
        <f t="shared" si="153"/>
        <v>-2155325.0099999998</v>
      </c>
      <c r="AG115" s="78">
        <f t="shared" si="153"/>
        <v>-1200665.1000000001</v>
      </c>
      <c r="AH115" s="78">
        <f t="shared" si="153"/>
        <v>-1096308.5499999998</v>
      </c>
      <c r="AI115" s="78">
        <f t="shared" si="153"/>
        <v>-2741657.08</v>
      </c>
      <c r="AJ115" s="189">
        <f t="shared" ref="AJ115:AO115" si="154">AJ94-AJ101</f>
        <v>1374531.9400000004</v>
      </c>
      <c r="AK115" s="110">
        <f t="shared" si="154"/>
        <v>202614.16000000015</v>
      </c>
      <c r="AL115" s="110">
        <f t="shared" si="154"/>
        <v>1708236.1600000001</v>
      </c>
      <c r="AM115" s="110">
        <f t="shared" si="154"/>
        <v>-9149307.8399999999</v>
      </c>
      <c r="AN115" s="110">
        <f t="shared" si="154"/>
        <v>-4104578.1899999995</v>
      </c>
      <c r="AO115" s="110">
        <f t="shared" si="154"/>
        <v>-6893285.4199999999</v>
      </c>
      <c r="AP115" s="98">
        <f>SUM(AP99-AP101)</f>
        <v>-2881087.1500000004</v>
      </c>
      <c r="AQ115" s="98">
        <f>SUM(AQ99-AQ101)</f>
        <v>-1825400.83</v>
      </c>
      <c r="AR115" s="98">
        <f>SUM(AR99-AR101)</f>
        <v>-1492397.1900000004</v>
      </c>
      <c r="AS115" s="98"/>
      <c r="AT115" s="98"/>
      <c r="AU115" s="98"/>
      <c r="AV115" s="98"/>
      <c r="AW115" s="89">
        <f t="shared" ref="AW115:BF119" si="155">C115-O115</f>
        <v>1160947.96</v>
      </c>
      <c r="AX115" s="89">
        <f t="shared" si="155"/>
        <v>-577423.08000000007</v>
      </c>
      <c r="AY115" s="89">
        <f t="shared" si="155"/>
        <v>-1175529.5100000002</v>
      </c>
      <c r="AZ115" s="89">
        <f t="shared" si="155"/>
        <v>1420933.7000000002</v>
      </c>
      <c r="BA115" s="89">
        <f t="shared" si="155"/>
        <v>215.55000000004657</v>
      </c>
      <c r="BB115" s="89">
        <f t="shared" si="155"/>
        <v>-14481.660000000149</v>
      </c>
      <c r="BC115" s="88">
        <f t="shared" si="155"/>
        <v>25765.789999999804</v>
      </c>
      <c r="BD115" s="88">
        <f t="shared" si="155"/>
        <v>-73009.179999999935</v>
      </c>
      <c r="BE115" s="88">
        <f t="shared" si="155"/>
        <v>440077.3899999999</v>
      </c>
      <c r="BF115" s="259">
        <f t="shared" si="155"/>
        <v>484128.46999999974</v>
      </c>
      <c r="BG115" s="259">
        <f t="shared" ref="BG115:BP119" si="156">M115-Y115</f>
        <v>-597039.46</v>
      </c>
      <c r="BH115" s="259">
        <f t="shared" si="156"/>
        <v>-1541952.5300000003</v>
      </c>
      <c r="BI115" s="259">
        <f t="shared" si="156"/>
        <v>669647.41000000015</v>
      </c>
      <c r="BJ115" s="259">
        <f t="shared" si="156"/>
        <v>179089.37000000011</v>
      </c>
      <c r="BK115" s="259">
        <f t="shared" si="156"/>
        <v>2789239.7199999997</v>
      </c>
      <c r="BL115" s="259">
        <f t="shared" si="156"/>
        <v>1836604.12</v>
      </c>
      <c r="BM115" s="259">
        <f t="shared" si="156"/>
        <v>1412899.0999999999</v>
      </c>
      <c r="BN115" s="259">
        <f t="shared" si="156"/>
        <v>1861523.1099999999</v>
      </c>
      <c r="BO115" s="259">
        <f t="shared" si="156"/>
        <v>988042.75000000023</v>
      </c>
      <c r="BP115" s="259">
        <f t="shared" si="156"/>
        <v>992291.4299999997</v>
      </c>
      <c r="BQ115" s="259">
        <f t="shared" ref="BQ115:BR119" si="157">W115-AI115</f>
        <v>3763266.8600000003</v>
      </c>
      <c r="BR115" s="259">
        <f t="shared" si="157"/>
        <v>671797.65999999968</v>
      </c>
    </row>
    <row r="116" spans="1:70" x14ac:dyDescent="0.25">
      <c r="A116" s="4"/>
      <c r="B116" s="35" t="s">
        <v>37</v>
      </c>
      <c r="C116" s="97">
        <f t="shared" ref="C116:D119" si="158">C95-C102</f>
        <v>180782.34000000008</v>
      </c>
      <c r="D116" s="89">
        <f t="shared" si="158"/>
        <v>-247261.17999999993</v>
      </c>
      <c r="E116" s="89">
        <f t="shared" ref="E116:V116" si="159">E95-E102</f>
        <v>-604845.89999999991</v>
      </c>
      <c r="F116" s="89">
        <f t="shared" si="159"/>
        <v>-46128.419999999984</v>
      </c>
      <c r="G116" s="89">
        <f t="shared" si="159"/>
        <v>-44653.66</v>
      </c>
      <c r="H116" s="89">
        <f t="shared" si="159"/>
        <v>-20446.579999999987</v>
      </c>
      <c r="I116" s="89">
        <f t="shared" si="159"/>
        <v>13193.200000000012</v>
      </c>
      <c r="J116" s="89">
        <f t="shared" si="159"/>
        <v>36293.649999999994</v>
      </c>
      <c r="K116" s="89">
        <f t="shared" si="159"/>
        <v>294874.34999999998</v>
      </c>
      <c r="L116" s="99">
        <f t="shared" si="159"/>
        <v>577135.22</v>
      </c>
      <c r="M116" s="89">
        <f t="shared" si="159"/>
        <v>58989.330000000075</v>
      </c>
      <c r="N116" s="87">
        <f t="shared" si="159"/>
        <v>39711.429999999935</v>
      </c>
      <c r="O116" s="89">
        <f t="shared" si="159"/>
        <v>-90617.340000000084</v>
      </c>
      <c r="P116" s="89">
        <f t="shared" si="159"/>
        <v>376579.66000000003</v>
      </c>
      <c r="Q116" s="89">
        <f t="shared" si="159"/>
        <v>-100223.19999999995</v>
      </c>
      <c r="R116" s="89">
        <f t="shared" si="159"/>
        <v>-273055.37</v>
      </c>
      <c r="S116" s="89">
        <f t="shared" si="159"/>
        <v>-131951.63</v>
      </c>
      <c r="T116" s="89">
        <f t="shared" si="159"/>
        <v>33110.640000000014</v>
      </c>
      <c r="U116" s="88">
        <f t="shared" si="159"/>
        <v>51725.449999999983</v>
      </c>
      <c r="V116" s="189">
        <f t="shared" si="159"/>
        <v>104036.15</v>
      </c>
      <c r="W116" s="189">
        <f t="shared" si="152"/>
        <v>373824.9</v>
      </c>
      <c r="X116" s="78">
        <f t="shared" si="152"/>
        <v>624483.18999999994</v>
      </c>
      <c r="Y116" s="78">
        <f t="shared" si="152"/>
        <v>846437.88</v>
      </c>
      <c r="Z116" s="78">
        <f t="shared" si="152"/>
        <v>558372.38</v>
      </c>
      <c r="AA116" s="78">
        <f t="shared" si="152"/>
        <v>-281689.99</v>
      </c>
      <c r="AB116" s="78">
        <f t="shared" ref="AB116:AC119" si="160">AB95-AB102</f>
        <v>-820226.74</v>
      </c>
      <c r="AC116" s="78">
        <f t="shared" si="160"/>
        <v>564271</v>
      </c>
      <c r="AD116" s="78">
        <f t="shared" si="153"/>
        <v>247702.00999999998</v>
      </c>
      <c r="AE116" s="78">
        <f t="shared" si="153"/>
        <v>169120</v>
      </c>
      <c r="AF116" s="78">
        <f t="shared" si="153"/>
        <v>239074</v>
      </c>
      <c r="AG116" s="78">
        <f t="shared" si="153"/>
        <v>212229</v>
      </c>
      <c r="AH116" s="78">
        <f t="shared" ref="AH116:AI116" si="161">AH95-AH102</f>
        <v>229178</v>
      </c>
      <c r="AI116" s="78">
        <f t="shared" si="161"/>
        <v>607293</v>
      </c>
      <c r="AJ116" s="189">
        <f t="shared" ref="AJ116:AN116" si="162">AJ95-AJ102</f>
        <v>1351125</v>
      </c>
      <c r="AK116" s="110">
        <f t="shared" si="162"/>
        <v>1872527</v>
      </c>
      <c r="AL116" s="110">
        <f t="shared" si="162"/>
        <v>2106974</v>
      </c>
      <c r="AM116" s="110">
        <f t="shared" si="162"/>
        <v>1689470</v>
      </c>
      <c r="AN116" s="110">
        <f t="shared" si="162"/>
        <v>1634486</v>
      </c>
      <c r="AO116" s="110">
        <f t="shared" ref="AO116:AP116" si="163">AO95-AO102</f>
        <v>777633</v>
      </c>
      <c r="AP116" s="110">
        <f t="shared" si="163"/>
        <v>392983</v>
      </c>
      <c r="AQ116" s="110">
        <f t="shared" ref="AQ116" si="164">AQ95-AQ102</f>
        <v>401498</v>
      </c>
      <c r="AR116" s="110">
        <f t="shared" ref="AR116" si="165">AR95-AR102</f>
        <v>297145</v>
      </c>
      <c r="AS116" s="98"/>
      <c r="AT116" s="98"/>
      <c r="AU116" s="98"/>
      <c r="AV116" s="98"/>
      <c r="AW116" s="89">
        <f t="shared" si="155"/>
        <v>271399.68000000017</v>
      </c>
      <c r="AX116" s="89">
        <f t="shared" si="155"/>
        <v>-623840.84</v>
      </c>
      <c r="AY116" s="89">
        <f t="shared" si="155"/>
        <v>-504622.69999999995</v>
      </c>
      <c r="AZ116" s="89">
        <f t="shared" si="155"/>
        <v>226926.95</v>
      </c>
      <c r="BA116" s="89">
        <f t="shared" si="155"/>
        <v>87297.97</v>
      </c>
      <c r="BB116" s="89">
        <f t="shared" si="155"/>
        <v>-53557.22</v>
      </c>
      <c r="BC116" s="88">
        <f t="shared" si="155"/>
        <v>-38532.249999999971</v>
      </c>
      <c r="BD116" s="88">
        <f t="shared" si="155"/>
        <v>-67742.5</v>
      </c>
      <c r="BE116" s="88">
        <f t="shared" si="155"/>
        <v>-78950.550000000047</v>
      </c>
      <c r="BF116" s="259">
        <f t="shared" si="155"/>
        <v>-47347.969999999972</v>
      </c>
      <c r="BG116" s="259">
        <f t="shared" si="156"/>
        <v>-787448.54999999993</v>
      </c>
      <c r="BH116" s="259">
        <f t="shared" si="156"/>
        <v>-518660.95000000007</v>
      </c>
      <c r="BI116" s="259">
        <f t="shared" si="156"/>
        <v>191072.64999999991</v>
      </c>
      <c r="BJ116" s="259">
        <f t="shared" si="156"/>
        <v>1196806.3999999999</v>
      </c>
      <c r="BK116" s="259">
        <f t="shared" si="156"/>
        <v>-664494.19999999995</v>
      </c>
      <c r="BL116" s="259">
        <f t="shared" si="156"/>
        <v>-520757.38</v>
      </c>
      <c r="BM116" s="259">
        <f t="shared" si="156"/>
        <v>-301071.63</v>
      </c>
      <c r="BN116" s="259">
        <f t="shared" si="156"/>
        <v>-205963.36</v>
      </c>
      <c r="BO116" s="259">
        <f t="shared" si="156"/>
        <v>-160503.55000000002</v>
      </c>
      <c r="BP116" s="259">
        <f t="shared" si="156"/>
        <v>-125141.85</v>
      </c>
      <c r="BQ116" s="259">
        <f t="shared" si="157"/>
        <v>-233468.09999999998</v>
      </c>
      <c r="BR116" s="259">
        <f t="shared" si="157"/>
        <v>-726641.81</v>
      </c>
    </row>
    <row r="117" spans="1:70" x14ac:dyDescent="0.25">
      <c r="A117" s="4"/>
      <c r="B117" s="35" t="s">
        <v>38</v>
      </c>
      <c r="C117" s="97">
        <f t="shared" si="158"/>
        <v>36741.139999999898</v>
      </c>
      <c r="D117" s="89">
        <f t="shared" si="158"/>
        <v>-329815.71999999997</v>
      </c>
      <c r="E117" s="89">
        <f t="shared" ref="E117:V117" si="166">E96-E103</f>
        <v>-272123.66000000003</v>
      </c>
      <c r="F117" s="89">
        <f t="shared" si="166"/>
        <v>-126996.37</v>
      </c>
      <c r="G117" s="89">
        <f t="shared" si="166"/>
        <v>-65639.06</v>
      </c>
      <c r="H117" s="89">
        <f t="shared" si="166"/>
        <v>-20065.059999999998</v>
      </c>
      <c r="I117" s="89">
        <f t="shared" si="166"/>
        <v>3621.7699999999895</v>
      </c>
      <c r="J117" s="89">
        <f t="shared" si="166"/>
        <v>-3837.5899999999965</v>
      </c>
      <c r="K117" s="89">
        <f t="shared" si="166"/>
        <v>221984.58</v>
      </c>
      <c r="L117" s="99">
        <f t="shared" si="166"/>
        <v>419358.02</v>
      </c>
      <c r="M117" s="89">
        <f t="shared" si="166"/>
        <v>545557.32999999996</v>
      </c>
      <c r="N117" s="87">
        <f t="shared" si="166"/>
        <v>-36967.419999999925</v>
      </c>
      <c r="O117" s="89">
        <f t="shared" si="166"/>
        <v>-237559.06000000006</v>
      </c>
      <c r="P117" s="89">
        <f t="shared" si="166"/>
        <v>-103259.83999999997</v>
      </c>
      <c r="Q117" s="89">
        <f t="shared" si="166"/>
        <v>-126114.76000000001</v>
      </c>
      <c r="R117" s="89">
        <f t="shared" si="166"/>
        <v>-466460.56999999995</v>
      </c>
      <c r="S117" s="89">
        <f>S96-S103</f>
        <v>-98781.25</v>
      </c>
      <c r="T117" s="89">
        <f t="shared" si="166"/>
        <v>-48814.850000000006</v>
      </c>
      <c r="U117" s="88">
        <f t="shared" si="166"/>
        <v>-86039.18</v>
      </c>
      <c r="V117" s="189">
        <f t="shared" si="166"/>
        <v>6367.4100000000035</v>
      </c>
      <c r="W117" s="189">
        <f t="shared" si="152"/>
        <v>185753.67</v>
      </c>
      <c r="X117" s="78">
        <f t="shared" si="152"/>
        <v>363580.6</v>
      </c>
      <c r="Y117" s="78">
        <f t="shared" si="152"/>
        <v>586182.5</v>
      </c>
      <c r="Z117" s="78">
        <f t="shared" si="152"/>
        <v>249432.33000000007</v>
      </c>
      <c r="AA117" s="78">
        <f t="shared" si="152"/>
        <v>-516175.3600000001</v>
      </c>
      <c r="AB117" s="78">
        <f t="shared" si="160"/>
        <v>-347373.53</v>
      </c>
      <c r="AC117" s="78">
        <f t="shared" si="160"/>
        <v>492665</v>
      </c>
      <c r="AD117" s="78">
        <f t="shared" si="153"/>
        <v>239363</v>
      </c>
      <c r="AE117" s="78">
        <f t="shared" si="153"/>
        <v>185051</v>
      </c>
      <c r="AF117" s="78">
        <f t="shared" si="153"/>
        <v>193515</v>
      </c>
      <c r="AG117" s="78">
        <f t="shared" si="153"/>
        <v>200269</v>
      </c>
      <c r="AH117" s="78">
        <f t="shared" ref="AH117:AI117" si="167">AH96-AH103</f>
        <v>202701</v>
      </c>
      <c r="AI117" s="78">
        <f t="shared" si="167"/>
        <v>438898</v>
      </c>
      <c r="AJ117" s="189">
        <f t="shared" ref="AJ117:AN117" si="168">AJ96-AJ103</f>
        <v>1175731</v>
      </c>
      <c r="AK117" s="110">
        <f t="shared" si="168"/>
        <v>1822448</v>
      </c>
      <c r="AL117" s="110">
        <f t="shared" si="168"/>
        <v>2197462</v>
      </c>
      <c r="AM117" s="110">
        <f t="shared" si="168"/>
        <v>1765951</v>
      </c>
      <c r="AN117" s="110">
        <f t="shared" si="168"/>
        <v>1387730</v>
      </c>
      <c r="AO117" s="110">
        <f t="shared" ref="AO117:AP117" si="169">AO96-AO103</f>
        <v>635047</v>
      </c>
      <c r="AP117" s="110">
        <f t="shared" si="169"/>
        <v>381494</v>
      </c>
      <c r="AQ117" s="110">
        <f t="shared" ref="AQ117" si="170">AQ96-AQ103</f>
        <v>334173</v>
      </c>
      <c r="AR117" s="110">
        <f t="shared" ref="AR117" si="171">AR96-AR103</f>
        <v>204456</v>
      </c>
      <c r="AS117" s="98"/>
      <c r="AT117" s="98"/>
      <c r="AU117" s="98"/>
      <c r="AV117" s="98"/>
      <c r="AW117" s="89">
        <f t="shared" si="155"/>
        <v>274300.19999999995</v>
      </c>
      <c r="AX117" s="89">
        <f t="shared" si="155"/>
        <v>-226555.88</v>
      </c>
      <c r="AY117" s="89">
        <f t="shared" si="155"/>
        <v>-146008.90000000002</v>
      </c>
      <c r="AZ117" s="89">
        <f t="shared" si="155"/>
        <v>339464.19999999995</v>
      </c>
      <c r="BA117" s="89">
        <f t="shared" si="155"/>
        <v>33142.19</v>
      </c>
      <c r="BB117" s="89">
        <f t="shared" si="155"/>
        <v>28749.790000000008</v>
      </c>
      <c r="BC117" s="88">
        <f t="shared" si="155"/>
        <v>89660.949999999983</v>
      </c>
      <c r="BD117" s="88">
        <f t="shared" si="155"/>
        <v>-10205</v>
      </c>
      <c r="BE117" s="88">
        <f t="shared" si="155"/>
        <v>36230.909999999974</v>
      </c>
      <c r="BF117" s="259">
        <f t="shared" si="155"/>
        <v>55777.420000000042</v>
      </c>
      <c r="BG117" s="259">
        <f t="shared" si="156"/>
        <v>-40625.170000000042</v>
      </c>
      <c r="BH117" s="259">
        <f t="shared" si="156"/>
        <v>-286399.75</v>
      </c>
      <c r="BI117" s="259">
        <f t="shared" si="156"/>
        <v>278616.30000000005</v>
      </c>
      <c r="BJ117" s="259">
        <f t="shared" si="156"/>
        <v>244113.69000000006</v>
      </c>
      <c r="BK117" s="259">
        <f t="shared" si="156"/>
        <v>-618779.76</v>
      </c>
      <c r="BL117" s="259">
        <f t="shared" si="156"/>
        <v>-705823.57</v>
      </c>
      <c r="BM117" s="259">
        <f t="shared" si="156"/>
        <v>-283832.25</v>
      </c>
      <c r="BN117" s="259">
        <f t="shared" si="156"/>
        <v>-242329.85</v>
      </c>
      <c r="BO117" s="259">
        <f t="shared" si="156"/>
        <v>-286308.18</v>
      </c>
      <c r="BP117" s="259">
        <f t="shared" si="156"/>
        <v>-196333.59</v>
      </c>
      <c r="BQ117" s="259">
        <f t="shared" si="157"/>
        <v>-253144.33</v>
      </c>
      <c r="BR117" s="259">
        <f t="shared" si="157"/>
        <v>-812150.4</v>
      </c>
    </row>
    <row r="118" spans="1:70" x14ac:dyDescent="0.25">
      <c r="A118" s="4"/>
      <c r="B118" s="35" t="s">
        <v>39</v>
      </c>
      <c r="C118" s="97">
        <f t="shared" si="158"/>
        <v>-261964.59000000008</v>
      </c>
      <c r="D118" s="89">
        <f t="shared" si="158"/>
        <v>-188087.92999999993</v>
      </c>
      <c r="E118" s="89">
        <f t="shared" ref="E118:V118" si="172">E97-E104</f>
        <v>-341438.87999999989</v>
      </c>
      <c r="F118" s="89">
        <f t="shared" si="172"/>
        <v>-640213.06000000006</v>
      </c>
      <c r="G118" s="89">
        <f t="shared" si="172"/>
        <v>-187125.96999999997</v>
      </c>
      <c r="H118" s="89">
        <f t="shared" si="172"/>
        <v>-38515.329999999987</v>
      </c>
      <c r="I118" s="89">
        <f t="shared" si="172"/>
        <v>21515.709999999992</v>
      </c>
      <c r="J118" s="89">
        <f t="shared" si="172"/>
        <v>9773.859999999986</v>
      </c>
      <c r="K118" s="89">
        <f t="shared" si="172"/>
        <v>373476.98300000001</v>
      </c>
      <c r="L118" s="99">
        <f t="shared" si="172"/>
        <v>421637.72</v>
      </c>
      <c r="M118" s="89">
        <f t="shared" si="172"/>
        <v>600628.64999999991</v>
      </c>
      <c r="N118" s="87">
        <f t="shared" si="172"/>
        <v>-31336.189999999944</v>
      </c>
      <c r="O118" s="89">
        <f t="shared" si="172"/>
        <v>-321307.8899999999</v>
      </c>
      <c r="P118" s="89">
        <f t="shared" si="172"/>
        <v>-18591.159999999916</v>
      </c>
      <c r="Q118" s="89">
        <f t="shared" si="172"/>
        <v>-88444.079999999958</v>
      </c>
      <c r="R118" s="89">
        <f t="shared" si="172"/>
        <v>-592444.72</v>
      </c>
      <c r="S118" s="89">
        <f t="shared" si="172"/>
        <v>-135999.38</v>
      </c>
      <c r="T118" s="89">
        <f t="shared" si="172"/>
        <v>-42478.559999999998</v>
      </c>
      <c r="U118" s="88">
        <f t="shared" si="172"/>
        <v>-100743.59000000001</v>
      </c>
      <c r="V118" s="189">
        <f t="shared" si="172"/>
        <v>17030.98000000001</v>
      </c>
      <c r="W118" s="189">
        <f t="shared" si="152"/>
        <v>278869.5</v>
      </c>
      <c r="X118" s="78">
        <f t="shared" si="152"/>
        <v>450574.05000000005</v>
      </c>
      <c r="Y118" s="78">
        <f t="shared" si="152"/>
        <v>841932.89</v>
      </c>
      <c r="Z118" s="78">
        <f t="shared" si="152"/>
        <v>202891.74</v>
      </c>
      <c r="AA118" s="78">
        <f t="shared" si="152"/>
        <v>-828588.89000000013</v>
      </c>
      <c r="AB118" s="78">
        <f t="shared" si="160"/>
        <v>-171517.65999999992</v>
      </c>
      <c r="AC118" s="78">
        <f t="shared" si="160"/>
        <v>696013</v>
      </c>
      <c r="AD118" s="78">
        <f t="shared" si="153"/>
        <v>332034.40999999997</v>
      </c>
      <c r="AE118" s="78">
        <f t="shared" si="153"/>
        <v>225214</v>
      </c>
      <c r="AF118" s="78">
        <f t="shared" si="153"/>
        <v>222079</v>
      </c>
      <c r="AG118" s="78">
        <f t="shared" si="153"/>
        <v>125540</v>
      </c>
      <c r="AH118" s="78">
        <f t="shared" ref="AH118:AI118" si="173">AH97-AH104</f>
        <v>208930</v>
      </c>
      <c r="AI118" s="78">
        <f t="shared" si="173"/>
        <v>695033</v>
      </c>
      <c r="AJ118" s="189">
        <f t="shared" ref="AJ118:AN118" si="174">AJ97-AJ104</f>
        <v>1544011</v>
      </c>
      <c r="AK118" s="110">
        <f t="shared" si="174"/>
        <v>2022301</v>
      </c>
      <c r="AL118" s="110">
        <f t="shared" si="174"/>
        <v>2432836</v>
      </c>
      <c r="AM118" s="110">
        <f t="shared" si="174"/>
        <v>2023591</v>
      </c>
      <c r="AN118" s="110">
        <f t="shared" si="174"/>
        <v>1901450</v>
      </c>
      <c r="AO118" s="110">
        <f t="shared" ref="AO118:AP118" si="175">AO97-AO104</f>
        <v>1005272</v>
      </c>
      <c r="AP118" s="110">
        <f t="shared" si="175"/>
        <v>992907</v>
      </c>
      <c r="AQ118" s="110">
        <f t="shared" ref="AQ118" si="176">AQ97-AQ104</f>
        <v>364746</v>
      </c>
      <c r="AR118" s="110">
        <f t="shared" ref="AR118" si="177">AR97-AR104</f>
        <v>370058</v>
      </c>
      <c r="AS118" s="98"/>
      <c r="AT118" s="98"/>
      <c r="AU118" s="98"/>
      <c r="AV118" s="98"/>
      <c r="AW118" s="89">
        <f t="shared" si="155"/>
        <v>59343.299999999814</v>
      </c>
      <c r="AX118" s="89">
        <f t="shared" si="155"/>
        <v>-169496.77000000002</v>
      </c>
      <c r="AY118" s="89">
        <f t="shared" si="155"/>
        <v>-252994.79999999993</v>
      </c>
      <c r="AZ118" s="89">
        <f t="shared" si="155"/>
        <v>-47768.340000000084</v>
      </c>
      <c r="BA118" s="89">
        <f t="shared" si="155"/>
        <v>-51126.589999999967</v>
      </c>
      <c r="BB118" s="89">
        <f t="shared" si="155"/>
        <v>3963.2300000000105</v>
      </c>
      <c r="BC118" s="88">
        <f t="shared" si="155"/>
        <v>122259.3</v>
      </c>
      <c r="BD118" s="88">
        <f t="shared" si="155"/>
        <v>-7257.1200000000244</v>
      </c>
      <c r="BE118" s="88">
        <f t="shared" si="155"/>
        <v>94607.483000000007</v>
      </c>
      <c r="BF118" s="259">
        <f t="shared" si="155"/>
        <v>-28936.330000000075</v>
      </c>
      <c r="BG118" s="259">
        <f t="shared" si="156"/>
        <v>-241304.24000000011</v>
      </c>
      <c r="BH118" s="259">
        <f t="shared" si="156"/>
        <v>-234227.92999999993</v>
      </c>
      <c r="BI118" s="259">
        <f t="shared" si="156"/>
        <v>507281.00000000023</v>
      </c>
      <c r="BJ118" s="259">
        <f t="shared" si="156"/>
        <v>152926.5</v>
      </c>
      <c r="BK118" s="259">
        <f t="shared" si="156"/>
        <v>-784457.08</v>
      </c>
      <c r="BL118" s="259">
        <f t="shared" si="156"/>
        <v>-924479.12999999989</v>
      </c>
      <c r="BM118" s="259">
        <f t="shared" si="156"/>
        <v>-361213.38</v>
      </c>
      <c r="BN118" s="259">
        <f t="shared" si="156"/>
        <v>-264557.56</v>
      </c>
      <c r="BO118" s="259">
        <f t="shared" si="156"/>
        <v>-226283.59000000003</v>
      </c>
      <c r="BP118" s="259">
        <f t="shared" si="156"/>
        <v>-191899.02</v>
      </c>
      <c r="BQ118" s="259">
        <f t="shared" si="157"/>
        <v>-416163.5</v>
      </c>
      <c r="BR118" s="259">
        <f t="shared" si="157"/>
        <v>-1093436.95</v>
      </c>
    </row>
    <row r="119" spans="1:70" x14ac:dyDescent="0.25">
      <c r="A119" s="4"/>
      <c r="B119" s="35" t="s">
        <v>40</v>
      </c>
      <c r="C119" s="97">
        <f t="shared" si="158"/>
        <v>-133467.93000000005</v>
      </c>
      <c r="D119" s="89">
        <f t="shared" si="158"/>
        <v>-418325.67000000004</v>
      </c>
      <c r="E119" s="89">
        <f t="shared" ref="E119:V119" si="178">E98-E105</f>
        <v>5034.0599999999977</v>
      </c>
      <c r="F119" s="89">
        <f t="shared" si="178"/>
        <v>-411856</v>
      </c>
      <c r="G119" s="89">
        <f t="shared" si="178"/>
        <v>-210896.86</v>
      </c>
      <c r="H119" s="89">
        <f t="shared" si="178"/>
        <v>-189716.46000000002</v>
      </c>
      <c r="I119" s="89">
        <f t="shared" si="178"/>
        <v>-202738.93</v>
      </c>
      <c r="J119" s="89">
        <f t="shared" si="178"/>
        <v>-92098.599999999977</v>
      </c>
      <c r="K119" s="89">
        <f t="shared" si="178"/>
        <v>-97613.200000000012</v>
      </c>
      <c r="L119" s="99">
        <f t="shared" si="178"/>
        <v>-101282.78999999998</v>
      </c>
      <c r="M119" s="89">
        <f t="shared" si="178"/>
        <v>-138047.95000000001</v>
      </c>
      <c r="N119" s="87">
        <f t="shared" si="178"/>
        <v>-200695.96999999997</v>
      </c>
      <c r="O119" s="89">
        <f t="shared" si="178"/>
        <v>-180606.83000000002</v>
      </c>
      <c r="P119" s="89">
        <f t="shared" si="178"/>
        <v>-25756.200000000012</v>
      </c>
      <c r="Q119" s="89">
        <f t="shared" si="178"/>
        <v>-187823.64</v>
      </c>
      <c r="R119" s="89">
        <f t="shared" si="178"/>
        <v>-347215.03</v>
      </c>
      <c r="S119" s="89">
        <f t="shared" si="178"/>
        <v>-173714.96999999997</v>
      </c>
      <c r="T119" s="89">
        <f t="shared" si="178"/>
        <v>-245011.27000000002</v>
      </c>
      <c r="U119" s="88">
        <f t="shared" si="178"/>
        <v>-146798.76000000004</v>
      </c>
      <c r="V119" s="189">
        <f t="shared" si="178"/>
        <v>-199758.90999999997</v>
      </c>
      <c r="W119" s="189">
        <f t="shared" si="152"/>
        <v>74623.19</v>
      </c>
      <c r="X119" s="78">
        <f t="shared" si="152"/>
        <v>-282215.84999999998</v>
      </c>
      <c r="Y119" s="78">
        <f t="shared" si="152"/>
        <v>-54915.570000000007</v>
      </c>
      <c r="Z119" s="78">
        <f t="shared" si="152"/>
        <v>-162142.76</v>
      </c>
      <c r="AA119" s="78">
        <f t="shared" si="152"/>
        <v>-577652.09</v>
      </c>
      <c r="AB119" s="78">
        <f t="shared" si="160"/>
        <v>-238721.62</v>
      </c>
      <c r="AC119" s="78">
        <f t="shared" si="160"/>
        <v>480829</v>
      </c>
      <c r="AD119" s="78">
        <f t="shared" si="153"/>
        <v>74162.100000000006</v>
      </c>
      <c r="AE119" s="78">
        <f t="shared" si="153"/>
        <v>174336</v>
      </c>
      <c r="AF119" s="78">
        <f t="shared" si="153"/>
        <v>226038</v>
      </c>
      <c r="AG119" s="78">
        <f t="shared" si="153"/>
        <v>39454</v>
      </c>
      <c r="AH119" s="78">
        <f t="shared" ref="AH119:AI119" si="179">AH98-AH105</f>
        <v>194495</v>
      </c>
      <c r="AI119" s="78">
        <f t="shared" si="179"/>
        <v>321514</v>
      </c>
      <c r="AJ119" s="189">
        <f t="shared" ref="AJ119:AN119" si="180">AJ98-AJ105</f>
        <v>432022</v>
      </c>
      <c r="AK119" s="110">
        <f t="shared" si="180"/>
        <v>446912</v>
      </c>
      <c r="AL119" s="110">
        <f t="shared" si="180"/>
        <v>584590</v>
      </c>
      <c r="AM119" s="110">
        <f t="shared" si="180"/>
        <v>329651</v>
      </c>
      <c r="AN119" s="110">
        <f t="shared" si="180"/>
        <v>365988</v>
      </c>
      <c r="AO119" s="110">
        <f t="shared" ref="AO119:AP119" si="181">AO98-AO105</f>
        <v>512367</v>
      </c>
      <c r="AP119" s="110">
        <f t="shared" si="181"/>
        <v>333912</v>
      </c>
      <c r="AQ119" s="110">
        <f t="shared" ref="AQ119" si="182">AQ98-AQ105</f>
        <v>184734</v>
      </c>
      <c r="AR119" s="110">
        <f t="shared" ref="AR119" si="183">AR98-AR105</f>
        <v>432139</v>
      </c>
      <c r="AS119" s="98"/>
      <c r="AT119" s="98"/>
      <c r="AU119" s="98"/>
      <c r="AV119" s="98"/>
      <c r="AW119" s="89">
        <f t="shared" si="155"/>
        <v>47138.899999999965</v>
      </c>
      <c r="AX119" s="89">
        <f t="shared" si="155"/>
        <v>-392569.47000000003</v>
      </c>
      <c r="AY119" s="89">
        <f t="shared" si="155"/>
        <v>192857.7</v>
      </c>
      <c r="AZ119" s="89">
        <f t="shared" si="155"/>
        <v>-64640.969999999972</v>
      </c>
      <c r="BA119" s="89">
        <f t="shared" si="155"/>
        <v>-37181.890000000014</v>
      </c>
      <c r="BB119" s="89">
        <f t="shared" si="155"/>
        <v>55294.81</v>
      </c>
      <c r="BC119" s="88">
        <f t="shared" si="155"/>
        <v>-55940.169999999955</v>
      </c>
      <c r="BD119" s="88">
        <f t="shared" si="155"/>
        <v>107660.31</v>
      </c>
      <c r="BE119" s="88">
        <f t="shared" si="155"/>
        <v>-172236.39</v>
      </c>
      <c r="BF119" s="259">
        <f t="shared" si="155"/>
        <v>180933.06</v>
      </c>
      <c r="BG119" s="259">
        <f t="shared" si="156"/>
        <v>-83132.38</v>
      </c>
      <c r="BH119" s="259">
        <f t="shared" si="156"/>
        <v>-38553.209999999963</v>
      </c>
      <c r="BI119" s="259">
        <f t="shared" si="156"/>
        <v>397045.25999999995</v>
      </c>
      <c r="BJ119" s="259">
        <f t="shared" si="156"/>
        <v>212965.41999999998</v>
      </c>
      <c r="BK119" s="259">
        <f t="shared" si="156"/>
        <v>-668652.64</v>
      </c>
      <c r="BL119" s="259">
        <f t="shared" si="156"/>
        <v>-421377.13</v>
      </c>
      <c r="BM119" s="259">
        <f t="shared" si="156"/>
        <v>-348050.97</v>
      </c>
      <c r="BN119" s="259">
        <f t="shared" si="156"/>
        <v>-471049.27</v>
      </c>
      <c r="BO119" s="259">
        <f t="shared" si="156"/>
        <v>-186252.76000000004</v>
      </c>
      <c r="BP119" s="259">
        <f t="shared" si="156"/>
        <v>-394253.91</v>
      </c>
      <c r="BQ119" s="259">
        <f t="shared" si="157"/>
        <v>-246890.81</v>
      </c>
      <c r="BR119" s="259">
        <f t="shared" si="157"/>
        <v>-714237.85</v>
      </c>
    </row>
    <row r="120" spans="1:70" ht="15.75" thickBot="1" x14ac:dyDescent="0.3">
      <c r="A120" s="4"/>
      <c r="B120" s="37" t="s">
        <v>41</v>
      </c>
      <c r="C120" s="100">
        <f>SUM(C115:C119)</f>
        <v>918046.67999999959</v>
      </c>
      <c r="D120" s="81">
        <f>SUM(D115:D119)</f>
        <v>-1766515.71</v>
      </c>
      <c r="E120" s="81">
        <f t="shared" ref="E120:V120" si="184">SUM(E115:E119)</f>
        <v>-2487355.35</v>
      </c>
      <c r="F120" s="81">
        <f t="shared" si="184"/>
        <v>-1979277.1400000001</v>
      </c>
      <c r="G120" s="81">
        <f t="shared" si="184"/>
        <v>-1187091.3399999999</v>
      </c>
      <c r="H120" s="81">
        <f t="shared" si="184"/>
        <v>-577026.99</v>
      </c>
      <c r="I120" s="81">
        <f t="shared" si="184"/>
        <v>-351264.81000000006</v>
      </c>
      <c r="J120" s="81">
        <f t="shared" si="184"/>
        <v>-226894.98000000004</v>
      </c>
      <c r="K120" s="81">
        <f t="shared" si="184"/>
        <v>2254409.8829999999</v>
      </c>
      <c r="L120" s="160">
        <f t="shared" si="184"/>
        <v>3847306.24</v>
      </c>
      <c r="M120" s="81">
        <f t="shared" si="184"/>
        <v>3840140.23</v>
      </c>
      <c r="N120" s="200">
        <f t="shared" si="184"/>
        <v>538504.94999999972</v>
      </c>
      <c r="O120" s="81">
        <f t="shared" si="184"/>
        <v>-895083.36000000034</v>
      </c>
      <c r="P120" s="81">
        <f t="shared" si="184"/>
        <v>223370.33000000025</v>
      </c>
      <c r="Q120" s="81">
        <f t="shared" si="184"/>
        <v>-601057.1399999999</v>
      </c>
      <c r="R120" s="81">
        <f t="shared" si="184"/>
        <v>-3854192.6800000006</v>
      </c>
      <c r="S120" s="81">
        <f>SUM(S115:S119)</f>
        <v>-1219438.57</v>
      </c>
      <c r="T120" s="81">
        <f t="shared" si="184"/>
        <v>-596995.93999999994</v>
      </c>
      <c r="U120" s="80">
        <f t="shared" si="184"/>
        <v>-494478.42999999993</v>
      </c>
      <c r="V120" s="80">
        <f t="shared" si="184"/>
        <v>-176341.49000000008</v>
      </c>
      <c r="W120" s="80">
        <f t="shared" ref="W120:AC120" si="185">SUM(W115:W119)</f>
        <v>1934681.04</v>
      </c>
      <c r="X120" s="80">
        <f t="shared" si="185"/>
        <v>3202751.5900000003</v>
      </c>
      <c r="Y120" s="80">
        <f t="shared" si="185"/>
        <v>5589690.0299999993</v>
      </c>
      <c r="Z120" s="80">
        <f t="shared" si="185"/>
        <v>3158299.3200000003</v>
      </c>
      <c r="AA120" s="80">
        <f t="shared" si="185"/>
        <v>-2938745.9800000004</v>
      </c>
      <c r="AB120" s="80">
        <f t="shared" si="185"/>
        <v>-1762531.0499999998</v>
      </c>
      <c r="AC120" s="80">
        <f t="shared" si="185"/>
        <v>-653913.1799999997</v>
      </c>
      <c r="AD120" s="80">
        <f>SUM(AD115:AD119)</f>
        <v>-3118359.5900000003</v>
      </c>
      <c r="AE120" s="78">
        <f>AE99-AE106</f>
        <v>-1338169.44</v>
      </c>
      <c r="AF120" s="78">
        <f>AF99-AF106</f>
        <v>-1274619.0099999998</v>
      </c>
      <c r="AG120" s="78">
        <f>AG99-AG106</f>
        <v>-623173.10000000009</v>
      </c>
      <c r="AH120" s="78">
        <f t="shared" ref="AH120:AI120" si="186">AH99-AH106</f>
        <v>-261004.54999999981</v>
      </c>
      <c r="AI120" s="78">
        <f t="shared" si="186"/>
        <v>-678919.08000000007</v>
      </c>
      <c r="AJ120" s="189">
        <f t="shared" ref="AJ120:AP120" si="187">AJ99-AJ106</f>
        <v>5877420.9400000004</v>
      </c>
      <c r="AK120" s="110">
        <f t="shared" si="187"/>
        <v>6366802.1600000001</v>
      </c>
      <c r="AL120" s="110">
        <f t="shared" si="187"/>
        <v>4586674.5500000007</v>
      </c>
      <c r="AM120" s="110">
        <f t="shared" si="187"/>
        <v>643737.55000000075</v>
      </c>
      <c r="AN120" s="110">
        <f t="shared" si="187"/>
        <v>-1194011.4499999993</v>
      </c>
      <c r="AO120" s="110">
        <f t="shared" si="187"/>
        <v>-3962966.42</v>
      </c>
      <c r="AP120" s="110">
        <f t="shared" si="187"/>
        <v>-2881087.1500000004</v>
      </c>
      <c r="AQ120" s="110">
        <f t="shared" ref="AQ120" si="188">AQ99-AQ106</f>
        <v>-1825400.83</v>
      </c>
      <c r="AR120" s="110">
        <f t="shared" ref="AR120" si="189">AR99-AR106</f>
        <v>-1492397.1900000004</v>
      </c>
      <c r="AS120" s="98"/>
      <c r="AT120" s="98"/>
      <c r="AU120" s="98"/>
      <c r="AV120" s="98"/>
      <c r="AW120" s="81">
        <f>SUM(AW115:AW119)</f>
        <v>1813130.0399999998</v>
      </c>
      <c r="AX120" s="81">
        <f t="shared" ref="AX120:BD120" si="190">SUM(AX115:AX119)</f>
        <v>-1989886.0399999998</v>
      </c>
      <c r="AY120" s="81">
        <f t="shared" si="190"/>
        <v>-1886298.2100000002</v>
      </c>
      <c r="AZ120" s="81">
        <f t="shared" si="190"/>
        <v>1874915.54</v>
      </c>
      <c r="BA120" s="81">
        <f t="shared" si="190"/>
        <v>32347.230000000069</v>
      </c>
      <c r="BB120" s="81">
        <f t="shared" si="190"/>
        <v>19968.949999999866</v>
      </c>
      <c r="BC120" s="80">
        <f t="shared" si="190"/>
        <v>143213.61999999985</v>
      </c>
      <c r="BD120" s="80">
        <f t="shared" si="190"/>
        <v>-50553.489999999962</v>
      </c>
      <c r="BE120" s="80">
        <f>SUM(BE115:BE119)</f>
        <v>319728.84299999982</v>
      </c>
      <c r="BF120" s="263">
        <f>SUM(BF115:BF119)</f>
        <v>644554.64999999967</v>
      </c>
      <c r="BG120" s="259">
        <f t="shared" ref="BG120:BR120" si="191">M120-Y120</f>
        <v>-1749549.7999999993</v>
      </c>
      <c r="BH120" s="259">
        <f t="shared" si="191"/>
        <v>-2619794.3700000006</v>
      </c>
      <c r="BI120" s="259">
        <f t="shared" si="191"/>
        <v>2043662.62</v>
      </c>
      <c r="BJ120" s="259">
        <f t="shared" si="191"/>
        <v>1985901.3800000001</v>
      </c>
      <c r="BK120" s="259">
        <f t="shared" si="191"/>
        <v>52856.039999999804</v>
      </c>
      <c r="BL120" s="259">
        <f t="shared" si="191"/>
        <v>-735833.09000000032</v>
      </c>
      <c r="BM120" s="259">
        <f t="shared" si="191"/>
        <v>118730.86999999988</v>
      </c>
      <c r="BN120" s="259">
        <f t="shared" si="191"/>
        <v>677623.06999999983</v>
      </c>
      <c r="BO120" s="259">
        <f t="shared" si="191"/>
        <v>128694.67000000016</v>
      </c>
      <c r="BP120" s="259">
        <f t="shared" si="191"/>
        <v>84663.059999999736</v>
      </c>
      <c r="BQ120" s="259">
        <f t="shared" si="191"/>
        <v>2613600.12</v>
      </c>
      <c r="BR120" s="259">
        <f t="shared" si="191"/>
        <v>-2674669.35</v>
      </c>
    </row>
    <row r="121" spans="1:70" x14ac:dyDescent="0.25">
      <c r="A121" s="4">
        <f>+A114+1</f>
        <v>17</v>
      </c>
      <c r="B121" s="45" t="s">
        <v>20</v>
      </c>
      <c r="C121" s="61"/>
      <c r="D121" s="62"/>
      <c r="E121" s="62"/>
      <c r="F121" s="64"/>
      <c r="G121" s="62"/>
      <c r="H121" s="62"/>
      <c r="I121" s="62"/>
      <c r="J121" s="62"/>
      <c r="K121" s="62"/>
      <c r="L121" s="63"/>
      <c r="M121" s="64"/>
      <c r="N121" s="62"/>
      <c r="O121" s="64"/>
      <c r="P121" s="62"/>
      <c r="Q121" s="62"/>
      <c r="R121" s="62"/>
      <c r="S121" s="62"/>
      <c r="T121" s="62"/>
      <c r="U121" s="63"/>
      <c r="V121" s="320"/>
      <c r="W121" s="320"/>
      <c r="X121" s="165"/>
      <c r="Y121" s="320"/>
      <c r="Z121" s="320"/>
      <c r="AA121" s="320"/>
      <c r="AB121" s="320"/>
      <c r="AC121" s="165"/>
      <c r="AD121" s="165"/>
      <c r="AE121" s="320"/>
      <c r="AF121" s="320"/>
      <c r="AG121" s="320"/>
      <c r="AH121" s="320"/>
      <c r="AI121" s="320"/>
      <c r="AJ121" s="177"/>
      <c r="AK121" s="320"/>
      <c r="AL121" s="320"/>
      <c r="AM121" s="320"/>
      <c r="AN121" s="320"/>
      <c r="AO121" s="320"/>
      <c r="AP121" s="320"/>
      <c r="AQ121" s="320"/>
      <c r="AR121" s="320"/>
      <c r="AS121" s="320"/>
      <c r="AT121" s="320"/>
      <c r="AU121" s="320"/>
      <c r="AV121" s="320"/>
      <c r="AW121" s="64"/>
      <c r="AX121" s="65"/>
      <c r="AY121" s="66"/>
      <c r="AZ121" s="66"/>
      <c r="BA121" s="66"/>
      <c r="BB121" s="66"/>
      <c r="BC121" s="67"/>
      <c r="BD121" s="231"/>
      <c r="BE121" s="231"/>
      <c r="BF121" s="231"/>
      <c r="BG121" s="404"/>
      <c r="BH121" s="212"/>
      <c r="BI121" s="410"/>
      <c r="BJ121" s="410"/>
      <c r="BK121" s="410"/>
      <c r="BL121" s="410"/>
      <c r="BM121" s="410"/>
      <c r="BN121" s="410"/>
      <c r="BO121" s="410"/>
      <c r="BP121" s="410"/>
      <c r="BQ121" s="410"/>
      <c r="BR121" s="410"/>
    </row>
    <row r="122" spans="1:70" x14ac:dyDescent="0.25">
      <c r="A122" s="4"/>
      <c r="B122" s="35" t="s">
        <v>36</v>
      </c>
      <c r="C122" s="55">
        <v>0</v>
      </c>
      <c r="D122" s="56">
        <v>0</v>
      </c>
      <c r="E122" s="56">
        <v>0</v>
      </c>
      <c r="F122" s="58">
        <v>0</v>
      </c>
      <c r="G122" s="56">
        <v>0</v>
      </c>
      <c r="H122" s="58">
        <v>0</v>
      </c>
      <c r="I122" s="56">
        <v>0</v>
      </c>
      <c r="J122" s="58">
        <v>1</v>
      </c>
      <c r="K122" s="56">
        <v>2</v>
      </c>
      <c r="L122" s="130">
        <v>3</v>
      </c>
      <c r="M122" s="58">
        <v>4</v>
      </c>
      <c r="N122" s="58">
        <v>4</v>
      </c>
      <c r="O122" s="58">
        <v>5</v>
      </c>
      <c r="P122" s="58">
        <v>7</v>
      </c>
      <c r="Q122" s="56">
        <v>10</v>
      </c>
      <c r="R122" s="58">
        <v>20</v>
      </c>
      <c r="S122" s="56">
        <v>16</v>
      </c>
      <c r="T122" s="58">
        <v>16</v>
      </c>
      <c r="U122" s="58">
        <v>16</v>
      </c>
      <c r="V122" s="58">
        <v>12</v>
      </c>
      <c r="W122" s="58">
        <v>25</v>
      </c>
      <c r="X122" s="130">
        <v>36</v>
      </c>
      <c r="Y122" s="58">
        <v>36</v>
      </c>
      <c r="Z122" s="58">
        <v>42</v>
      </c>
      <c r="AA122" s="224">
        <v>38</v>
      </c>
      <c r="AB122" s="458">
        <v>30</v>
      </c>
      <c r="AC122" s="458">
        <v>0</v>
      </c>
      <c r="AD122" s="458">
        <v>0</v>
      </c>
      <c r="AE122" s="338">
        <v>0</v>
      </c>
      <c r="AF122" s="338">
        <v>0</v>
      </c>
      <c r="AG122" s="338">
        <v>0</v>
      </c>
      <c r="AH122" s="338">
        <v>0</v>
      </c>
      <c r="AI122" s="338">
        <v>0</v>
      </c>
      <c r="AJ122" s="850">
        <v>0</v>
      </c>
      <c r="AK122" s="338">
        <v>0</v>
      </c>
      <c r="AL122" s="338">
        <v>12</v>
      </c>
      <c r="AM122" s="338">
        <v>17</v>
      </c>
      <c r="AN122" s="338">
        <v>19</v>
      </c>
      <c r="AO122" s="338">
        <v>22</v>
      </c>
      <c r="AP122" s="338">
        <v>26</v>
      </c>
      <c r="AQ122" s="338">
        <v>16</v>
      </c>
      <c r="AR122" s="338">
        <v>38</v>
      </c>
      <c r="AS122" s="338"/>
      <c r="AT122" s="338"/>
      <c r="AU122" s="338"/>
      <c r="AV122" s="338"/>
      <c r="AW122" s="58">
        <f t="shared" ref="AW122:BF126" si="192">C122-O122</f>
        <v>-5</v>
      </c>
      <c r="AX122" s="58">
        <f t="shared" si="192"/>
        <v>-7</v>
      </c>
      <c r="AY122" s="58">
        <f t="shared" si="192"/>
        <v>-10</v>
      </c>
      <c r="AZ122" s="58">
        <f t="shared" si="192"/>
        <v>-20</v>
      </c>
      <c r="BA122" s="58">
        <f t="shared" si="192"/>
        <v>-16</v>
      </c>
      <c r="BB122" s="58">
        <f t="shared" si="192"/>
        <v>-16</v>
      </c>
      <c r="BC122" s="70">
        <f t="shared" si="192"/>
        <v>-16</v>
      </c>
      <c r="BD122" s="70">
        <f t="shared" si="192"/>
        <v>-11</v>
      </c>
      <c r="BE122" s="70">
        <f t="shared" si="192"/>
        <v>-23</v>
      </c>
      <c r="BF122" s="242">
        <f t="shared" si="192"/>
        <v>-33</v>
      </c>
      <c r="BG122" s="242">
        <f t="shared" ref="BG122:BP126" si="193">M122-Y122</f>
        <v>-32</v>
      </c>
      <c r="BH122" s="242">
        <f t="shared" si="193"/>
        <v>-38</v>
      </c>
      <c r="BI122" s="242">
        <f t="shared" si="193"/>
        <v>-33</v>
      </c>
      <c r="BJ122" s="242">
        <f t="shared" si="193"/>
        <v>-23</v>
      </c>
      <c r="BK122" s="242">
        <f t="shared" si="193"/>
        <v>10</v>
      </c>
      <c r="BL122" s="242">
        <f t="shared" si="193"/>
        <v>20</v>
      </c>
      <c r="BM122" s="242">
        <f t="shared" si="193"/>
        <v>16</v>
      </c>
      <c r="BN122" s="242">
        <f t="shared" si="193"/>
        <v>16</v>
      </c>
      <c r="BO122" s="242">
        <f t="shared" si="193"/>
        <v>16</v>
      </c>
      <c r="BP122" s="242">
        <f t="shared" si="193"/>
        <v>12</v>
      </c>
      <c r="BQ122" s="242">
        <f t="shared" ref="BQ122:BR126" si="194">W122-AI122</f>
        <v>25</v>
      </c>
      <c r="BR122" s="242">
        <f t="shared" si="194"/>
        <v>36</v>
      </c>
    </row>
    <row r="123" spans="1:70" x14ac:dyDescent="0.25">
      <c r="A123" s="4"/>
      <c r="B123" s="35" t="s">
        <v>37</v>
      </c>
      <c r="C123" s="55">
        <v>97</v>
      </c>
      <c r="D123" s="56">
        <v>113</v>
      </c>
      <c r="E123" s="56">
        <v>132</v>
      </c>
      <c r="F123" s="58">
        <v>139</v>
      </c>
      <c r="G123" s="56">
        <v>117</v>
      </c>
      <c r="H123" s="58">
        <v>119</v>
      </c>
      <c r="I123" s="56">
        <v>106</v>
      </c>
      <c r="J123" s="58">
        <v>109</v>
      </c>
      <c r="K123" s="56">
        <v>93</v>
      </c>
      <c r="L123" s="130">
        <v>77</v>
      </c>
      <c r="M123" s="58">
        <v>69</v>
      </c>
      <c r="N123" s="58">
        <v>57</v>
      </c>
      <c r="O123" s="58">
        <v>58</v>
      </c>
      <c r="P123" s="58">
        <v>77</v>
      </c>
      <c r="Q123" s="56">
        <v>76</v>
      </c>
      <c r="R123" s="58">
        <v>798</v>
      </c>
      <c r="S123" s="56">
        <v>1253</v>
      </c>
      <c r="T123" s="58">
        <v>1050</v>
      </c>
      <c r="U123" s="58">
        <v>681</v>
      </c>
      <c r="V123" s="58">
        <v>796</v>
      </c>
      <c r="W123" s="58">
        <v>696</v>
      </c>
      <c r="X123" s="130">
        <v>535</v>
      </c>
      <c r="Y123" s="58">
        <v>426</v>
      </c>
      <c r="Z123" s="58">
        <v>484</v>
      </c>
      <c r="AA123" s="224">
        <v>433</v>
      </c>
      <c r="AB123" s="458">
        <v>362</v>
      </c>
      <c r="AC123" s="458">
        <v>187</v>
      </c>
      <c r="AD123" s="458">
        <v>1014</v>
      </c>
      <c r="AE123" s="338">
        <v>1190</v>
      </c>
      <c r="AF123" s="338">
        <v>1281</v>
      </c>
      <c r="AG123" s="338">
        <v>1055</v>
      </c>
      <c r="AH123" s="338">
        <v>805</v>
      </c>
      <c r="AI123" s="338">
        <v>687</v>
      </c>
      <c r="AJ123" s="850">
        <v>465</v>
      </c>
      <c r="AK123" s="338">
        <v>334</v>
      </c>
      <c r="AL123" s="338">
        <v>746</v>
      </c>
      <c r="AM123" s="338">
        <v>715</v>
      </c>
      <c r="AN123" s="338">
        <f>11+697</f>
        <v>708</v>
      </c>
      <c r="AO123" s="338">
        <f>13+1258</f>
        <v>1271</v>
      </c>
      <c r="AP123" s="338">
        <f>SUM(14+1518)</f>
        <v>1532</v>
      </c>
      <c r="AQ123" s="338">
        <f>12+1389</f>
        <v>1401</v>
      </c>
      <c r="AR123" s="338">
        <f>61+3651</f>
        <v>3712</v>
      </c>
      <c r="AS123" s="338"/>
      <c r="AT123" s="338"/>
      <c r="AU123" s="338"/>
      <c r="AV123" s="338"/>
      <c r="AW123" s="58">
        <f t="shared" si="192"/>
        <v>39</v>
      </c>
      <c r="AX123" s="58">
        <f t="shared" si="192"/>
        <v>36</v>
      </c>
      <c r="AY123" s="58">
        <f t="shared" si="192"/>
        <v>56</v>
      </c>
      <c r="AZ123" s="58">
        <f t="shared" si="192"/>
        <v>-659</v>
      </c>
      <c r="BA123" s="58">
        <f t="shared" si="192"/>
        <v>-1136</v>
      </c>
      <c r="BB123" s="58">
        <f t="shared" si="192"/>
        <v>-931</v>
      </c>
      <c r="BC123" s="70">
        <f t="shared" si="192"/>
        <v>-575</v>
      </c>
      <c r="BD123" s="70">
        <f t="shared" si="192"/>
        <v>-687</v>
      </c>
      <c r="BE123" s="70">
        <f t="shared" si="192"/>
        <v>-603</v>
      </c>
      <c r="BF123" s="242">
        <f t="shared" si="192"/>
        <v>-458</v>
      </c>
      <c r="BG123" s="242">
        <f t="shared" si="193"/>
        <v>-357</v>
      </c>
      <c r="BH123" s="242">
        <f t="shared" si="193"/>
        <v>-427</v>
      </c>
      <c r="BI123" s="242">
        <f t="shared" si="193"/>
        <v>-375</v>
      </c>
      <c r="BJ123" s="242">
        <f t="shared" si="193"/>
        <v>-285</v>
      </c>
      <c r="BK123" s="242">
        <f t="shared" si="193"/>
        <v>-111</v>
      </c>
      <c r="BL123" s="242">
        <f t="shared" si="193"/>
        <v>-216</v>
      </c>
      <c r="BM123" s="242">
        <f t="shared" si="193"/>
        <v>63</v>
      </c>
      <c r="BN123" s="242">
        <f t="shared" si="193"/>
        <v>-231</v>
      </c>
      <c r="BO123" s="242">
        <f t="shared" si="193"/>
        <v>-374</v>
      </c>
      <c r="BP123" s="242">
        <f t="shared" si="193"/>
        <v>-9</v>
      </c>
      <c r="BQ123" s="242">
        <f t="shared" si="194"/>
        <v>9</v>
      </c>
      <c r="BR123" s="242">
        <f t="shared" si="194"/>
        <v>70</v>
      </c>
    </row>
    <row r="124" spans="1:70" x14ac:dyDescent="0.25">
      <c r="A124" s="4"/>
      <c r="B124" s="35" t="s">
        <v>38</v>
      </c>
      <c r="C124" s="55">
        <v>0</v>
      </c>
      <c r="D124" s="56">
        <v>0</v>
      </c>
      <c r="E124" s="56">
        <v>0</v>
      </c>
      <c r="F124" s="56">
        <v>0</v>
      </c>
      <c r="G124" s="56">
        <v>0</v>
      </c>
      <c r="H124" s="56">
        <v>0</v>
      </c>
      <c r="I124" s="56">
        <v>0</v>
      </c>
      <c r="J124" s="56">
        <v>0</v>
      </c>
      <c r="K124" s="56">
        <v>0</v>
      </c>
      <c r="L124" s="56">
        <v>0</v>
      </c>
      <c r="M124" s="58">
        <v>0</v>
      </c>
      <c r="N124" s="58">
        <v>0</v>
      </c>
      <c r="O124" s="58">
        <v>0</v>
      </c>
      <c r="P124" s="58">
        <v>0</v>
      </c>
      <c r="Q124" s="56">
        <v>0</v>
      </c>
      <c r="R124" s="58">
        <v>0</v>
      </c>
      <c r="S124" s="56">
        <v>0</v>
      </c>
      <c r="T124" s="58">
        <v>0</v>
      </c>
      <c r="U124" s="58">
        <v>0</v>
      </c>
      <c r="V124" s="58">
        <v>0</v>
      </c>
      <c r="W124" s="58">
        <v>0</v>
      </c>
      <c r="X124" s="130">
        <v>0</v>
      </c>
      <c r="Y124" s="58">
        <v>0</v>
      </c>
      <c r="Z124" s="58">
        <v>0</v>
      </c>
      <c r="AA124" s="58">
        <v>0</v>
      </c>
      <c r="AB124" s="458">
        <v>0</v>
      </c>
      <c r="AC124" s="130"/>
      <c r="AD124" s="130"/>
      <c r="AE124" s="338">
        <v>0</v>
      </c>
      <c r="AF124" s="338">
        <v>0</v>
      </c>
      <c r="AG124" s="338">
        <v>0</v>
      </c>
      <c r="AH124" s="338">
        <v>0</v>
      </c>
      <c r="AI124" s="338">
        <v>0</v>
      </c>
      <c r="AJ124" s="850">
        <v>0</v>
      </c>
      <c r="AK124" s="338">
        <v>0</v>
      </c>
      <c r="AL124" s="338">
        <v>0</v>
      </c>
      <c r="AM124" s="338">
        <v>0</v>
      </c>
      <c r="AN124" s="338">
        <v>0</v>
      </c>
      <c r="AO124" s="338">
        <v>0</v>
      </c>
      <c r="AP124" s="338">
        <v>0</v>
      </c>
      <c r="AQ124" s="338">
        <v>0</v>
      </c>
      <c r="AR124" s="338">
        <v>0</v>
      </c>
      <c r="AS124" s="338"/>
      <c r="AT124" s="338"/>
      <c r="AU124" s="338"/>
      <c r="AV124" s="338"/>
      <c r="AW124" s="58">
        <f t="shared" si="192"/>
        <v>0</v>
      </c>
      <c r="AX124" s="58">
        <f t="shared" si="192"/>
        <v>0</v>
      </c>
      <c r="AY124" s="58">
        <f t="shared" si="192"/>
        <v>0</v>
      </c>
      <c r="AZ124" s="58">
        <f t="shared" si="192"/>
        <v>0</v>
      </c>
      <c r="BA124" s="58">
        <f t="shared" si="192"/>
        <v>0</v>
      </c>
      <c r="BB124" s="58">
        <f t="shared" si="192"/>
        <v>0</v>
      </c>
      <c r="BC124" s="57">
        <f t="shared" si="192"/>
        <v>0</v>
      </c>
      <c r="BD124" s="70">
        <f t="shared" si="192"/>
        <v>0</v>
      </c>
      <c r="BE124" s="70">
        <f t="shared" si="192"/>
        <v>0</v>
      </c>
      <c r="BF124" s="242">
        <f t="shared" si="192"/>
        <v>0</v>
      </c>
      <c r="BG124" s="242">
        <f t="shared" si="193"/>
        <v>0</v>
      </c>
      <c r="BH124" s="242">
        <f t="shared" si="193"/>
        <v>0</v>
      </c>
      <c r="BI124" s="242">
        <f t="shared" si="193"/>
        <v>0</v>
      </c>
      <c r="BJ124" s="242">
        <f t="shared" si="193"/>
        <v>0</v>
      </c>
      <c r="BK124" s="242">
        <f t="shared" si="193"/>
        <v>0</v>
      </c>
      <c r="BL124" s="242">
        <f t="shared" si="193"/>
        <v>0</v>
      </c>
      <c r="BM124" s="242">
        <f t="shared" si="193"/>
        <v>0</v>
      </c>
      <c r="BN124" s="242">
        <f t="shared" si="193"/>
        <v>0</v>
      </c>
      <c r="BO124" s="242">
        <f t="shared" si="193"/>
        <v>0</v>
      </c>
      <c r="BP124" s="242">
        <f t="shared" si="193"/>
        <v>0</v>
      </c>
      <c r="BQ124" s="242">
        <f t="shared" si="194"/>
        <v>0</v>
      </c>
      <c r="BR124" s="242">
        <f t="shared" si="194"/>
        <v>0</v>
      </c>
    </row>
    <row r="125" spans="1:70" x14ac:dyDescent="0.25">
      <c r="A125" s="4"/>
      <c r="B125" s="35" t="s">
        <v>39</v>
      </c>
      <c r="C125" s="55">
        <v>0</v>
      </c>
      <c r="D125" s="56">
        <v>0</v>
      </c>
      <c r="E125" s="56">
        <v>0</v>
      </c>
      <c r="F125" s="56">
        <v>0</v>
      </c>
      <c r="G125" s="56">
        <v>0</v>
      </c>
      <c r="H125" s="56">
        <v>0</v>
      </c>
      <c r="I125" s="56">
        <v>0</v>
      </c>
      <c r="J125" s="56">
        <v>0</v>
      </c>
      <c r="K125" s="56">
        <v>0</v>
      </c>
      <c r="L125" s="56">
        <v>0</v>
      </c>
      <c r="M125" s="58">
        <v>0</v>
      </c>
      <c r="N125" s="58">
        <v>0</v>
      </c>
      <c r="O125" s="58">
        <v>0</v>
      </c>
      <c r="P125" s="58">
        <v>0</v>
      </c>
      <c r="Q125" s="56">
        <v>0</v>
      </c>
      <c r="R125" s="58">
        <v>0</v>
      </c>
      <c r="S125" s="56">
        <v>0</v>
      </c>
      <c r="T125" s="58">
        <v>0</v>
      </c>
      <c r="U125" s="58">
        <v>0</v>
      </c>
      <c r="V125" s="58">
        <v>0</v>
      </c>
      <c r="W125" s="58">
        <v>0</v>
      </c>
      <c r="X125" s="130">
        <v>0</v>
      </c>
      <c r="Y125" s="58">
        <v>0</v>
      </c>
      <c r="Z125" s="58">
        <v>0</v>
      </c>
      <c r="AA125" s="58">
        <v>0</v>
      </c>
      <c r="AB125" s="458">
        <v>0</v>
      </c>
      <c r="AC125" s="130"/>
      <c r="AD125" s="130"/>
      <c r="AE125" s="338">
        <v>0</v>
      </c>
      <c r="AF125" s="338">
        <v>0</v>
      </c>
      <c r="AG125" s="338">
        <v>0</v>
      </c>
      <c r="AH125" s="338">
        <v>0</v>
      </c>
      <c r="AI125" s="338">
        <v>0</v>
      </c>
      <c r="AJ125" s="850">
        <v>0</v>
      </c>
      <c r="AK125" s="338">
        <v>0</v>
      </c>
      <c r="AL125" s="338">
        <v>0</v>
      </c>
      <c r="AM125" s="338">
        <v>0</v>
      </c>
      <c r="AN125" s="338">
        <v>0</v>
      </c>
      <c r="AO125" s="338">
        <v>0</v>
      </c>
      <c r="AP125" s="338">
        <v>0</v>
      </c>
      <c r="AQ125" s="338">
        <v>0</v>
      </c>
      <c r="AR125" s="338">
        <v>0</v>
      </c>
      <c r="AS125" s="338"/>
      <c r="AT125" s="338"/>
      <c r="AU125" s="338"/>
      <c r="AV125" s="338"/>
      <c r="AW125" s="58">
        <f t="shared" si="192"/>
        <v>0</v>
      </c>
      <c r="AX125" s="58">
        <f t="shared" si="192"/>
        <v>0</v>
      </c>
      <c r="AY125" s="58">
        <f t="shared" si="192"/>
        <v>0</v>
      </c>
      <c r="AZ125" s="58">
        <f t="shared" si="192"/>
        <v>0</v>
      </c>
      <c r="BA125" s="58">
        <f t="shared" si="192"/>
        <v>0</v>
      </c>
      <c r="BB125" s="58">
        <f t="shared" si="192"/>
        <v>0</v>
      </c>
      <c r="BC125" s="57">
        <f t="shared" si="192"/>
        <v>0</v>
      </c>
      <c r="BD125" s="70">
        <f t="shared" si="192"/>
        <v>0</v>
      </c>
      <c r="BE125" s="70">
        <f t="shared" si="192"/>
        <v>0</v>
      </c>
      <c r="BF125" s="242">
        <f t="shared" si="192"/>
        <v>0</v>
      </c>
      <c r="BG125" s="242">
        <f t="shared" si="193"/>
        <v>0</v>
      </c>
      <c r="BH125" s="242">
        <f t="shared" si="193"/>
        <v>0</v>
      </c>
      <c r="BI125" s="242">
        <f t="shared" si="193"/>
        <v>0</v>
      </c>
      <c r="BJ125" s="242">
        <f t="shared" si="193"/>
        <v>0</v>
      </c>
      <c r="BK125" s="242">
        <f t="shared" si="193"/>
        <v>0</v>
      </c>
      <c r="BL125" s="242">
        <f t="shared" si="193"/>
        <v>0</v>
      </c>
      <c r="BM125" s="242">
        <f t="shared" si="193"/>
        <v>0</v>
      </c>
      <c r="BN125" s="242">
        <f t="shared" si="193"/>
        <v>0</v>
      </c>
      <c r="BO125" s="242">
        <f t="shared" si="193"/>
        <v>0</v>
      </c>
      <c r="BP125" s="242">
        <f t="shared" si="193"/>
        <v>0</v>
      </c>
      <c r="BQ125" s="242">
        <f t="shared" si="194"/>
        <v>0</v>
      </c>
      <c r="BR125" s="242">
        <f t="shared" si="194"/>
        <v>0</v>
      </c>
    </row>
    <row r="126" spans="1:70" x14ac:dyDescent="0.25">
      <c r="A126" s="4"/>
      <c r="B126" s="35" t="s">
        <v>40</v>
      </c>
      <c r="C126" s="55">
        <v>0</v>
      </c>
      <c r="D126" s="56">
        <v>0</v>
      </c>
      <c r="E126" s="56">
        <v>0</v>
      </c>
      <c r="F126" s="56">
        <v>0</v>
      </c>
      <c r="G126" s="56">
        <v>0</v>
      </c>
      <c r="H126" s="56">
        <v>0</v>
      </c>
      <c r="I126" s="56">
        <v>0</v>
      </c>
      <c r="J126" s="56">
        <v>0</v>
      </c>
      <c r="K126" s="56">
        <v>0</v>
      </c>
      <c r="L126" s="56">
        <v>0</v>
      </c>
      <c r="M126" s="58">
        <v>0</v>
      </c>
      <c r="N126" s="58">
        <v>0</v>
      </c>
      <c r="O126" s="58">
        <v>0</v>
      </c>
      <c r="P126" s="58">
        <v>0</v>
      </c>
      <c r="Q126" s="56">
        <v>0</v>
      </c>
      <c r="R126" s="58">
        <v>0</v>
      </c>
      <c r="S126" s="56">
        <v>0</v>
      </c>
      <c r="T126" s="58">
        <v>0</v>
      </c>
      <c r="U126" s="58">
        <v>0</v>
      </c>
      <c r="V126" s="58">
        <v>0</v>
      </c>
      <c r="W126" s="58">
        <v>0</v>
      </c>
      <c r="X126" s="130">
        <v>0</v>
      </c>
      <c r="Y126" s="58">
        <v>0</v>
      </c>
      <c r="Z126" s="58">
        <v>0</v>
      </c>
      <c r="AA126" s="58">
        <v>0</v>
      </c>
      <c r="AB126" s="458">
        <v>0</v>
      </c>
      <c r="AC126" s="130"/>
      <c r="AD126" s="130"/>
      <c r="AE126" s="338">
        <v>0</v>
      </c>
      <c r="AF126" s="338">
        <v>0</v>
      </c>
      <c r="AG126" s="338">
        <v>0</v>
      </c>
      <c r="AH126" s="338">
        <v>0</v>
      </c>
      <c r="AI126" s="338">
        <v>0</v>
      </c>
      <c r="AJ126" s="850">
        <v>0</v>
      </c>
      <c r="AK126" s="338">
        <v>0</v>
      </c>
      <c r="AL126" s="338">
        <v>0</v>
      </c>
      <c r="AM126" s="338">
        <v>0</v>
      </c>
      <c r="AN126" s="338">
        <v>0</v>
      </c>
      <c r="AO126" s="338">
        <v>0</v>
      </c>
      <c r="AP126" s="338">
        <v>0</v>
      </c>
      <c r="AQ126" s="338">
        <v>0</v>
      </c>
      <c r="AR126" s="338">
        <v>0</v>
      </c>
      <c r="AS126" s="338"/>
      <c r="AT126" s="338"/>
      <c r="AU126" s="338"/>
      <c r="AV126" s="338"/>
      <c r="AW126" s="58">
        <f t="shared" si="192"/>
        <v>0</v>
      </c>
      <c r="AX126" s="58">
        <f t="shared" si="192"/>
        <v>0</v>
      </c>
      <c r="AY126" s="58">
        <f t="shared" si="192"/>
        <v>0</v>
      </c>
      <c r="AZ126" s="58">
        <f t="shared" si="192"/>
        <v>0</v>
      </c>
      <c r="BA126" s="58">
        <f t="shared" si="192"/>
        <v>0</v>
      </c>
      <c r="BB126" s="58">
        <f t="shared" si="192"/>
        <v>0</v>
      </c>
      <c r="BC126" s="57">
        <f t="shared" si="192"/>
        <v>0</v>
      </c>
      <c r="BD126" s="70">
        <f t="shared" si="192"/>
        <v>0</v>
      </c>
      <c r="BE126" s="70">
        <f t="shared" si="192"/>
        <v>0</v>
      </c>
      <c r="BF126" s="242">
        <f t="shared" si="192"/>
        <v>0</v>
      </c>
      <c r="BG126" s="242">
        <f t="shared" si="193"/>
        <v>0</v>
      </c>
      <c r="BH126" s="242">
        <f t="shared" si="193"/>
        <v>0</v>
      </c>
      <c r="BI126" s="242">
        <f t="shared" si="193"/>
        <v>0</v>
      </c>
      <c r="BJ126" s="242">
        <f t="shared" si="193"/>
        <v>0</v>
      </c>
      <c r="BK126" s="242">
        <f t="shared" si="193"/>
        <v>0</v>
      </c>
      <c r="BL126" s="242">
        <f t="shared" si="193"/>
        <v>0</v>
      </c>
      <c r="BM126" s="242">
        <f t="shared" si="193"/>
        <v>0</v>
      </c>
      <c r="BN126" s="242">
        <f t="shared" si="193"/>
        <v>0</v>
      </c>
      <c r="BO126" s="242">
        <f t="shared" si="193"/>
        <v>0</v>
      </c>
      <c r="BP126" s="242">
        <f t="shared" si="193"/>
        <v>0</v>
      </c>
      <c r="BQ126" s="242">
        <f t="shared" si="194"/>
        <v>0</v>
      </c>
      <c r="BR126" s="242">
        <f t="shared" si="194"/>
        <v>0</v>
      </c>
    </row>
    <row r="127" spans="1:70" x14ac:dyDescent="0.25">
      <c r="A127" s="4"/>
      <c r="B127" s="35" t="s">
        <v>41</v>
      </c>
      <c r="C127" s="131">
        <f t="shared" ref="C127:AC127" si="195">SUM(C122:C126)</f>
        <v>97</v>
      </c>
      <c r="D127" s="58">
        <f t="shared" si="195"/>
        <v>113</v>
      </c>
      <c r="E127" s="58">
        <f t="shared" si="195"/>
        <v>132</v>
      </c>
      <c r="F127" s="58">
        <f t="shared" si="195"/>
        <v>139</v>
      </c>
      <c r="G127" s="58">
        <f t="shared" si="195"/>
        <v>117</v>
      </c>
      <c r="H127" s="58">
        <f t="shared" si="195"/>
        <v>119</v>
      </c>
      <c r="I127" s="58">
        <f t="shared" si="195"/>
        <v>106</v>
      </c>
      <c r="J127" s="58">
        <f t="shared" si="195"/>
        <v>110</v>
      </c>
      <c r="K127" s="58">
        <f t="shared" si="195"/>
        <v>95</v>
      </c>
      <c r="L127" s="130">
        <f t="shared" si="195"/>
        <v>80</v>
      </c>
      <c r="M127" s="58">
        <f t="shared" si="195"/>
        <v>73</v>
      </c>
      <c r="N127" s="58">
        <f t="shared" si="195"/>
        <v>61</v>
      </c>
      <c r="O127" s="58">
        <f t="shared" si="195"/>
        <v>63</v>
      </c>
      <c r="P127" s="58">
        <f t="shared" si="195"/>
        <v>84</v>
      </c>
      <c r="Q127" s="58">
        <f t="shared" si="195"/>
        <v>86</v>
      </c>
      <c r="R127" s="58">
        <f t="shared" si="195"/>
        <v>818</v>
      </c>
      <c r="S127" s="58">
        <f t="shared" si="195"/>
        <v>1269</v>
      </c>
      <c r="T127" s="58">
        <f t="shared" si="195"/>
        <v>1066</v>
      </c>
      <c r="U127" s="70">
        <f t="shared" si="195"/>
        <v>697</v>
      </c>
      <c r="V127" s="70">
        <f t="shared" si="195"/>
        <v>808</v>
      </c>
      <c r="W127" s="70">
        <f t="shared" si="195"/>
        <v>721</v>
      </c>
      <c r="X127" s="70">
        <f t="shared" si="195"/>
        <v>571</v>
      </c>
      <c r="Y127" s="70">
        <f t="shared" si="195"/>
        <v>462</v>
      </c>
      <c r="Z127" s="70">
        <f t="shared" si="195"/>
        <v>526</v>
      </c>
      <c r="AA127" s="70">
        <f t="shared" si="195"/>
        <v>471</v>
      </c>
      <c r="AB127" s="70">
        <f t="shared" si="195"/>
        <v>392</v>
      </c>
      <c r="AC127" s="70">
        <f t="shared" si="195"/>
        <v>187</v>
      </c>
      <c r="AD127" s="70">
        <f t="shared" ref="AD127:AI127" si="196">SUM(AD122:AD126)</f>
        <v>1014</v>
      </c>
      <c r="AE127" s="70">
        <f t="shared" si="196"/>
        <v>1190</v>
      </c>
      <c r="AF127" s="70">
        <f t="shared" si="196"/>
        <v>1281</v>
      </c>
      <c r="AG127" s="70">
        <f t="shared" si="196"/>
        <v>1055</v>
      </c>
      <c r="AH127" s="70">
        <f t="shared" si="196"/>
        <v>805</v>
      </c>
      <c r="AI127" s="70">
        <f t="shared" si="196"/>
        <v>687</v>
      </c>
      <c r="AJ127" s="171">
        <f t="shared" ref="AJ127:AN127" si="197">SUM(AJ122:AJ126)</f>
        <v>465</v>
      </c>
      <c r="AK127" s="162">
        <f t="shared" si="197"/>
        <v>334</v>
      </c>
      <c r="AL127" s="162">
        <f t="shared" si="197"/>
        <v>758</v>
      </c>
      <c r="AM127" s="162">
        <f t="shared" si="197"/>
        <v>732</v>
      </c>
      <c r="AN127" s="162">
        <f t="shared" si="197"/>
        <v>727</v>
      </c>
      <c r="AO127" s="338">
        <f>SUM(AO122:AO126)</f>
        <v>1293</v>
      </c>
      <c r="AP127" s="338">
        <f>SUM(AP122:AP126)</f>
        <v>1558</v>
      </c>
      <c r="AQ127" s="338">
        <f>SUM(AQ122:AQ126)</f>
        <v>1417</v>
      </c>
      <c r="AR127" s="338">
        <f>SUM(AR122:AR126)</f>
        <v>3750</v>
      </c>
      <c r="AS127" s="338"/>
      <c r="AT127" s="338"/>
      <c r="AU127" s="338"/>
      <c r="AV127" s="338"/>
      <c r="AW127" s="58">
        <f t="shared" ref="AW127:BF127" si="198">SUM(AW122:AW126)</f>
        <v>34</v>
      </c>
      <c r="AX127" s="58">
        <f t="shared" si="198"/>
        <v>29</v>
      </c>
      <c r="AY127" s="58">
        <f t="shared" si="198"/>
        <v>46</v>
      </c>
      <c r="AZ127" s="58">
        <f t="shared" si="198"/>
        <v>-679</v>
      </c>
      <c r="BA127" s="58">
        <f t="shared" si="198"/>
        <v>-1152</v>
      </c>
      <c r="BB127" s="58">
        <f t="shared" si="198"/>
        <v>-947</v>
      </c>
      <c r="BC127" s="57">
        <f t="shared" si="198"/>
        <v>-591</v>
      </c>
      <c r="BD127" s="57">
        <f t="shared" si="198"/>
        <v>-698</v>
      </c>
      <c r="BE127" s="57">
        <f t="shared" si="198"/>
        <v>-626</v>
      </c>
      <c r="BF127" s="264">
        <f t="shared" si="198"/>
        <v>-491</v>
      </c>
      <c r="BG127" s="242">
        <f t="shared" ref="BG127:BR127" si="199">M127-Y127</f>
        <v>-389</v>
      </c>
      <c r="BH127" s="242">
        <f t="shared" si="199"/>
        <v>-465</v>
      </c>
      <c r="BI127" s="242">
        <f t="shared" si="199"/>
        <v>-408</v>
      </c>
      <c r="BJ127" s="242">
        <f t="shared" si="199"/>
        <v>-308</v>
      </c>
      <c r="BK127" s="242">
        <f t="shared" si="199"/>
        <v>-101</v>
      </c>
      <c r="BL127" s="242">
        <f t="shared" si="199"/>
        <v>-196</v>
      </c>
      <c r="BM127" s="242">
        <f t="shared" si="199"/>
        <v>79</v>
      </c>
      <c r="BN127" s="242">
        <f t="shared" si="199"/>
        <v>-215</v>
      </c>
      <c r="BO127" s="242">
        <f t="shared" si="199"/>
        <v>-358</v>
      </c>
      <c r="BP127" s="242">
        <f t="shared" si="199"/>
        <v>3</v>
      </c>
      <c r="BQ127" s="242">
        <f t="shared" si="199"/>
        <v>34</v>
      </c>
      <c r="BR127" s="242">
        <f t="shared" si="199"/>
        <v>106</v>
      </c>
    </row>
    <row r="128" spans="1:70" x14ac:dyDescent="0.25">
      <c r="A128" s="4">
        <f>+A121+1</f>
        <v>18</v>
      </c>
      <c r="B128" s="46" t="s">
        <v>25</v>
      </c>
      <c r="C128" s="132"/>
      <c r="D128" s="66"/>
      <c r="E128" s="66"/>
      <c r="F128" s="66"/>
      <c r="G128" s="66"/>
      <c r="H128" s="133"/>
      <c r="I128" s="66"/>
      <c r="J128" s="133"/>
      <c r="K128" s="66"/>
      <c r="L128" s="134"/>
      <c r="M128" s="133"/>
      <c r="N128" s="133"/>
      <c r="O128" s="133"/>
      <c r="P128" s="133"/>
      <c r="Q128" s="66"/>
      <c r="R128" s="133"/>
      <c r="S128" s="66"/>
      <c r="T128" s="133"/>
      <c r="U128" s="134"/>
      <c r="V128" s="265"/>
      <c r="W128" s="265"/>
      <c r="X128" s="134"/>
      <c r="Y128" s="265"/>
      <c r="Z128" s="265"/>
      <c r="AA128" s="265"/>
      <c r="AB128" s="265"/>
      <c r="AC128" s="134"/>
      <c r="AD128" s="134"/>
      <c r="AE128" s="265"/>
      <c r="AF128" s="265"/>
      <c r="AG128" s="265"/>
      <c r="AH128" s="265"/>
      <c r="AI128" s="265"/>
      <c r="AJ128" s="868"/>
      <c r="AK128" s="265"/>
      <c r="AL128" s="265"/>
      <c r="AM128" s="265"/>
      <c r="AN128" s="265"/>
      <c r="AO128" s="265"/>
      <c r="AP128" s="265"/>
      <c r="AQ128" s="265"/>
      <c r="AR128" s="265"/>
      <c r="AS128" s="265"/>
      <c r="AT128" s="265"/>
      <c r="AU128" s="265"/>
      <c r="AV128" s="265"/>
      <c r="AW128" s="133"/>
      <c r="AX128" s="133"/>
      <c r="AY128" s="66"/>
      <c r="AZ128" s="133"/>
      <c r="BA128" s="66"/>
      <c r="BB128" s="133"/>
      <c r="BC128" s="134"/>
      <c r="BD128" s="231"/>
      <c r="BE128" s="231"/>
      <c r="BF128" s="231"/>
      <c r="BG128" s="404"/>
      <c r="BH128" s="212"/>
      <c r="BI128" s="410"/>
      <c r="BJ128" s="410"/>
      <c r="BK128" s="410"/>
      <c r="BL128" s="410"/>
      <c r="BM128" s="410"/>
      <c r="BN128" s="410"/>
      <c r="BO128" s="410"/>
      <c r="BP128" s="410"/>
      <c r="BQ128" s="410"/>
      <c r="BR128" s="410"/>
    </row>
    <row r="129" spans="1:87" x14ac:dyDescent="0.25">
      <c r="A129" s="4"/>
      <c r="B129" s="35" t="s">
        <v>36</v>
      </c>
      <c r="C129" s="135">
        <v>21</v>
      </c>
      <c r="D129" s="136">
        <v>584</v>
      </c>
      <c r="E129" s="136">
        <v>657</v>
      </c>
      <c r="F129" s="136">
        <v>312</v>
      </c>
      <c r="G129" s="136">
        <v>164</v>
      </c>
      <c r="H129" s="137">
        <v>342</v>
      </c>
      <c r="I129" s="136">
        <v>213</v>
      </c>
      <c r="J129" s="137">
        <v>171</v>
      </c>
      <c r="K129" s="136">
        <v>39</v>
      </c>
      <c r="L129" s="138">
        <v>8</v>
      </c>
      <c r="M129" s="137">
        <v>4</v>
      </c>
      <c r="N129" s="137">
        <v>4</v>
      </c>
      <c r="O129" s="137">
        <v>1</v>
      </c>
      <c r="P129" s="137">
        <v>0</v>
      </c>
      <c r="Q129" s="136">
        <v>0</v>
      </c>
      <c r="R129" s="137">
        <v>0</v>
      </c>
      <c r="S129" s="136">
        <v>0</v>
      </c>
      <c r="T129" s="137">
        <v>0</v>
      </c>
      <c r="U129" s="138">
        <v>0</v>
      </c>
      <c r="V129" s="230">
        <v>0</v>
      </c>
      <c r="W129" s="230">
        <v>0</v>
      </c>
      <c r="X129" s="138">
        <v>0</v>
      </c>
      <c r="Y129" s="230">
        <v>0</v>
      </c>
      <c r="Z129" s="230">
        <v>0</v>
      </c>
      <c r="AA129" s="230">
        <v>0</v>
      </c>
      <c r="AB129" s="230">
        <v>0</v>
      </c>
      <c r="AC129" s="138">
        <v>0</v>
      </c>
      <c r="AD129" s="138">
        <v>0</v>
      </c>
      <c r="AE129" s="230">
        <v>0</v>
      </c>
      <c r="AF129" s="230">
        <v>27</v>
      </c>
      <c r="AG129" s="230">
        <v>550</v>
      </c>
      <c r="AH129" s="230">
        <v>197</v>
      </c>
      <c r="AI129" s="230">
        <v>21</v>
      </c>
      <c r="AJ129" s="877">
        <v>0</v>
      </c>
      <c r="AK129" s="230">
        <v>0</v>
      </c>
      <c r="AL129" s="230">
        <v>0</v>
      </c>
      <c r="AM129" s="230">
        <v>0</v>
      </c>
      <c r="AN129" s="230">
        <v>42</v>
      </c>
      <c r="AO129" s="230">
        <v>414</v>
      </c>
      <c r="AP129" s="230">
        <v>288</v>
      </c>
      <c r="AQ129" s="230">
        <v>347</v>
      </c>
      <c r="AR129" s="230">
        <v>280</v>
      </c>
      <c r="AS129" s="230"/>
      <c r="AT129" s="230"/>
      <c r="AU129" s="230"/>
      <c r="AV129" s="230"/>
      <c r="AW129" s="398">
        <f t="shared" ref="AW129:BF133" si="200">C129-O129</f>
        <v>20</v>
      </c>
      <c r="AX129" s="137">
        <f t="shared" si="200"/>
        <v>584</v>
      </c>
      <c r="AY129" s="137">
        <f t="shared" si="200"/>
        <v>657</v>
      </c>
      <c r="AZ129" s="137">
        <f t="shared" si="200"/>
        <v>312</v>
      </c>
      <c r="BA129" s="137">
        <f t="shared" si="200"/>
        <v>164</v>
      </c>
      <c r="BB129" s="137">
        <f t="shared" si="200"/>
        <v>342</v>
      </c>
      <c r="BC129" s="137">
        <f t="shared" si="200"/>
        <v>213</v>
      </c>
      <c r="BD129" s="137">
        <f t="shared" si="200"/>
        <v>171</v>
      </c>
      <c r="BE129" s="137">
        <f t="shared" si="200"/>
        <v>39</v>
      </c>
      <c r="BF129" s="230">
        <f t="shared" si="200"/>
        <v>8</v>
      </c>
      <c r="BG129" s="230">
        <f t="shared" ref="BG129:BP133" si="201">M129-Y129</f>
        <v>4</v>
      </c>
      <c r="BH129" s="230">
        <f t="shared" si="201"/>
        <v>4</v>
      </c>
      <c r="BI129" s="230">
        <f t="shared" si="201"/>
        <v>1</v>
      </c>
      <c r="BJ129" s="230">
        <f t="shared" si="201"/>
        <v>0</v>
      </c>
      <c r="BK129" s="230">
        <f t="shared" si="201"/>
        <v>0</v>
      </c>
      <c r="BL129" s="230">
        <f t="shared" si="201"/>
        <v>0</v>
      </c>
      <c r="BM129" s="230">
        <f t="shared" si="201"/>
        <v>0</v>
      </c>
      <c r="BN129" s="230">
        <f t="shared" si="201"/>
        <v>-27</v>
      </c>
      <c r="BO129" s="230">
        <f t="shared" si="201"/>
        <v>-550</v>
      </c>
      <c r="BP129" s="230">
        <f t="shared" si="201"/>
        <v>-197</v>
      </c>
      <c r="BQ129" s="230">
        <f t="shared" ref="BQ129:BR133" si="202">W129-AI129</f>
        <v>-21</v>
      </c>
      <c r="BR129" s="230">
        <f t="shared" si="202"/>
        <v>0</v>
      </c>
    </row>
    <row r="130" spans="1:87" x14ac:dyDescent="0.25">
      <c r="A130" s="4"/>
      <c r="B130" s="35" t="s">
        <v>37</v>
      </c>
      <c r="C130" s="135">
        <v>0</v>
      </c>
      <c r="D130" s="136">
        <v>0</v>
      </c>
      <c r="E130" s="136">
        <v>84</v>
      </c>
      <c r="F130" s="136">
        <v>83</v>
      </c>
      <c r="G130" s="136">
        <v>66</v>
      </c>
      <c r="H130" s="137">
        <v>125</v>
      </c>
      <c r="I130" s="136">
        <v>114</v>
      </c>
      <c r="J130" s="137">
        <v>80</v>
      </c>
      <c r="K130" s="136">
        <v>22</v>
      </c>
      <c r="L130" s="230">
        <v>0</v>
      </c>
      <c r="M130" s="233">
        <v>0</v>
      </c>
      <c r="N130" s="234">
        <v>0</v>
      </c>
      <c r="O130" s="234">
        <v>0</v>
      </c>
      <c r="P130" s="234">
        <v>0</v>
      </c>
      <c r="Q130" s="73">
        <v>0</v>
      </c>
      <c r="R130" s="73">
        <v>0</v>
      </c>
      <c r="S130" s="73">
        <v>0</v>
      </c>
      <c r="T130" s="73">
        <v>0</v>
      </c>
      <c r="U130" s="74">
        <v>0</v>
      </c>
      <c r="V130" s="230">
        <v>0</v>
      </c>
      <c r="W130" s="230">
        <v>0</v>
      </c>
      <c r="X130" s="138">
        <v>0</v>
      </c>
      <c r="Y130" s="230">
        <v>0</v>
      </c>
      <c r="Z130" s="230">
        <v>0</v>
      </c>
      <c r="AA130" s="230">
        <v>0</v>
      </c>
      <c r="AB130" s="230">
        <v>0</v>
      </c>
      <c r="AC130" s="138">
        <v>0</v>
      </c>
      <c r="AD130" s="138">
        <v>0</v>
      </c>
      <c r="AE130" s="230">
        <v>0</v>
      </c>
      <c r="AF130" s="230">
        <v>6</v>
      </c>
      <c r="AG130" s="230">
        <f>161-6</f>
        <v>155</v>
      </c>
      <c r="AH130" s="230">
        <v>55</v>
      </c>
      <c r="AI130" s="230">
        <v>5</v>
      </c>
      <c r="AJ130" s="877">
        <v>0</v>
      </c>
      <c r="AK130" s="230">
        <v>0</v>
      </c>
      <c r="AL130" s="230">
        <v>0</v>
      </c>
      <c r="AM130" s="230">
        <v>0</v>
      </c>
      <c r="AN130" s="230">
        <v>7</v>
      </c>
      <c r="AO130" s="230">
        <v>97</v>
      </c>
      <c r="AP130" s="230">
        <v>96</v>
      </c>
      <c r="AQ130" s="230">
        <v>94</v>
      </c>
      <c r="AR130" s="230">
        <v>68</v>
      </c>
      <c r="AS130" s="230"/>
      <c r="AT130" s="230"/>
      <c r="AU130" s="230"/>
      <c r="AV130" s="230"/>
      <c r="AW130" s="398">
        <f t="shared" si="200"/>
        <v>0</v>
      </c>
      <c r="AX130" s="137">
        <f t="shared" si="200"/>
        <v>0</v>
      </c>
      <c r="AY130" s="137">
        <f t="shared" si="200"/>
        <v>84</v>
      </c>
      <c r="AZ130" s="137">
        <f t="shared" si="200"/>
        <v>83</v>
      </c>
      <c r="BA130" s="137">
        <f t="shared" si="200"/>
        <v>66</v>
      </c>
      <c r="BB130" s="137">
        <f t="shared" si="200"/>
        <v>125</v>
      </c>
      <c r="BC130" s="137">
        <f t="shared" si="200"/>
        <v>114</v>
      </c>
      <c r="BD130" s="137">
        <f t="shared" si="200"/>
        <v>80</v>
      </c>
      <c r="BE130" s="137">
        <f t="shared" si="200"/>
        <v>22</v>
      </c>
      <c r="BF130" s="230">
        <f t="shared" si="200"/>
        <v>0</v>
      </c>
      <c r="BG130" s="230">
        <f t="shared" si="201"/>
        <v>0</v>
      </c>
      <c r="BH130" s="230">
        <f t="shared" si="201"/>
        <v>0</v>
      </c>
      <c r="BI130" s="230">
        <f t="shared" si="201"/>
        <v>0</v>
      </c>
      <c r="BJ130" s="230">
        <f t="shared" si="201"/>
        <v>0</v>
      </c>
      <c r="BK130" s="230">
        <f t="shared" si="201"/>
        <v>0</v>
      </c>
      <c r="BL130" s="230">
        <f t="shared" si="201"/>
        <v>0</v>
      </c>
      <c r="BM130" s="230">
        <f t="shared" si="201"/>
        <v>0</v>
      </c>
      <c r="BN130" s="230">
        <f t="shared" si="201"/>
        <v>-6</v>
      </c>
      <c r="BO130" s="230">
        <f t="shared" si="201"/>
        <v>-155</v>
      </c>
      <c r="BP130" s="230">
        <f t="shared" si="201"/>
        <v>-55</v>
      </c>
      <c r="BQ130" s="230">
        <f t="shared" si="202"/>
        <v>-5</v>
      </c>
      <c r="BR130" s="230">
        <f t="shared" si="202"/>
        <v>0</v>
      </c>
    </row>
    <row r="131" spans="1:87" x14ac:dyDescent="0.25">
      <c r="A131" s="4"/>
      <c r="B131" s="35" t="s">
        <v>38</v>
      </c>
      <c r="C131" s="135">
        <v>19</v>
      </c>
      <c r="D131" s="136">
        <v>28</v>
      </c>
      <c r="E131" s="136">
        <v>22</v>
      </c>
      <c r="F131" s="136">
        <v>18</v>
      </c>
      <c r="G131" s="136">
        <v>5</v>
      </c>
      <c r="H131" s="137">
        <v>5</v>
      </c>
      <c r="I131" s="136">
        <v>4</v>
      </c>
      <c r="J131" s="137">
        <v>5</v>
      </c>
      <c r="K131" s="136">
        <v>0</v>
      </c>
      <c r="L131" s="230">
        <v>0</v>
      </c>
      <c r="M131" s="73">
        <v>3</v>
      </c>
      <c r="N131" s="73">
        <v>10</v>
      </c>
      <c r="O131" s="73">
        <v>5</v>
      </c>
      <c r="P131" s="73">
        <v>0</v>
      </c>
      <c r="Q131" s="73">
        <v>0</v>
      </c>
      <c r="R131" s="73">
        <v>0</v>
      </c>
      <c r="S131" s="73">
        <v>0</v>
      </c>
      <c r="T131" s="73">
        <v>0</v>
      </c>
      <c r="U131" s="74">
        <v>40</v>
      </c>
      <c r="V131" s="230">
        <v>10</v>
      </c>
      <c r="W131" s="230">
        <v>0</v>
      </c>
      <c r="X131" s="138">
        <v>0</v>
      </c>
      <c r="Y131" s="230">
        <v>4</v>
      </c>
      <c r="Z131" s="230">
        <v>0</v>
      </c>
      <c r="AA131" s="230">
        <v>2</v>
      </c>
      <c r="AB131" s="230">
        <v>0</v>
      </c>
      <c r="AC131" s="138">
        <v>0</v>
      </c>
      <c r="AD131" s="138">
        <v>0</v>
      </c>
      <c r="AE131" s="230">
        <v>0</v>
      </c>
      <c r="AF131" s="230">
        <v>6</v>
      </c>
      <c r="AG131" s="230">
        <v>15</v>
      </c>
      <c r="AH131" s="230">
        <v>5</v>
      </c>
      <c r="AI131" s="230">
        <v>6</v>
      </c>
      <c r="AJ131" s="877">
        <v>1</v>
      </c>
      <c r="AK131" s="230">
        <v>6</v>
      </c>
      <c r="AL131" s="230">
        <v>12</v>
      </c>
      <c r="AM131" s="230">
        <v>12</v>
      </c>
      <c r="AN131" s="230">
        <v>11</v>
      </c>
      <c r="AO131" s="230">
        <v>33</v>
      </c>
      <c r="AP131" s="230">
        <v>11</v>
      </c>
      <c r="AQ131" s="230">
        <v>8</v>
      </c>
      <c r="AR131" s="230">
        <v>34</v>
      </c>
      <c r="AS131" s="230"/>
      <c r="AT131" s="230"/>
      <c r="AU131" s="230"/>
      <c r="AV131" s="230"/>
      <c r="AW131" s="230">
        <f t="shared" si="200"/>
        <v>14</v>
      </c>
      <c r="AX131" s="137">
        <f t="shared" si="200"/>
        <v>28</v>
      </c>
      <c r="AY131" s="137">
        <f t="shared" si="200"/>
        <v>22</v>
      </c>
      <c r="AZ131" s="137">
        <f t="shared" si="200"/>
        <v>18</v>
      </c>
      <c r="BA131" s="137">
        <f t="shared" si="200"/>
        <v>5</v>
      </c>
      <c r="BB131" s="137">
        <f t="shared" si="200"/>
        <v>5</v>
      </c>
      <c r="BC131" s="141">
        <f t="shared" si="200"/>
        <v>-36</v>
      </c>
      <c r="BD131" s="137">
        <f t="shared" si="200"/>
        <v>-5</v>
      </c>
      <c r="BE131" s="137">
        <f t="shared" si="200"/>
        <v>0</v>
      </c>
      <c r="BF131" s="230">
        <f t="shared" si="200"/>
        <v>0</v>
      </c>
      <c r="BG131" s="230">
        <f t="shared" si="201"/>
        <v>-1</v>
      </c>
      <c r="BH131" s="230">
        <f t="shared" si="201"/>
        <v>10</v>
      </c>
      <c r="BI131" s="230">
        <f t="shared" si="201"/>
        <v>3</v>
      </c>
      <c r="BJ131" s="230">
        <f t="shared" si="201"/>
        <v>0</v>
      </c>
      <c r="BK131" s="230">
        <f t="shared" si="201"/>
        <v>0</v>
      </c>
      <c r="BL131" s="230">
        <f t="shared" si="201"/>
        <v>0</v>
      </c>
      <c r="BM131" s="230">
        <f t="shared" si="201"/>
        <v>0</v>
      </c>
      <c r="BN131" s="230">
        <f t="shared" si="201"/>
        <v>-6</v>
      </c>
      <c r="BO131" s="230">
        <f t="shared" si="201"/>
        <v>25</v>
      </c>
      <c r="BP131" s="230">
        <f t="shared" si="201"/>
        <v>5</v>
      </c>
      <c r="BQ131" s="230">
        <f t="shared" si="202"/>
        <v>-6</v>
      </c>
      <c r="BR131" s="230">
        <f t="shared" si="202"/>
        <v>-1</v>
      </c>
    </row>
    <row r="132" spans="1:87" x14ac:dyDescent="0.25">
      <c r="A132" s="4"/>
      <c r="B132" s="35" t="s">
        <v>39</v>
      </c>
      <c r="C132" s="135"/>
      <c r="D132" s="136"/>
      <c r="E132" s="136"/>
      <c r="F132" s="136"/>
      <c r="G132" s="136"/>
      <c r="H132" s="137"/>
      <c r="I132" s="136"/>
      <c r="J132" s="137"/>
      <c r="K132" s="136"/>
      <c r="L132" s="230"/>
      <c r="M132" s="73">
        <v>0</v>
      </c>
      <c r="N132" s="73">
        <v>0</v>
      </c>
      <c r="O132" s="73">
        <v>0</v>
      </c>
      <c r="P132" s="73">
        <v>0</v>
      </c>
      <c r="Q132" s="73">
        <v>0</v>
      </c>
      <c r="R132" s="73">
        <v>0</v>
      </c>
      <c r="S132" s="73">
        <v>0</v>
      </c>
      <c r="T132" s="73">
        <v>0</v>
      </c>
      <c r="U132" s="74">
        <v>3</v>
      </c>
      <c r="V132" s="230">
        <v>0</v>
      </c>
      <c r="W132" s="230">
        <v>0</v>
      </c>
      <c r="X132" s="138">
        <v>0</v>
      </c>
      <c r="Y132" s="230">
        <v>2</v>
      </c>
      <c r="Z132" s="230">
        <v>0</v>
      </c>
      <c r="AA132" s="230">
        <v>1</v>
      </c>
      <c r="AB132" s="230">
        <v>0</v>
      </c>
      <c r="AC132" s="138">
        <v>0</v>
      </c>
      <c r="AD132" s="138">
        <v>0</v>
      </c>
      <c r="AE132" s="230">
        <v>0</v>
      </c>
      <c r="AF132" s="230">
        <v>0</v>
      </c>
      <c r="AG132" s="230">
        <v>4</v>
      </c>
      <c r="AH132" s="230">
        <v>1</v>
      </c>
      <c r="AI132" s="230">
        <v>0</v>
      </c>
      <c r="AJ132" s="877">
        <v>2</v>
      </c>
      <c r="AK132" s="230">
        <v>2</v>
      </c>
      <c r="AL132" s="230">
        <v>0</v>
      </c>
      <c r="AM132" s="230">
        <v>4</v>
      </c>
      <c r="AN132" s="230">
        <v>2</v>
      </c>
      <c r="AO132" s="230">
        <v>27</v>
      </c>
      <c r="AP132" s="230">
        <v>1</v>
      </c>
      <c r="AQ132" s="230">
        <v>0</v>
      </c>
      <c r="AR132" s="230">
        <v>21</v>
      </c>
      <c r="AS132" s="230"/>
      <c r="AT132" s="230"/>
      <c r="AU132" s="230"/>
      <c r="AV132" s="230"/>
      <c r="AW132" s="230">
        <f t="shared" si="200"/>
        <v>0</v>
      </c>
      <c r="AX132" s="137">
        <f t="shared" si="200"/>
        <v>0</v>
      </c>
      <c r="AY132" s="137">
        <f t="shared" si="200"/>
        <v>0</v>
      </c>
      <c r="AZ132" s="137">
        <f t="shared" si="200"/>
        <v>0</v>
      </c>
      <c r="BA132" s="137">
        <f t="shared" si="200"/>
        <v>0</v>
      </c>
      <c r="BB132" s="137">
        <f t="shared" si="200"/>
        <v>0</v>
      </c>
      <c r="BC132" s="141">
        <f t="shared" si="200"/>
        <v>-3</v>
      </c>
      <c r="BD132" s="137">
        <f t="shared" si="200"/>
        <v>0</v>
      </c>
      <c r="BE132" s="137">
        <f t="shared" si="200"/>
        <v>0</v>
      </c>
      <c r="BF132" s="230">
        <f t="shared" si="200"/>
        <v>0</v>
      </c>
      <c r="BG132" s="230">
        <f t="shared" si="201"/>
        <v>-2</v>
      </c>
      <c r="BH132" s="230">
        <f t="shared" si="201"/>
        <v>0</v>
      </c>
      <c r="BI132" s="230">
        <f t="shared" si="201"/>
        <v>-1</v>
      </c>
      <c r="BJ132" s="230">
        <f t="shared" si="201"/>
        <v>0</v>
      </c>
      <c r="BK132" s="230">
        <f t="shared" si="201"/>
        <v>0</v>
      </c>
      <c r="BL132" s="230">
        <f t="shared" si="201"/>
        <v>0</v>
      </c>
      <c r="BM132" s="230">
        <f t="shared" si="201"/>
        <v>0</v>
      </c>
      <c r="BN132" s="230">
        <f t="shared" si="201"/>
        <v>0</v>
      </c>
      <c r="BO132" s="230">
        <f t="shared" si="201"/>
        <v>-1</v>
      </c>
      <c r="BP132" s="230">
        <f t="shared" si="201"/>
        <v>-1</v>
      </c>
      <c r="BQ132" s="230">
        <f t="shared" si="202"/>
        <v>0</v>
      </c>
      <c r="BR132" s="230">
        <f t="shared" si="202"/>
        <v>-2</v>
      </c>
    </row>
    <row r="133" spans="1:87" x14ac:dyDescent="0.25">
      <c r="A133" s="4"/>
      <c r="B133" s="35" t="s">
        <v>40</v>
      </c>
      <c r="C133" s="135"/>
      <c r="D133" s="136"/>
      <c r="E133" s="136"/>
      <c r="F133" s="136"/>
      <c r="G133" s="136"/>
      <c r="H133" s="137"/>
      <c r="I133" s="136"/>
      <c r="J133" s="137"/>
      <c r="K133" s="136"/>
      <c r="L133" s="230"/>
      <c r="M133" s="73">
        <v>0</v>
      </c>
      <c r="N133" s="73">
        <v>0</v>
      </c>
      <c r="O133" s="73">
        <v>0</v>
      </c>
      <c r="P133" s="73">
        <v>0</v>
      </c>
      <c r="Q133" s="73">
        <v>0</v>
      </c>
      <c r="R133" s="73">
        <v>0</v>
      </c>
      <c r="S133" s="73">
        <v>0</v>
      </c>
      <c r="T133" s="73">
        <v>0</v>
      </c>
      <c r="U133" s="74">
        <v>1</v>
      </c>
      <c r="V133" s="230">
        <v>0</v>
      </c>
      <c r="W133" s="230">
        <v>0</v>
      </c>
      <c r="X133" s="138">
        <v>0</v>
      </c>
      <c r="Y133" s="230">
        <v>0</v>
      </c>
      <c r="Z133" s="230">
        <v>0</v>
      </c>
      <c r="AA133" s="230">
        <v>0</v>
      </c>
      <c r="AB133" s="230">
        <v>0</v>
      </c>
      <c r="AC133" s="138">
        <v>0</v>
      </c>
      <c r="AD133" s="138">
        <v>0</v>
      </c>
      <c r="AE133" s="230">
        <v>0</v>
      </c>
      <c r="AF133" s="230">
        <v>0</v>
      </c>
      <c r="AG133" s="230">
        <v>0</v>
      </c>
      <c r="AH133" s="230">
        <v>0</v>
      </c>
      <c r="AI133" s="230">
        <v>0</v>
      </c>
      <c r="AJ133" s="877">
        <v>0</v>
      </c>
      <c r="AK133" s="230">
        <v>0</v>
      </c>
      <c r="AL133" s="230">
        <v>0</v>
      </c>
      <c r="AM133" s="230">
        <v>1</v>
      </c>
      <c r="AN133" s="230">
        <v>0</v>
      </c>
      <c r="AO133" s="230">
        <v>2</v>
      </c>
      <c r="AP133" s="230">
        <v>0</v>
      </c>
      <c r="AQ133" s="230">
        <v>0</v>
      </c>
      <c r="AR133" s="230">
        <v>0</v>
      </c>
      <c r="AS133" s="230"/>
      <c r="AT133" s="230"/>
      <c r="AU133" s="230"/>
      <c r="AV133" s="230"/>
      <c r="AW133" s="230">
        <f t="shared" si="200"/>
        <v>0</v>
      </c>
      <c r="AX133" s="137">
        <f t="shared" si="200"/>
        <v>0</v>
      </c>
      <c r="AY133" s="137">
        <f t="shared" si="200"/>
        <v>0</v>
      </c>
      <c r="AZ133" s="137">
        <f t="shared" si="200"/>
        <v>0</v>
      </c>
      <c r="BA133" s="137">
        <f t="shared" si="200"/>
        <v>0</v>
      </c>
      <c r="BB133" s="137">
        <f t="shared" si="200"/>
        <v>0</v>
      </c>
      <c r="BC133" s="141">
        <f t="shared" si="200"/>
        <v>-1</v>
      </c>
      <c r="BD133" s="137">
        <f t="shared" si="200"/>
        <v>0</v>
      </c>
      <c r="BE133" s="137">
        <f t="shared" si="200"/>
        <v>0</v>
      </c>
      <c r="BF133" s="230">
        <f t="shared" si="200"/>
        <v>0</v>
      </c>
      <c r="BG133" s="230">
        <f t="shared" si="201"/>
        <v>0</v>
      </c>
      <c r="BH133" s="230">
        <f t="shared" si="201"/>
        <v>0</v>
      </c>
      <c r="BI133" s="230">
        <f t="shared" si="201"/>
        <v>0</v>
      </c>
      <c r="BJ133" s="230">
        <f t="shared" si="201"/>
        <v>0</v>
      </c>
      <c r="BK133" s="230">
        <f t="shared" si="201"/>
        <v>0</v>
      </c>
      <c r="BL133" s="230">
        <f t="shared" si="201"/>
        <v>0</v>
      </c>
      <c r="BM133" s="230">
        <f t="shared" si="201"/>
        <v>0</v>
      </c>
      <c r="BN133" s="230">
        <f t="shared" si="201"/>
        <v>0</v>
      </c>
      <c r="BO133" s="230">
        <f t="shared" si="201"/>
        <v>1</v>
      </c>
      <c r="BP133" s="230">
        <f t="shared" si="201"/>
        <v>0</v>
      </c>
      <c r="BQ133" s="230">
        <f t="shared" si="202"/>
        <v>0</v>
      </c>
      <c r="BR133" s="230">
        <f t="shared" si="202"/>
        <v>0</v>
      </c>
    </row>
    <row r="134" spans="1:87" x14ac:dyDescent="0.25">
      <c r="A134" s="4"/>
      <c r="B134" s="35" t="s">
        <v>41</v>
      </c>
      <c r="C134" s="140">
        <f t="shared" ref="C134:AC134" si="203">SUM(C129:C133)</f>
        <v>40</v>
      </c>
      <c r="D134" s="137">
        <f t="shared" si="203"/>
        <v>612</v>
      </c>
      <c r="E134" s="137">
        <f t="shared" si="203"/>
        <v>763</v>
      </c>
      <c r="F134" s="137">
        <f t="shared" si="203"/>
        <v>413</v>
      </c>
      <c r="G134" s="137">
        <f t="shared" si="203"/>
        <v>235</v>
      </c>
      <c r="H134" s="137">
        <f t="shared" si="203"/>
        <v>472</v>
      </c>
      <c r="I134" s="137">
        <f t="shared" si="203"/>
        <v>331</v>
      </c>
      <c r="J134" s="137">
        <f t="shared" si="203"/>
        <v>256</v>
      </c>
      <c r="K134" s="137">
        <f t="shared" si="203"/>
        <v>61</v>
      </c>
      <c r="L134" s="230">
        <f t="shared" si="203"/>
        <v>8</v>
      </c>
      <c r="M134" s="73">
        <f t="shared" si="203"/>
        <v>7</v>
      </c>
      <c r="N134" s="73">
        <f t="shared" si="203"/>
        <v>14</v>
      </c>
      <c r="O134" s="73">
        <f t="shared" si="203"/>
        <v>6</v>
      </c>
      <c r="P134" s="73">
        <f t="shared" si="203"/>
        <v>0</v>
      </c>
      <c r="Q134" s="73">
        <f t="shared" si="203"/>
        <v>0</v>
      </c>
      <c r="R134" s="73">
        <f t="shared" si="203"/>
        <v>0</v>
      </c>
      <c r="S134" s="73">
        <f t="shared" si="203"/>
        <v>0</v>
      </c>
      <c r="T134" s="73">
        <f t="shared" si="203"/>
        <v>0</v>
      </c>
      <c r="U134" s="74">
        <f t="shared" si="203"/>
        <v>44</v>
      </c>
      <c r="V134" s="74">
        <f t="shared" si="203"/>
        <v>10</v>
      </c>
      <c r="W134" s="74">
        <f t="shared" si="203"/>
        <v>0</v>
      </c>
      <c r="X134" s="74">
        <f t="shared" si="203"/>
        <v>0</v>
      </c>
      <c r="Y134" s="74">
        <f t="shared" si="203"/>
        <v>6</v>
      </c>
      <c r="Z134" s="74">
        <f t="shared" si="203"/>
        <v>0</v>
      </c>
      <c r="AA134" s="74">
        <f t="shared" si="203"/>
        <v>3</v>
      </c>
      <c r="AB134" s="74">
        <f t="shared" si="203"/>
        <v>0</v>
      </c>
      <c r="AC134" s="74">
        <f t="shared" si="203"/>
        <v>0</v>
      </c>
      <c r="AD134" s="74">
        <f t="shared" ref="AD134:AI134" si="204">SUM(AD129:AD133)</f>
        <v>0</v>
      </c>
      <c r="AE134" s="74">
        <f t="shared" si="204"/>
        <v>0</v>
      </c>
      <c r="AF134" s="74">
        <f t="shared" si="204"/>
        <v>39</v>
      </c>
      <c r="AG134" s="74">
        <f t="shared" si="204"/>
        <v>724</v>
      </c>
      <c r="AH134" s="74">
        <f t="shared" si="204"/>
        <v>258</v>
      </c>
      <c r="AI134" s="74">
        <f t="shared" si="204"/>
        <v>32</v>
      </c>
      <c r="AJ134" s="409">
        <f t="shared" ref="AJ134:AN134" si="205">SUM(AJ129:AJ133)</f>
        <v>3</v>
      </c>
      <c r="AK134" s="864">
        <f t="shared" si="205"/>
        <v>8</v>
      </c>
      <c r="AL134" s="864">
        <f t="shared" si="205"/>
        <v>12</v>
      </c>
      <c r="AM134" s="864">
        <f t="shared" si="205"/>
        <v>17</v>
      </c>
      <c r="AN134" s="864">
        <f t="shared" si="205"/>
        <v>62</v>
      </c>
      <c r="AO134" s="230">
        <f>SUM(AO129:AO133)</f>
        <v>573</v>
      </c>
      <c r="AP134" s="230">
        <f>SUM(AP129:AP133)</f>
        <v>396</v>
      </c>
      <c r="AQ134" s="230">
        <f>SUM(AQ129:AQ133)</f>
        <v>449</v>
      </c>
      <c r="AR134" s="230">
        <f>SUM(AR129:AR133)</f>
        <v>403</v>
      </c>
      <c r="AS134" s="230"/>
      <c r="AT134" s="230"/>
      <c r="AU134" s="230"/>
      <c r="AV134" s="230"/>
      <c r="AW134" s="230">
        <f t="shared" ref="AW134:BF134" si="206">SUM(AW129:AW133)</f>
        <v>34</v>
      </c>
      <c r="AX134" s="137">
        <f t="shared" si="206"/>
        <v>612</v>
      </c>
      <c r="AY134" s="137">
        <f t="shared" si="206"/>
        <v>763</v>
      </c>
      <c r="AZ134" s="137">
        <f t="shared" si="206"/>
        <v>413</v>
      </c>
      <c r="BA134" s="137">
        <f t="shared" si="206"/>
        <v>235</v>
      </c>
      <c r="BB134" s="137">
        <f t="shared" si="206"/>
        <v>472</v>
      </c>
      <c r="BC134" s="141">
        <f t="shared" si="206"/>
        <v>287</v>
      </c>
      <c r="BD134" s="141">
        <f t="shared" si="206"/>
        <v>246</v>
      </c>
      <c r="BE134" s="141">
        <f t="shared" si="206"/>
        <v>61</v>
      </c>
      <c r="BF134" s="266">
        <f t="shared" si="206"/>
        <v>8</v>
      </c>
      <c r="BG134" s="230">
        <f t="shared" ref="BG134:BR134" si="207">M134-Y134</f>
        <v>1</v>
      </c>
      <c r="BH134" s="230">
        <f t="shared" si="207"/>
        <v>14</v>
      </c>
      <c r="BI134" s="230">
        <f t="shared" si="207"/>
        <v>3</v>
      </c>
      <c r="BJ134" s="230">
        <f t="shared" si="207"/>
        <v>0</v>
      </c>
      <c r="BK134" s="230">
        <f t="shared" si="207"/>
        <v>0</v>
      </c>
      <c r="BL134" s="230">
        <f t="shared" si="207"/>
        <v>0</v>
      </c>
      <c r="BM134" s="230">
        <f t="shared" si="207"/>
        <v>0</v>
      </c>
      <c r="BN134" s="230">
        <f t="shared" si="207"/>
        <v>-39</v>
      </c>
      <c r="BO134" s="230">
        <f t="shared" si="207"/>
        <v>-680</v>
      </c>
      <c r="BP134" s="230">
        <f t="shared" si="207"/>
        <v>-248</v>
      </c>
      <c r="BQ134" s="230">
        <f t="shared" si="207"/>
        <v>-32</v>
      </c>
      <c r="BR134" s="230">
        <f t="shared" si="207"/>
        <v>-3</v>
      </c>
    </row>
    <row r="135" spans="1:87" x14ac:dyDescent="0.25">
      <c r="A135" s="4">
        <f>+A128+1</f>
        <v>19</v>
      </c>
      <c r="B135" s="47" t="s">
        <v>24</v>
      </c>
      <c r="C135" s="142"/>
      <c r="D135" s="128"/>
      <c r="E135" s="128"/>
      <c r="F135" s="128"/>
      <c r="G135" s="128"/>
      <c r="H135" s="142"/>
      <c r="I135" s="128"/>
      <c r="J135" s="142"/>
      <c r="K135" s="128"/>
      <c r="L135" s="231"/>
      <c r="M135" s="212"/>
      <c r="N135" s="212"/>
      <c r="O135" s="212"/>
      <c r="P135" s="212"/>
      <c r="Q135" s="212"/>
      <c r="R135" s="212"/>
      <c r="S135" s="212"/>
      <c r="T135" s="212"/>
      <c r="U135" s="224"/>
      <c r="V135" s="231"/>
      <c r="W135" s="231"/>
      <c r="X135" s="143"/>
      <c r="Y135" s="231"/>
      <c r="Z135" s="231"/>
      <c r="AA135" s="231"/>
      <c r="AB135" s="231"/>
      <c r="AC135" s="143"/>
      <c r="AD135" s="143"/>
      <c r="AE135" s="231"/>
      <c r="AF135" s="231"/>
      <c r="AG135" s="231"/>
      <c r="AH135" s="231"/>
      <c r="AI135" s="231"/>
      <c r="AJ135" s="878"/>
      <c r="AK135" s="231"/>
      <c r="AL135" s="231"/>
      <c r="AM135" s="231"/>
      <c r="AN135" s="231"/>
      <c r="AO135" s="231"/>
      <c r="AP135" s="231"/>
      <c r="AQ135" s="231"/>
      <c r="AR135" s="231"/>
      <c r="AS135" s="231"/>
      <c r="AT135" s="231"/>
      <c r="AU135" s="231"/>
      <c r="AV135" s="231"/>
      <c r="AW135" s="142"/>
      <c r="AX135" s="142"/>
      <c r="AY135" s="128"/>
      <c r="AZ135" s="142"/>
      <c r="BA135" s="128"/>
      <c r="BB135" s="142"/>
      <c r="BC135" s="145"/>
      <c r="BD135" s="231"/>
      <c r="BE135" s="231"/>
      <c r="BF135" s="231"/>
      <c r="BG135" s="404"/>
      <c r="BH135" s="212"/>
      <c r="BI135" s="410"/>
      <c r="BJ135" s="410"/>
      <c r="BK135" s="410"/>
      <c r="BL135" s="410"/>
      <c r="BM135" s="410"/>
      <c r="BN135" s="410"/>
      <c r="BO135" s="410"/>
      <c r="BP135" s="410"/>
      <c r="BQ135" s="410"/>
      <c r="BR135" s="410"/>
    </row>
    <row r="136" spans="1:87" x14ac:dyDescent="0.25">
      <c r="A136" s="4"/>
      <c r="B136" s="35" t="s">
        <v>36</v>
      </c>
      <c r="C136" s="146">
        <v>534</v>
      </c>
      <c r="D136" s="147">
        <v>728</v>
      </c>
      <c r="E136" s="147">
        <v>827</v>
      </c>
      <c r="F136" s="147">
        <v>787</v>
      </c>
      <c r="G136" s="147">
        <v>598</v>
      </c>
      <c r="H136" s="148">
        <v>434</v>
      </c>
      <c r="I136" s="147">
        <v>270</v>
      </c>
      <c r="J136" s="148">
        <v>212</v>
      </c>
      <c r="K136" s="147">
        <v>194</v>
      </c>
      <c r="L136" s="232">
        <v>106</v>
      </c>
      <c r="M136" s="213">
        <v>166</v>
      </c>
      <c r="N136" s="213">
        <v>352</v>
      </c>
      <c r="O136" s="213">
        <v>338</v>
      </c>
      <c r="P136" s="213">
        <v>135</v>
      </c>
      <c r="Q136" s="213">
        <v>117</v>
      </c>
      <c r="R136" s="213">
        <v>154</v>
      </c>
      <c r="S136" s="213">
        <v>102</v>
      </c>
      <c r="T136" s="213">
        <v>101</v>
      </c>
      <c r="U136" s="148">
        <v>78</v>
      </c>
      <c r="V136" s="232">
        <v>202</v>
      </c>
      <c r="W136" s="224">
        <v>417</v>
      </c>
      <c r="X136" s="224">
        <v>196</v>
      </c>
      <c r="Y136" s="224">
        <v>126</v>
      </c>
      <c r="Z136" s="231">
        <v>134</v>
      </c>
      <c r="AA136" s="224">
        <v>164</v>
      </c>
      <c r="AB136" s="224">
        <v>175</v>
      </c>
      <c r="AC136" s="143">
        <v>245</v>
      </c>
      <c r="AD136" s="143">
        <v>505</v>
      </c>
      <c r="AE136" s="231">
        <v>306</v>
      </c>
      <c r="AF136" s="224">
        <v>263</v>
      </c>
      <c r="AG136" s="224">
        <v>393</v>
      </c>
      <c r="AH136" s="231">
        <v>339</v>
      </c>
      <c r="AI136" s="231">
        <v>254</v>
      </c>
      <c r="AJ136" s="878">
        <f>2+197</f>
        <v>199</v>
      </c>
      <c r="AK136" s="231">
        <v>256</v>
      </c>
      <c r="AL136" s="231">
        <v>280</v>
      </c>
      <c r="AM136" s="231">
        <v>340</v>
      </c>
      <c r="AN136" s="231"/>
      <c r="AO136" s="231">
        <v>343</v>
      </c>
      <c r="AP136" s="231">
        <v>477</v>
      </c>
      <c r="AQ136" s="231">
        <v>599</v>
      </c>
      <c r="AR136" s="231">
        <v>466</v>
      </c>
      <c r="AS136" s="231"/>
      <c r="AT136" s="231"/>
      <c r="AU136" s="231"/>
      <c r="AV136" s="231"/>
      <c r="AW136" s="232">
        <f t="shared" ref="AW136:BF140" si="208">C136-O136</f>
        <v>196</v>
      </c>
      <c r="AX136" s="148">
        <f t="shared" si="208"/>
        <v>593</v>
      </c>
      <c r="AY136" s="148">
        <f t="shared" si="208"/>
        <v>710</v>
      </c>
      <c r="AZ136" s="148">
        <f t="shared" si="208"/>
        <v>633</v>
      </c>
      <c r="BA136" s="148">
        <f t="shared" si="208"/>
        <v>496</v>
      </c>
      <c r="BB136" s="148">
        <f t="shared" si="208"/>
        <v>333</v>
      </c>
      <c r="BC136" s="150">
        <f t="shared" si="208"/>
        <v>192</v>
      </c>
      <c r="BD136" s="150">
        <f t="shared" si="208"/>
        <v>10</v>
      </c>
      <c r="BE136" s="150">
        <f t="shared" si="208"/>
        <v>-223</v>
      </c>
      <c r="BF136" s="268">
        <f t="shared" si="208"/>
        <v>-90</v>
      </c>
      <c r="BG136" s="268">
        <f t="shared" ref="BG136:BP140" si="209">M136-Y136</f>
        <v>40</v>
      </c>
      <c r="BH136" s="268">
        <f t="shared" si="209"/>
        <v>218</v>
      </c>
      <c r="BI136" s="268">
        <f t="shared" si="209"/>
        <v>174</v>
      </c>
      <c r="BJ136" s="268">
        <f t="shared" si="209"/>
        <v>-40</v>
      </c>
      <c r="BK136" s="268">
        <f t="shared" si="209"/>
        <v>-128</v>
      </c>
      <c r="BL136" s="268">
        <f t="shared" si="209"/>
        <v>-351</v>
      </c>
      <c r="BM136" s="268">
        <f t="shared" si="209"/>
        <v>-204</v>
      </c>
      <c r="BN136" s="268">
        <f t="shared" si="209"/>
        <v>-162</v>
      </c>
      <c r="BO136" s="268">
        <f t="shared" si="209"/>
        <v>-315</v>
      </c>
      <c r="BP136" s="268">
        <f t="shared" si="209"/>
        <v>-137</v>
      </c>
      <c r="BQ136" s="268">
        <f t="shared" ref="BQ136:BR141" si="210">W136-AI136</f>
        <v>163</v>
      </c>
      <c r="BR136" s="268">
        <f t="shared" si="210"/>
        <v>-3</v>
      </c>
    </row>
    <row r="137" spans="1:87" x14ac:dyDescent="0.25">
      <c r="A137" s="4"/>
      <c r="B137" s="35" t="s">
        <v>37</v>
      </c>
      <c r="C137" s="146">
        <v>108</v>
      </c>
      <c r="D137" s="147">
        <v>228</v>
      </c>
      <c r="E137" s="147">
        <v>352</v>
      </c>
      <c r="F137" s="147">
        <v>349</v>
      </c>
      <c r="G137" s="147">
        <v>301</v>
      </c>
      <c r="H137" s="148">
        <v>289</v>
      </c>
      <c r="I137" s="147">
        <v>261</v>
      </c>
      <c r="J137" s="148">
        <v>192</v>
      </c>
      <c r="K137" s="147">
        <v>161</v>
      </c>
      <c r="L137" s="232">
        <v>63</v>
      </c>
      <c r="M137" s="213">
        <v>29</v>
      </c>
      <c r="N137" s="213">
        <v>25</v>
      </c>
      <c r="O137" s="213">
        <v>26</v>
      </c>
      <c r="P137" s="213">
        <v>17</v>
      </c>
      <c r="Q137" s="213">
        <v>14</v>
      </c>
      <c r="R137" s="213">
        <v>8</v>
      </c>
      <c r="S137" s="213">
        <v>10</v>
      </c>
      <c r="T137" s="213">
        <v>11</v>
      </c>
      <c r="U137" s="148">
        <v>10</v>
      </c>
      <c r="V137" s="232">
        <v>16</v>
      </c>
      <c r="W137" s="224">
        <v>19</v>
      </c>
      <c r="X137" s="224">
        <v>16</v>
      </c>
      <c r="Y137" s="224">
        <v>20</v>
      </c>
      <c r="Z137" s="231">
        <v>13</v>
      </c>
      <c r="AA137" s="224">
        <v>21</v>
      </c>
      <c r="AB137" s="224">
        <v>34</v>
      </c>
      <c r="AC137" s="143">
        <v>0</v>
      </c>
      <c r="AD137" s="143">
        <v>0</v>
      </c>
      <c r="AE137" s="231">
        <v>50</v>
      </c>
      <c r="AF137" s="224">
        <v>47</v>
      </c>
      <c r="AG137" s="224">
        <v>69</v>
      </c>
      <c r="AH137" s="231">
        <v>67</v>
      </c>
      <c r="AI137" s="231">
        <v>43</v>
      </c>
      <c r="AJ137" s="878">
        <f>2+31</f>
        <v>33</v>
      </c>
      <c r="AK137" s="231">
        <v>31</v>
      </c>
      <c r="AL137" s="231">
        <v>29</v>
      </c>
      <c r="AM137" s="231">
        <v>46</v>
      </c>
      <c r="AN137" s="231"/>
      <c r="AO137" s="231">
        <v>76</v>
      </c>
      <c r="AP137" s="231">
        <v>105</v>
      </c>
      <c r="AQ137" s="231">
        <v>126</v>
      </c>
      <c r="AR137" s="231">
        <v>86</v>
      </c>
      <c r="AS137" s="231"/>
      <c r="AT137" s="231"/>
      <c r="AU137" s="231"/>
      <c r="AV137" s="231"/>
      <c r="AW137" s="232">
        <f t="shared" si="208"/>
        <v>82</v>
      </c>
      <c r="AX137" s="148">
        <f t="shared" si="208"/>
        <v>211</v>
      </c>
      <c r="AY137" s="148">
        <f t="shared" si="208"/>
        <v>338</v>
      </c>
      <c r="AZ137" s="148">
        <f t="shared" si="208"/>
        <v>341</v>
      </c>
      <c r="BA137" s="148">
        <f t="shared" si="208"/>
        <v>291</v>
      </c>
      <c r="BB137" s="148">
        <f t="shared" si="208"/>
        <v>278</v>
      </c>
      <c r="BC137" s="150">
        <f t="shared" si="208"/>
        <v>251</v>
      </c>
      <c r="BD137" s="150">
        <f t="shared" si="208"/>
        <v>176</v>
      </c>
      <c r="BE137" s="150">
        <f t="shared" si="208"/>
        <v>142</v>
      </c>
      <c r="BF137" s="268">
        <f t="shared" si="208"/>
        <v>47</v>
      </c>
      <c r="BG137" s="268">
        <f t="shared" si="209"/>
        <v>9</v>
      </c>
      <c r="BH137" s="268">
        <f t="shared" si="209"/>
        <v>12</v>
      </c>
      <c r="BI137" s="268">
        <f t="shared" si="209"/>
        <v>5</v>
      </c>
      <c r="BJ137" s="268">
        <f t="shared" si="209"/>
        <v>-17</v>
      </c>
      <c r="BK137" s="268">
        <f t="shared" si="209"/>
        <v>14</v>
      </c>
      <c r="BL137" s="268">
        <f t="shared" si="209"/>
        <v>8</v>
      </c>
      <c r="BM137" s="268">
        <f t="shared" si="209"/>
        <v>-40</v>
      </c>
      <c r="BN137" s="268">
        <f t="shared" si="209"/>
        <v>-36</v>
      </c>
      <c r="BO137" s="268">
        <f t="shared" si="209"/>
        <v>-59</v>
      </c>
      <c r="BP137" s="268">
        <f t="shared" si="209"/>
        <v>-51</v>
      </c>
      <c r="BQ137" s="268">
        <f t="shared" si="210"/>
        <v>-24</v>
      </c>
      <c r="BR137" s="268">
        <f t="shared" si="210"/>
        <v>-17</v>
      </c>
    </row>
    <row r="138" spans="1:87" x14ac:dyDescent="0.25">
      <c r="A138" s="4"/>
      <c r="B138" s="35" t="s">
        <v>38</v>
      </c>
      <c r="C138" s="146">
        <v>2</v>
      </c>
      <c r="D138" s="147">
        <v>2</v>
      </c>
      <c r="E138" s="147">
        <v>1</v>
      </c>
      <c r="F138" s="147">
        <v>0</v>
      </c>
      <c r="G138" s="147">
        <v>0</v>
      </c>
      <c r="H138" s="148">
        <v>0</v>
      </c>
      <c r="I138" s="147">
        <v>0</v>
      </c>
      <c r="J138" s="148">
        <v>0</v>
      </c>
      <c r="K138" s="147">
        <v>0</v>
      </c>
      <c r="L138" s="232">
        <v>0</v>
      </c>
      <c r="M138" s="213">
        <v>0</v>
      </c>
      <c r="N138" s="213">
        <v>0</v>
      </c>
      <c r="O138" s="213">
        <v>1</v>
      </c>
      <c r="P138" s="213">
        <v>2</v>
      </c>
      <c r="Q138" s="213">
        <v>3</v>
      </c>
      <c r="R138" s="213">
        <v>2</v>
      </c>
      <c r="S138" s="213">
        <v>2</v>
      </c>
      <c r="T138" s="213">
        <v>5</v>
      </c>
      <c r="U138" s="148">
        <v>10</v>
      </c>
      <c r="V138" s="232">
        <v>14</v>
      </c>
      <c r="W138" s="224">
        <v>11</v>
      </c>
      <c r="X138" s="224">
        <v>5</v>
      </c>
      <c r="Y138" s="231">
        <v>6</v>
      </c>
      <c r="Z138" s="231">
        <v>12</v>
      </c>
      <c r="AA138" s="224">
        <v>13</v>
      </c>
      <c r="AB138" s="224">
        <v>9</v>
      </c>
      <c r="AC138" s="143">
        <v>0</v>
      </c>
      <c r="AD138" s="143">
        <v>0</v>
      </c>
      <c r="AE138" s="231">
        <v>3</v>
      </c>
      <c r="AF138" s="224">
        <v>3</v>
      </c>
      <c r="AG138" s="224">
        <v>4</v>
      </c>
      <c r="AH138" s="231">
        <v>2</v>
      </c>
      <c r="AI138" s="231">
        <v>2</v>
      </c>
      <c r="AJ138" s="878">
        <f>1</f>
        <v>1</v>
      </c>
      <c r="AK138" s="231">
        <v>6</v>
      </c>
      <c r="AL138" s="231">
        <v>7</v>
      </c>
      <c r="AM138" s="231">
        <v>10</v>
      </c>
      <c r="AN138" s="231"/>
      <c r="AO138" s="231">
        <v>9</v>
      </c>
      <c r="AP138" s="231">
        <v>8</v>
      </c>
      <c r="AQ138" s="231">
        <v>8</v>
      </c>
      <c r="AR138" s="231">
        <v>5</v>
      </c>
      <c r="AS138" s="231"/>
      <c r="AT138" s="231"/>
      <c r="AU138" s="231"/>
      <c r="AV138" s="231"/>
      <c r="AW138" s="232">
        <f t="shared" si="208"/>
        <v>1</v>
      </c>
      <c r="AX138" s="148">
        <f t="shared" si="208"/>
        <v>0</v>
      </c>
      <c r="AY138" s="148">
        <f t="shared" si="208"/>
        <v>-2</v>
      </c>
      <c r="AZ138" s="148">
        <f t="shared" si="208"/>
        <v>-2</v>
      </c>
      <c r="BA138" s="148">
        <f t="shared" si="208"/>
        <v>-2</v>
      </c>
      <c r="BB138" s="148">
        <f t="shared" si="208"/>
        <v>-5</v>
      </c>
      <c r="BC138" s="150">
        <f t="shared" si="208"/>
        <v>-10</v>
      </c>
      <c r="BD138" s="150">
        <f t="shared" si="208"/>
        <v>-14</v>
      </c>
      <c r="BE138" s="150">
        <f t="shared" si="208"/>
        <v>-11</v>
      </c>
      <c r="BF138" s="268">
        <f t="shared" si="208"/>
        <v>-5</v>
      </c>
      <c r="BG138" s="268">
        <f t="shared" si="209"/>
        <v>-6</v>
      </c>
      <c r="BH138" s="268">
        <f t="shared" si="209"/>
        <v>-12</v>
      </c>
      <c r="BI138" s="268">
        <f t="shared" si="209"/>
        <v>-12</v>
      </c>
      <c r="BJ138" s="268">
        <f t="shared" si="209"/>
        <v>-7</v>
      </c>
      <c r="BK138" s="268">
        <f t="shared" si="209"/>
        <v>3</v>
      </c>
      <c r="BL138" s="268">
        <f t="shared" si="209"/>
        <v>2</v>
      </c>
      <c r="BM138" s="268">
        <f t="shared" si="209"/>
        <v>-1</v>
      </c>
      <c r="BN138" s="268">
        <f t="shared" si="209"/>
        <v>2</v>
      </c>
      <c r="BO138" s="268">
        <f t="shared" si="209"/>
        <v>6</v>
      </c>
      <c r="BP138" s="268">
        <f t="shared" si="209"/>
        <v>12</v>
      </c>
      <c r="BQ138" s="268">
        <f t="shared" si="210"/>
        <v>9</v>
      </c>
      <c r="BR138" s="268">
        <f t="shared" si="210"/>
        <v>4</v>
      </c>
    </row>
    <row r="139" spans="1:87" x14ac:dyDescent="0.25">
      <c r="A139" s="4"/>
      <c r="B139" s="35" t="s">
        <v>39</v>
      </c>
      <c r="C139" s="146">
        <v>0</v>
      </c>
      <c r="D139" s="147">
        <v>0</v>
      </c>
      <c r="E139" s="147">
        <v>0</v>
      </c>
      <c r="F139" s="147">
        <v>0</v>
      </c>
      <c r="G139" s="147">
        <v>0</v>
      </c>
      <c r="H139" s="148">
        <v>0</v>
      </c>
      <c r="I139" s="147">
        <v>0</v>
      </c>
      <c r="J139" s="148">
        <v>0</v>
      </c>
      <c r="K139" s="147">
        <v>0</v>
      </c>
      <c r="L139" s="232">
        <v>0</v>
      </c>
      <c r="M139" s="237">
        <v>0</v>
      </c>
      <c r="N139" s="237">
        <v>0</v>
      </c>
      <c r="O139" s="237">
        <v>0</v>
      </c>
      <c r="P139" s="237">
        <v>0</v>
      </c>
      <c r="Q139" s="213">
        <v>0</v>
      </c>
      <c r="R139" s="213">
        <v>0</v>
      </c>
      <c r="S139" s="213">
        <v>0</v>
      </c>
      <c r="T139" s="213">
        <v>0</v>
      </c>
      <c r="U139" s="148">
        <v>2</v>
      </c>
      <c r="V139" s="232">
        <v>3</v>
      </c>
      <c r="W139" s="224">
        <v>4</v>
      </c>
      <c r="X139" s="224">
        <v>2</v>
      </c>
      <c r="Y139" s="231">
        <v>3</v>
      </c>
      <c r="Z139" s="231">
        <v>0</v>
      </c>
      <c r="AA139" s="224">
        <v>2</v>
      </c>
      <c r="AB139" s="224">
        <v>2</v>
      </c>
      <c r="AC139" s="143">
        <v>0</v>
      </c>
      <c r="AD139" s="143">
        <v>0</v>
      </c>
      <c r="AE139" s="231">
        <v>0</v>
      </c>
      <c r="AF139" s="231">
        <v>0</v>
      </c>
      <c r="AG139" s="231">
        <v>1</v>
      </c>
      <c r="AH139" s="231">
        <v>0</v>
      </c>
      <c r="AI139" s="231">
        <v>0</v>
      </c>
      <c r="AJ139" s="878">
        <v>0</v>
      </c>
      <c r="AK139" s="231">
        <v>0</v>
      </c>
      <c r="AL139" s="231">
        <v>0</v>
      </c>
      <c r="AM139" s="231">
        <v>1</v>
      </c>
      <c r="AN139" s="231"/>
      <c r="AO139" s="231">
        <v>2</v>
      </c>
      <c r="AP139" s="231">
        <v>2</v>
      </c>
      <c r="AQ139" s="231">
        <v>4</v>
      </c>
      <c r="AR139" s="231">
        <v>4</v>
      </c>
      <c r="AS139" s="231"/>
      <c r="AT139" s="231"/>
      <c r="AU139" s="231"/>
      <c r="AV139" s="231"/>
      <c r="AW139" s="232">
        <f t="shared" si="208"/>
        <v>0</v>
      </c>
      <c r="AX139" s="148">
        <f t="shared" si="208"/>
        <v>0</v>
      </c>
      <c r="AY139" s="148">
        <f t="shared" si="208"/>
        <v>0</v>
      </c>
      <c r="AZ139" s="148">
        <f t="shared" si="208"/>
        <v>0</v>
      </c>
      <c r="BA139" s="148">
        <f t="shared" si="208"/>
        <v>0</v>
      </c>
      <c r="BB139" s="148">
        <f t="shared" si="208"/>
        <v>0</v>
      </c>
      <c r="BC139" s="150">
        <f t="shared" si="208"/>
        <v>-2</v>
      </c>
      <c r="BD139" s="150">
        <f t="shared" si="208"/>
        <v>-3</v>
      </c>
      <c r="BE139" s="150">
        <f t="shared" si="208"/>
        <v>-4</v>
      </c>
      <c r="BF139" s="268">
        <f t="shared" si="208"/>
        <v>-2</v>
      </c>
      <c r="BG139" s="268">
        <f t="shared" si="209"/>
        <v>-3</v>
      </c>
      <c r="BH139" s="268">
        <f t="shared" si="209"/>
        <v>0</v>
      </c>
      <c r="BI139" s="268">
        <f t="shared" si="209"/>
        <v>-2</v>
      </c>
      <c r="BJ139" s="268">
        <f t="shared" si="209"/>
        <v>-2</v>
      </c>
      <c r="BK139" s="268">
        <f t="shared" si="209"/>
        <v>0</v>
      </c>
      <c r="BL139" s="268">
        <f t="shared" si="209"/>
        <v>0</v>
      </c>
      <c r="BM139" s="268">
        <f t="shared" si="209"/>
        <v>0</v>
      </c>
      <c r="BN139" s="268">
        <f t="shared" si="209"/>
        <v>0</v>
      </c>
      <c r="BO139" s="268">
        <f t="shared" si="209"/>
        <v>1</v>
      </c>
      <c r="BP139" s="268">
        <f t="shared" si="209"/>
        <v>3</v>
      </c>
      <c r="BQ139" s="268">
        <f t="shared" si="210"/>
        <v>4</v>
      </c>
      <c r="BR139" s="268">
        <f t="shared" si="210"/>
        <v>2</v>
      </c>
    </row>
    <row r="140" spans="1:87" x14ac:dyDescent="0.25">
      <c r="A140" s="4"/>
      <c r="B140" s="35" t="s">
        <v>40</v>
      </c>
      <c r="C140" s="146">
        <v>0</v>
      </c>
      <c r="D140" s="147">
        <v>0</v>
      </c>
      <c r="E140" s="147">
        <v>0</v>
      </c>
      <c r="F140" s="147">
        <v>0</v>
      </c>
      <c r="G140" s="147">
        <v>0</v>
      </c>
      <c r="H140" s="148">
        <v>0</v>
      </c>
      <c r="I140" s="147">
        <v>0</v>
      </c>
      <c r="J140" s="148">
        <v>0</v>
      </c>
      <c r="K140" s="147">
        <v>0</v>
      </c>
      <c r="L140" s="232">
        <v>0</v>
      </c>
      <c r="M140" s="235">
        <v>0</v>
      </c>
      <c r="N140" s="236">
        <v>0</v>
      </c>
      <c r="O140" s="236">
        <v>0</v>
      </c>
      <c r="P140" s="236">
        <v>0</v>
      </c>
      <c r="Q140" s="237">
        <v>0</v>
      </c>
      <c r="R140" s="237">
        <v>0</v>
      </c>
      <c r="S140" s="237">
        <v>0</v>
      </c>
      <c r="T140" s="237">
        <v>0</v>
      </c>
      <c r="U140" s="148">
        <v>0</v>
      </c>
      <c r="V140" s="232">
        <v>0</v>
      </c>
      <c r="W140" s="232">
        <v>0</v>
      </c>
      <c r="X140" s="394">
        <v>0</v>
      </c>
      <c r="Y140" s="232">
        <v>0</v>
      </c>
      <c r="Z140" s="232">
        <v>0</v>
      </c>
      <c r="AA140" s="232">
        <v>0</v>
      </c>
      <c r="AB140" s="224">
        <v>0</v>
      </c>
      <c r="AC140" s="394">
        <v>0</v>
      </c>
      <c r="AD140" s="394">
        <v>0</v>
      </c>
      <c r="AE140" s="232">
        <v>0</v>
      </c>
      <c r="AF140" s="232">
        <v>0</v>
      </c>
      <c r="AG140" s="232">
        <v>0</v>
      </c>
      <c r="AH140" s="232">
        <v>0</v>
      </c>
      <c r="AI140" s="232">
        <v>0</v>
      </c>
      <c r="AJ140" s="448">
        <v>0</v>
      </c>
      <c r="AK140" s="232">
        <v>0</v>
      </c>
      <c r="AL140" s="232">
        <v>0</v>
      </c>
      <c r="AM140" s="232">
        <v>0</v>
      </c>
      <c r="AN140" s="232"/>
      <c r="AO140" s="232">
        <v>0</v>
      </c>
      <c r="AP140" s="232">
        <v>0</v>
      </c>
      <c r="AQ140" s="232">
        <v>0</v>
      </c>
      <c r="AR140" s="232">
        <v>0</v>
      </c>
      <c r="AS140" s="232"/>
      <c r="AT140" s="232"/>
      <c r="AU140" s="232"/>
      <c r="AV140" s="232"/>
      <c r="AW140" s="232">
        <f t="shared" si="208"/>
        <v>0</v>
      </c>
      <c r="AX140" s="148">
        <f t="shared" si="208"/>
        <v>0</v>
      </c>
      <c r="AY140" s="148">
        <f t="shared" si="208"/>
        <v>0</v>
      </c>
      <c r="AZ140" s="148">
        <f t="shared" si="208"/>
        <v>0</v>
      </c>
      <c r="BA140" s="148">
        <f t="shared" si="208"/>
        <v>0</v>
      </c>
      <c r="BB140" s="148">
        <f t="shared" si="208"/>
        <v>0</v>
      </c>
      <c r="BC140" s="150">
        <f t="shared" si="208"/>
        <v>0</v>
      </c>
      <c r="BD140" s="150">
        <f t="shared" si="208"/>
        <v>0</v>
      </c>
      <c r="BE140" s="150">
        <f t="shared" si="208"/>
        <v>0</v>
      </c>
      <c r="BF140" s="268">
        <f t="shared" si="208"/>
        <v>0</v>
      </c>
      <c r="BG140" s="268">
        <f t="shared" si="209"/>
        <v>0</v>
      </c>
      <c r="BH140" s="268">
        <f t="shared" si="209"/>
        <v>0</v>
      </c>
      <c r="BI140" s="268">
        <f t="shared" si="209"/>
        <v>0</v>
      </c>
      <c r="BJ140" s="268">
        <f t="shared" si="209"/>
        <v>0</v>
      </c>
      <c r="BK140" s="268">
        <f t="shared" si="209"/>
        <v>0</v>
      </c>
      <c r="BL140" s="268">
        <f t="shared" si="209"/>
        <v>0</v>
      </c>
      <c r="BM140" s="268">
        <f t="shared" si="209"/>
        <v>0</v>
      </c>
      <c r="BN140" s="268">
        <f t="shared" si="209"/>
        <v>0</v>
      </c>
      <c r="BO140" s="268">
        <f t="shared" si="209"/>
        <v>0</v>
      </c>
      <c r="BP140" s="268">
        <f t="shared" si="209"/>
        <v>0</v>
      </c>
      <c r="BQ140" s="268">
        <f t="shared" si="210"/>
        <v>0</v>
      </c>
      <c r="BR140" s="268">
        <f t="shared" si="210"/>
        <v>0</v>
      </c>
    </row>
    <row r="141" spans="1:87" ht="15.75" thickBot="1" x14ac:dyDescent="0.3">
      <c r="A141" s="4"/>
      <c r="B141" s="36" t="s">
        <v>41</v>
      </c>
      <c r="C141" s="151">
        <f t="shared" ref="C141:AC141" si="211">SUM(C136:C140)</f>
        <v>644</v>
      </c>
      <c r="D141" s="152">
        <f t="shared" si="211"/>
        <v>958</v>
      </c>
      <c r="E141" s="152">
        <f t="shared" si="211"/>
        <v>1180</v>
      </c>
      <c r="F141" s="152">
        <f t="shared" si="211"/>
        <v>1136</v>
      </c>
      <c r="G141" s="152">
        <f t="shared" si="211"/>
        <v>899</v>
      </c>
      <c r="H141" s="152">
        <f t="shared" si="211"/>
        <v>723</v>
      </c>
      <c r="I141" s="152">
        <f t="shared" si="211"/>
        <v>531</v>
      </c>
      <c r="J141" s="152">
        <f t="shared" si="211"/>
        <v>404</v>
      </c>
      <c r="K141" s="152">
        <f t="shared" si="211"/>
        <v>355</v>
      </c>
      <c r="L141" s="197">
        <f t="shared" si="211"/>
        <v>169</v>
      </c>
      <c r="M141" s="152">
        <f t="shared" si="211"/>
        <v>195</v>
      </c>
      <c r="N141" s="201">
        <f t="shared" si="211"/>
        <v>377</v>
      </c>
      <c r="O141" s="152">
        <f t="shared" si="211"/>
        <v>365</v>
      </c>
      <c r="P141" s="152">
        <f t="shared" si="211"/>
        <v>154</v>
      </c>
      <c r="Q141" s="152">
        <f t="shared" si="211"/>
        <v>134</v>
      </c>
      <c r="R141" s="152">
        <f t="shared" si="211"/>
        <v>164</v>
      </c>
      <c r="S141" s="152">
        <f t="shared" si="211"/>
        <v>114</v>
      </c>
      <c r="T141" s="152">
        <f t="shared" si="211"/>
        <v>117</v>
      </c>
      <c r="U141" s="153">
        <f t="shared" si="211"/>
        <v>100</v>
      </c>
      <c r="V141" s="153">
        <f t="shared" si="211"/>
        <v>235</v>
      </c>
      <c r="W141" s="153">
        <f t="shared" si="211"/>
        <v>451</v>
      </c>
      <c r="X141" s="153">
        <f t="shared" si="211"/>
        <v>219</v>
      </c>
      <c r="Y141" s="153">
        <f t="shared" si="211"/>
        <v>155</v>
      </c>
      <c r="Z141" s="153">
        <f t="shared" si="211"/>
        <v>159</v>
      </c>
      <c r="AA141" s="153">
        <f t="shared" si="211"/>
        <v>200</v>
      </c>
      <c r="AB141" s="153">
        <f t="shared" si="211"/>
        <v>220</v>
      </c>
      <c r="AC141" s="153">
        <f t="shared" si="211"/>
        <v>245</v>
      </c>
      <c r="AD141" s="153">
        <f t="shared" ref="AD141:AI141" si="212">SUM(AD136:AD140)</f>
        <v>505</v>
      </c>
      <c r="AE141" s="153">
        <f t="shared" si="212"/>
        <v>359</v>
      </c>
      <c r="AF141" s="153">
        <f t="shared" si="212"/>
        <v>313</v>
      </c>
      <c r="AG141" s="153">
        <f t="shared" si="212"/>
        <v>467</v>
      </c>
      <c r="AH141" s="153">
        <f t="shared" si="212"/>
        <v>408</v>
      </c>
      <c r="AI141" s="153">
        <f t="shared" si="212"/>
        <v>299</v>
      </c>
      <c r="AJ141" s="879">
        <f t="shared" ref="AJ141:AM141" si="213">SUM(AJ136:AJ140)</f>
        <v>233</v>
      </c>
      <c r="AK141" s="197">
        <f t="shared" si="213"/>
        <v>293</v>
      </c>
      <c r="AL141" s="197">
        <f t="shared" si="213"/>
        <v>316</v>
      </c>
      <c r="AM141" s="197">
        <f t="shared" si="213"/>
        <v>397</v>
      </c>
      <c r="AN141" s="271"/>
      <c r="AO141" s="271">
        <f>SUM(AO136:AO140)</f>
        <v>430</v>
      </c>
      <c r="AP141" s="271">
        <f>SUM(AP136:AP140)</f>
        <v>592</v>
      </c>
      <c r="AQ141" s="271">
        <f>SUM(AQ136:AQ140)</f>
        <v>737</v>
      </c>
      <c r="AR141" s="271"/>
      <c r="AS141" s="271"/>
      <c r="AT141" s="271"/>
      <c r="AU141" s="271"/>
      <c r="AV141" s="271"/>
      <c r="AW141" s="152">
        <f t="shared" ref="AW141:BF141" si="214">SUM(AW136:AW140)</f>
        <v>279</v>
      </c>
      <c r="AX141" s="152">
        <f t="shared" si="214"/>
        <v>804</v>
      </c>
      <c r="AY141" s="152">
        <f t="shared" si="214"/>
        <v>1046</v>
      </c>
      <c r="AZ141" s="152">
        <f t="shared" si="214"/>
        <v>972</v>
      </c>
      <c r="BA141" s="152">
        <f t="shared" si="214"/>
        <v>785</v>
      </c>
      <c r="BB141" s="152">
        <f t="shared" si="214"/>
        <v>606</v>
      </c>
      <c r="BC141" s="153">
        <f t="shared" si="214"/>
        <v>431</v>
      </c>
      <c r="BD141" s="153">
        <f t="shared" si="214"/>
        <v>169</v>
      </c>
      <c r="BE141" s="153">
        <f t="shared" si="214"/>
        <v>-96</v>
      </c>
      <c r="BF141" s="401">
        <f t="shared" si="214"/>
        <v>-50</v>
      </c>
      <c r="BG141" s="268">
        <f t="shared" ref="BG141:BP141" si="215">M141-Y141</f>
        <v>40</v>
      </c>
      <c r="BH141" s="268">
        <f t="shared" si="215"/>
        <v>218</v>
      </c>
      <c r="BI141" s="268">
        <f t="shared" si="215"/>
        <v>165</v>
      </c>
      <c r="BJ141" s="268">
        <f t="shared" si="215"/>
        <v>-66</v>
      </c>
      <c r="BK141" s="268">
        <f t="shared" si="215"/>
        <v>-111</v>
      </c>
      <c r="BL141" s="268">
        <f t="shared" si="215"/>
        <v>-341</v>
      </c>
      <c r="BM141" s="268">
        <f t="shared" si="215"/>
        <v>-245</v>
      </c>
      <c r="BN141" s="268">
        <f t="shared" si="215"/>
        <v>-196</v>
      </c>
      <c r="BO141" s="268">
        <f t="shared" si="215"/>
        <v>-367</v>
      </c>
      <c r="BP141" s="268">
        <f t="shared" si="215"/>
        <v>-173</v>
      </c>
      <c r="BQ141" s="268">
        <f t="shared" si="210"/>
        <v>152</v>
      </c>
      <c r="BR141" s="268">
        <f t="shared" si="210"/>
        <v>-14</v>
      </c>
    </row>
    <row r="142" spans="1:87" ht="15.75" thickTop="1" x14ac:dyDescent="0.25">
      <c r="A142" s="4"/>
    </row>
    <row r="143" spans="1:87" x14ac:dyDescent="0.25">
      <c r="B143" s="1" t="s">
        <v>27</v>
      </c>
    </row>
    <row r="144" spans="1:87" ht="191.25" customHeight="1" x14ac:dyDescent="0.25">
      <c r="B144" s="240" t="s">
        <v>51</v>
      </c>
      <c r="C144" s="902" t="s">
        <v>53</v>
      </c>
      <c r="D144" s="902"/>
      <c r="E144" s="902"/>
      <c r="F144" s="902"/>
      <c r="G144" s="902"/>
      <c r="H144" s="902"/>
      <c r="I144" s="902"/>
      <c r="J144" s="902"/>
      <c r="K144" s="902"/>
      <c r="L144" s="902"/>
      <c r="N144" s="890" t="s">
        <v>52</v>
      </c>
      <c r="O144" s="890"/>
      <c r="P144" s="890"/>
      <c r="Q144" s="890"/>
      <c r="R144" s="890"/>
      <c r="S144" s="243"/>
      <c r="T144" s="751" t="s">
        <v>54</v>
      </c>
      <c r="U144" s="751"/>
      <c r="V144" s="751"/>
      <c r="W144" s="751"/>
      <c r="X144" s="751"/>
      <c r="Y144" s="751"/>
      <c r="Z144" s="751"/>
      <c r="AA144" s="751"/>
      <c r="AB144" s="751"/>
      <c r="AC144" s="751"/>
      <c r="AD144" s="751"/>
      <c r="AE144" s="751"/>
      <c r="AF144" s="751"/>
      <c r="AG144" s="751"/>
      <c r="AH144" s="754"/>
      <c r="AI144" s="762"/>
      <c r="AJ144" s="763"/>
      <c r="AK144" s="808"/>
      <c r="AL144" s="808"/>
      <c r="AM144" s="809"/>
      <c r="AN144" s="809"/>
      <c r="AO144" s="809"/>
      <c r="AP144" s="809"/>
      <c r="AQ144" s="809"/>
      <c r="AR144" s="809"/>
      <c r="AS144" s="809"/>
      <c r="AT144" s="809"/>
      <c r="AU144" s="809"/>
      <c r="AV144" s="809"/>
      <c r="AW144" s="751"/>
      <c r="AX144" s="751"/>
      <c r="AY144" s="751"/>
      <c r="AZ144" s="751"/>
      <c r="BB144" s="894" t="s">
        <v>55</v>
      </c>
      <c r="BC144" s="894"/>
      <c r="BD144" s="894"/>
      <c r="BE144" s="894"/>
      <c r="BF144" s="894"/>
      <c r="BG144" s="894"/>
      <c r="BH144" s="894"/>
      <c r="BI144" s="894"/>
      <c r="BJ144" s="894"/>
      <c r="BK144" s="894"/>
      <c r="BM144" s="894" t="s">
        <v>56</v>
      </c>
      <c r="BN144" s="894"/>
      <c r="BO144" s="894"/>
      <c r="BP144" s="894"/>
      <c r="BQ144" s="894"/>
      <c r="BR144" s="894"/>
      <c r="BT144" s="894" t="s">
        <v>58</v>
      </c>
      <c r="BU144" s="894"/>
      <c r="BV144" s="894"/>
      <c r="BW144" s="894"/>
      <c r="BX144" s="894"/>
      <c r="BZ144" s="893" t="s">
        <v>59</v>
      </c>
      <c r="CA144" s="893"/>
      <c r="CB144" s="893"/>
      <c r="CC144" s="893"/>
      <c r="CD144" s="893"/>
      <c r="CE144" s="890" t="s">
        <v>60</v>
      </c>
      <c r="CF144" s="890"/>
      <c r="CG144" s="890"/>
      <c r="CH144" s="890"/>
      <c r="CI144" s="890"/>
    </row>
    <row r="147" spans="2:48" x14ac:dyDescent="0.25">
      <c r="B147" s="34" t="s">
        <v>26</v>
      </c>
    </row>
    <row r="148" spans="2:48" ht="97.5" customHeight="1" x14ac:dyDescent="0.25">
      <c r="B148" s="229"/>
      <c r="C148" s="889" t="s">
        <v>64</v>
      </c>
      <c r="D148" s="889"/>
      <c r="E148" s="889"/>
      <c r="F148" s="889"/>
      <c r="G148" s="889"/>
      <c r="H148" s="889"/>
      <c r="I148" s="889"/>
      <c r="J148" s="889"/>
      <c r="K148" s="889"/>
      <c r="L148" s="889"/>
      <c r="M148" s="890" t="s">
        <v>65</v>
      </c>
      <c r="N148" s="890"/>
      <c r="O148" s="890"/>
      <c r="P148" s="890"/>
      <c r="R148" s="890" t="s">
        <v>67</v>
      </c>
      <c r="S148" s="890"/>
      <c r="T148" s="890"/>
      <c r="U148" s="890"/>
      <c r="V148" s="890"/>
      <c r="Y148" s="886" t="s">
        <v>69</v>
      </c>
      <c r="Z148" s="887"/>
      <c r="AA148" s="887"/>
      <c r="AB148" s="887"/>
      <c r="AC148" s="888"/>
      <c r="AD148" s="587"/>
      <c r="AE148" s="587"/>
      <c r="AF148" s="587"/>
      <c r="AG148" s="587"/>
      <c r="AH148" s="587"/>
      <c r="AI148" s="587"/>
      <c r="AJ148" s="587"/>
      <c r="AK148" s="587"/>
      <c r="AL148" s="587"/>
      <c r="AM148" s="587"/>
      <c r="AN148" s="587"/>
      <c r="AO148" s="587"/>
      <c r="AP148" s="587"/>
      <c r="AQ148" s="587"/>
      <c r="AR148" s="587"/>
      <c r="AS148" s="587"/>
      <c r="AT148" s="587"/>
      <c r="AU148" s="587"/>
      <c r="AV148" s="587"/>
    </row>
    <row r="149" spans="2:48" ht="52.5" customHeight="1" x14ac:dyDescent="0.25">
      <c r="B149" s="229"/>
      <c r="C149" s="889"/>
      <c r="D149" s="889"/>
      <c r="E149" s="889"/>
      <c r="F149" s="889"/>
      <c r="G149" s="889"/>
      <c r="H149" s="889"/>
      <c r="I149" s="889"/>
      <c r="J149" s="889"/>
      <c r="K149" s="889"/>
      <c r="L149" s="889"/>
    </row>
    <row r="150" spans="2:48" ht="37.5" customHeight="1" x14ac:dyDescent="0.25">
      <c r="B150" s="229"/>
      <c r="C150" s="889"/>
      <c r="D150" s="889"/>
      <c r="E150" s="889"/>
      <c r="F150" s="889"/>
      <c r="G150" s="889"/>
      <c r="H150" s="889"/>
      <c r="I150" s="889"/>
      <c r="J150" s="889"/>
      <c r="K150" s="889"/>
      <c r="L150" s="889"/>
    </row>
    <row r="151" spans="2:48" ht="63.75" customHeight="1" x14ac:dyDescent="0.25">
      <c r="B151" s="229"/>
      <c r="C151" s="889"/>
      <c r="D151" s="889"/>
      <c r="E151" s="889"/>
      <c r="F151" s="889"/>
      <c r="G151" s="889"/>
      <c r="H151" s="889"/>
      <c r="I151" s="889"/>
      <c r="J151" s="889"/>
      <c r="K151" s="889"/>
      <c r="L151" s="889"/>
    </row>
  </sheetData>
  <mergeCells count="23">
    <mergeCell ref="BG7:BR7"/>
    <mergeCell ref="CE144:CI144"/>
    <mergeCell ref="BZ144:CD144"/>
    <mergeCell ref="BT144:BX144"/>
    <mergeCell ref="B1:AX1"/>
    <mergeCell ref="C2:I2"/>
    <mergeCell ref="C3:I3"/>
    <mergeCell ref="C4:I4"/>
    <mergeCell ref="BM144:BR144"/>
    <mergeCell ref="BB144:BK144"/>
    <mergeCell ref="M2:S2"/>
    <mergeCell ref="M3:S3"/>
    <mergeCell ref="M4:S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144"/>
  <sheetViews>
    <sheetView workbookViewId="0">
      <pane xSplit="2" ySplit="8" topLeftCell="BQ114" activePane="bottomRight" state="frozen"/>
      <selection pane="topRight" activeCell="C1" sqref="C1"/>
      <selection pane="bottomLeft" activeCell="A9" sqref="A9"/>
      <selection pane="bottomRight" activeCell="BV115" sqref="BV115:BV117"/>
    </sheetView>
  </sheetViews>
  <sheetFormatPr defaultColWidth="9.140625" defaultRowHeight="15" x14ac:dyDescent="0.25"/>
  <cols>
    <col min="1" max="1" width="5.85546875" style="2" customWidth="1"/>
    <col min="2" max="2" width="68"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55" width="12.7109375" style="4" bestFit="1" customWidth="1"/>
    <col min="56" max="56" width="13.85546875" style="4" bestFit="1" customWidth="1"/>
    <col min="57" max="60" width="13.85546875" style="2" bestFit="1" customWidth="1"/>
    <col min="61" max="74" width="14.5703125" style="2" bestFit="1" customWidth="1"/>
    <col min="75" max="16384" width="9.140625" style="2"/>
  </cols>
  <sheetData>
    <row r="1" spans="1:74" ht="16.5" thickTop="1" thickBot="1" x14ac:dyDescent="0.3">
      <c r="B1" s="895" t="s">
        <v>19</v>
      </c>
      <c r="C1" s="896"/>
      <c r="D1" s="896"/>
      <c r="E1" s="896"/>
      <c r="F1" s="896"/>
      <c r="G1" s="896"/>
      <c r="H1" s="896"/>
      <c r="I1" s="896"/>
      <c r="J1" s="896"/>
      <c r="K1" s="896"/>
      <c r="L1" s="896"/>
      <c r="M1" s="896"/>
      <c r="N1" s="896"/>
      <c r="O1" s="896"/>
      <c r="P1" s="896"/>
      <c r="Q1" s="896"/>
      <c r="R1" s="896"/>
      <c r="S1" s="896"/>
      <c r="T1" s="896"/>
      <c r="U1" s="896"/>
      <c r="V1" s="896"/>
      <c r="W1" s="896"/>
      <c r="X1" s="38"/>
      <c r="Y1" s="38"/>
      <c r="Z1" s="38"/>
      <c r="AA1" s="38"/>
      <c r="AB1" s="39"/>
    </row>
    <row r="2" spans="1:74" ht="27.6" customHeight="1" thickTop="1" thickBot="1" x14ac:dyDescent="0.3">
      <c r="B2" s="5" t="s">
        <v>0</v>
      </c>
      <c r="C2" s="898" t="s">
        <v>57</v>
      </c>
      <c r="D2" s="899"/>
      <c r="E2" s="899"/>
      <c r="F2" s="899"/>
      <c r="G2" s="899"/>
      <c r="H2" s="899"/>
      <c r="I2" s="899"/>
      <c r="J2" s="6"/>
      <c r="K2" s="7"/>
      <c r="L2" s="7"/>
      <c r="M2" s="7"/>
      <c r="N2" s="7"/>
      <c r="O2" s="7"/>
      <c r="P2" s="7"/>
      <c r="Q2" s="7"/>
      <c r="R2" s="7"/>
      <c r="S2" s="7"/>
      <c r="T2" s="7"/>
      <c r="U2" s="7"/>
      <c r="V2" s="7"/>
      <c r="W2" s="8"/>
    </row>
    <row r="3" spans="1:74" ht="27.6" customHeight="1" thickTop="1" thickBot="1" x14ac:dyDescent="0.3">
      <c r="B3" s="5" t="s">
        <v>1</v>
      </c>
      <c r="C3" s="898" t="s">
        <v>48</v>
      </c>
      <c r="D3" s="899"/>
      <c r="E3" s="899"/>
      <c r="F3" s="899"/>
      <c r="G3" s="899"/>
      <c r="H3" s="899"/>
      <c r="I3" s="899"/>
      <c r="J3" s="6"/>
      <c r="K3" s="9"/>
      <c r="L3" s="9"/>
      <c r="M3" s="9"/>
      <c r="N3" s="9"/>
      <c r="O3" s="9"/>
      <c r="P3" s="9"/>
      <c r="Q3" s="9"/>
      <c r="R3" s="9"/>
      <c r="S3" s="9"/>
      <c r="T3" s="9"/>
      <c r="U3" s="9"/>
      <c r="V3" s="9"/>
      <c r="W3" s="10"/>
    </row>
    <row r="4" spans="1:74" ht="27.6" customHeight="1" thickTop="1" thickBot="1" x14ac:dyDescent="0.3">
      <c r="B4" s="5" t="s">
        <v>2</v>
      </c>
      <c r="C4" s="900">
        <v>44441</v>
      </c>
      <c r="D4" s="901"/>
      <c r="E4" s="901"/>
      <c r="F4" s="901"/>
      <c r="G4" s="901"/>
      <c r="H4" s="901"/>
      <c r="I4" s="901"/>
      <c r="J4" s="6"/>
      <c r="K4" s="9"/>
      <c r="L4" s="9"/>
      <c r="M4" s="9"/>
      <c r="N4" s="9"/>
      <c r="O4" s="9"/>
      <c r="P4" s="9"/>
      <c r="Q4" s="9"/>
      <c r="R4" s="9"/>
      <c r="S4" s="9"/>
      <c r="T4" s="9"/>
      <c r="U4" s="9"/>
      <c r="V4" s="9"/>
      <c r="W4" s="11"/>
    </row>
    <row r="5" spans="1:74" ht="15.75" thickTop="1" x14ac:dyDescent="0.25">
      <c r="B5" s="5"/>
      <c r="C5" s="12"/>
      <c r="D5" s="12"/>
      <c r="E5" s="12"/>
      <c r="F5" s="6"/>
      <c r="G5" s="7"/>
      <c r="H5" s="6"/>
      <c r="I5" s="7"/>
      <c r="J5" s="6"/>
      <c r="K5" s="9"/>
      <c r="L5" s="9"/>
      <c r="M5" s="9"/>
      <c r="N5" s="9"/>
      <c r="O5" s="9"/>
      <c r="P5" s="9"/>
      <c r="Q5" s="9"/>
      <c r="R5" s="9"/>
      <c r="S5" s="9"/>
      <c r="T5" s="9"/>
      <c r="U5" s="9"/>
      <c r="V5" s="9"/>
      <c r="W5" s="11"/>
      <c r="BD5" s="442"/>
    </row>
    <row r="6" spans="1:74" ht="15.75" thickBot="1" x14ac:dyDescent="0.3">
      <c r="B6" s="13"/>
      <c r="C6" s="14"/>
      <c r="D6" s="15"/>
      <c r="E6" s="15"/>
      <c r="F6" s="16"/>
      <c r="G6" s="17"/>
      <c r="H6" s="18"/>
      <c r="I6" s="17"/>
      <c r="J6" s="19"/>
      <c r="K6" s="18"/>
      <c r="L6" s="18"/>
      <c r="M6" s="18"/>
      <c r="N6" s="18"/>
      <c r="O6" s="18"/>
      <c r="P6" s="18"/>
      <c r="Q6" s="18"/>
      <c r="R6" s="18"/>
      <c r="S6" s="18"/>
      <c r="T6" s="18"/>
      <c r="U6" s="18"/>
      <c r="V6" s="18"/>
      <c r="W6" s="20"/>
      <c r="BD6" s="442"/>
    </row>
    <row r="7" spans="1:74"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0"/>
      <c r="BK7" s="330"/>
      <c r="BL7" s="330"/>
      <c r="BM7" s="330"/>
      <c r="BN7" s="330"/>
      <c r="BO7" s="330"/>
      <c r="BP7" s="330"/>
      <c r="BQ7" s="330"/>
      <c r="BR7" s="330"/>
      <c r="BS7" s="330"/>
      <c r="BT7" s="330"/>
      <c r="BU7" s="330"/>
      <c r="BV7" s="330"/>
    </row>
    <row r="8" spans="1:74"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c r="AP8" s="331">
        <v>44210</v>
      </c>
      <c r="AQ8" s="331">
        <v>44217</v>
      </c>
      <c r="AR8" s="331">
        <v>44224</v>
      </c>
      <c r="AS8" s="331">
        <v>44231</v>
      </c>
      <c r="AT8" s="331">
        <v>44243</v>
      </c>
      <c r="AU8" s="331">
        <v>44245</v>
      </c>
      <c r="AV8" s="331">
        <v>44252</v>
      </c>
      <c r="AW8" s="331">
        <v>44259</v>
      </c>
      <c r="AX8" s="331">
        <v>44266</v>
      </c>
      <c r="AY8" s="331">
        <v>44273</v>
      </c>
      <c r="AZ8" s="331">
        <v>44280</v>
      </c>
      <c r="BA8" s="331">
        <v>44287</v>
      </c>
      <c r="BB8" s="331">
        <v>44294</v>
      </c>
      <c r="BC8" s="331">
        <v>44301</v>
      </c>
      <c r="BD8" s="331">
        <v>44308</v>
      </c>
      <c r="BE8" s="331">
        <v>44315</v>
      </c>
      <c r="BF8" s="331">
        <v>44322</v>
      </c>
      <c r="BG8" s="331">
        <v>44329</v>
      </c>
      <c r="BH8" s="331">
        <v>44342</v>
      </c>
      <c r="BI8" s="331">
        <v>44350</v>
      </c>
      <c r="BJ8" s="331">
        <v>44357</v>
      </c>
      <c r="BK8" s="331">
        <v>44364</v>
      </c>
      <c r="BL8" s="331">
        <v>44371</v>
      </c>
      <c r="BM8" s="331">
        <v>44378</v>
      </c>
      <c r="BN8" s="331">
        <v>44385</v>
      </c>
      <c r="BO8" s="331">
        <v>44392</v>
      </c>
      <c r="BP8" s="331">
        <v>44399</v>
      </c>
      <c r="BQ8" s="331">
        <v>44406</v>
      </c>
      <c r="BR8" s="331">
        <v>44413</v>
      </c>
      <c r="BS8" s="331">
        <v>44420</v>
      </c>
      <c r="BT8" s="331">
        <v>44427</v>
      </c>
      <c r="BU8" s="331">
        <v>44434</v>
      </c>
      <c r="BV8" s="331">
        <v>44441</v>
      </c>
    </row>
    <row r="9" spans="1:74"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c r="AP9" s="332"/>
      <c r="AQ9" s="332"/>
      <c r="AR9" s="332"/>
      <c r="AS9" s="332"/>
      <c r="AT9" s="332"/>
      <c r="AU9" s="332"/>
      <c r="AV9" s="332"/>
      <c r="AW9" s="332"/>
      <c r="AX9" s="332"/>
      <c r="AY9" s="332"/>
      <c r="AZ9" s="332"/>
      <c r="BA9" s="332"/>
      <c r="BB9" s="332"/>
      <c r="BC9" s="332"/>
      <c r="BD9" s="332"/>
    </row>
    <row r="10" spans="1:74"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c r="AP10" s="131">
        <f>SUM(AP17+AP24+AP31-6266)</f>
        <v>21612</v>
      </c>
      <c r="AQ10" s="131">
        <f>SUM(AQ17+AQ24+AQ31-5617)</f>
        <v>20849</v>
      </c>
      <c r="AR10" s="131">
        <f>SUM(AR17+AR24+AR31-5512)</f>
        <v>21054</v>
      </c>
      <c r="AS10" s="131">
        <f>SUM(AS17+AS24+AS31-5475)</f>
        <v>19937</v>
      </c>
      <c r="AT10" s="131">
        <f>SUM(AT17+AT24+AT31-5006)</f>
        <v>22172</v>
      </c>
      <c r="AU10" s="131">
        <f>SUM(AU17+AU24+AU31-4896)</f>
        <v>22151</v>
      </c>
      <c r="AV10" s="131">
        <f>SUM(AV17+AV24+AV31-4713)</f>
        <v>22423</v>
      </c>
      <c r="AW10" s="131">
        <f>SUM(AW17+AW24+AW31-5504)</f>
        <v>21979</v>
      </c>
      <c r="AX10" s="131">
        <f>SUM(AX17+AX24+AX31-4585)</f>
        <v>22102</v>
      </c>
      <c r="AY10" s="388">
        <f>SUM(AY17+AY24+AY31-4725)</f>
        <v>22070</v>
      </c>
      <c r="AZ10" s="388">
        <f>SUM(AZ17+AZ24+AZ31-4658)</f>
        <v>22422</v>
      </c>
      <c r="BA10" s="388">
        <f>SUM(BA17+BA24+BA31-5618)</f>
        <v>22171</v>
      </c>
      <c r="BB10" s="388">
        <f>SUM(BB17+BB24+BB31-5630)</f>
        <v>22504</v>
      </c>
      <c r="BC10" s="388">
        <f>SUM(BC17+BC24+BC31-5477)</f>
        <v>22489</v>
      </c>
      <c r="BD10" s="388">
        <f>SUM(BD17+BD24+BD31-6060)</f>
        <v>23066</v>
      </c>
      <c r="BE10" s="388">
        <f>SUM(BE17+BE24+BE31-6048)</f>
        <v>23357</v>
      </c>
      <c r="BF10" s="388">
        <f>SUM(BF17+BF24+BF31-5528)</f>
        <v>22232</v>
      </c>
      <c r="BG10" s="388"/>
      <c r="BH10" s="388">
        <v>29190</v>
      </c>
      <c r="BI10" s="388">
        <v>27927</v>
      </c>
      <c r="BJ10" s="388">
        <f t="shared" ref="BJ10:BK14" si="0">BJ17+BJ24+BJ31</f>
        <v>24929</v>
      </c>
      <c r="BK10" s="388">
        <f t="shared" si="0"/>
        <v>24722</v>
      </c>
      <c r="BL10" s="388">
        <f t="shared" ref="BL10:BN14" si="1">BL17+BL24+BL31</f>
        <v>25975</v>
      </c>
      <c r="BM10" s="388">
        <f t="shared" si="1"/>
        <v>20930</v>
      </c>
      <c r="BN10" s="388">
        <f t="shared" si="1"/>
        <v>32297</v>
      </c>
      <c r="BO10" s="388">
        <v>36336</v>
      </c>
      <c r="BP10" s="388">
        <v>30810</v>
      </c>
      <c r="BQ10" s="388">
        <v>14878</v>
      </c>
      <c r="BR10" s="388">
        <v>14908</v>
      </c>
      <c r="BS10" s="388">
        <v>14710</v>
      </c>
      <c r="BT10" s="388">
        <v>14294</v>
      </c>
      <c r="BU10" s="388">
        <v>14098</v>
      </c>
      <c r="BV10" s="388">
        <v>14329</v>
      </c>
    </row>
    <row r="11" spans="1:74"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c r="AP11" s="131">
        <f>SUM(AP18+AP25+AP32-3455)</f>
        <v>9818</v>
      </c>
      <c r="AQ11" s="131">
        <f>SUM(AQ18+AQ25+AQ32-2949)</f>
        <v>9089</v>
      </c>
      <c r="AR11" s="131">
        <f>SUM(AR18+AR25+AR32-3092)</f>
        <v>9911</v>
      </c>
      <c r="AS11" s="131">
        <f>SUM(AS18+AS25+AS32-3264)</f>
        <v>9674</v>
      </c>
      <c r="AT11" s="131">
        <f>SUM(AT18+AT25+AT32-2775)</f>
        <v>8926</v>
      </c>
      <c r="AU11" s="131">
        <f>SUM(AU18+AU25+AU32-2580)</f>
        <v>8880</v>
      </c>
      <c r="AV11" s="131">
        <f>SUM(AV18+AV25+AV32-2645)</f>
        <v>9288</v>
      </c>
      <c r="AW11" s="131">
        <f>SUM(AW18+AW25+AW32-3241)</f>
        <v>9662</v>
      </c>
      <c r="AX11" s="131">
        <f>SUM(AX18+AX25+AX32-2543)</f>
        <v>8516</v>
      </c>
      <c r="AY11" s="388">
        <f>SUM(AY18+AY25+AY32-2500)</f>
        <v>8276</v>
      </c>
      <c r="AZ11" s="388">
        <f>SUM(AZ18+AZ25+AZ32-2545)</f>
        <v>8553</v>
      </c>
      <c r="BA11" s="388">
        <f>SUM(BA18+BA25+BA32-3015)</f>
        <v>8635</v>
      </c>
      <c r="BB11" s="388">
        <f>SUM(BB18+BB25+BB32-3015)</f>
        <v>8685</v>
      </c>
      <c r="BC11" s="388">
        <f>SUM(BC18+BC25+BC32-2421)</f>
        <v>7365</v>
      </c>
      <c r="BD11" s="388">
        <f>SUM(BD18+BD25+BD32-2682)</f>
        <v>7815</v>
      </c>
      <c r="BE11" s="388">
        <f>SUM(BE18+BE25+BE32-2945)</f>
        <v>8655</v>
      </c>
      <c r="BF11" s="388">
        <f>SUM(BF18+BF25+BF32-2564)</f>
        <v>7534</v>
      </c>
      <c r="BG11" s="388"/>
      <c r="BH11" s="388"/>
      <c r="BI11" s="388"/>
      <c r="BJ11" s="388">
        <f t="shared" si="0"/>
        <v>5529</v>
      </c>
      <c r="BK11" s="388">
        <f t="shared" si="0"/>
        <v>5602</v>
      </c>
      <c r="BL11" s="388">
        <f t="shared" si="1"/>
        <v>6056</v>
      </c>
      <c r="BM11" s="388">
        <f t="shared" si="1"/>
        <v>9024</v>
      </c>
      <c r="BN11" s="388">
        <f t="shared" si="1"/>
        <v>13709</v>
      </c>
      <c r="BO11" s="388">
        <v>7028</v>
      </c>
      <c r="BP11" s="388">
        <v>6393</v>
      </c>
      <c r="BQ11" s="388">
        <v>5243</v>
      </c>
      <c r="BR11" s="388">
        <v>4837</v>
      </c>
      <c r="BS11" s="388">
        <v>4757</v>
      </c>
      <c r="BT11" s="388">
        <v>4733</v>
      </c>
      <c r="BU11" s="388">
        <v>4781</v>
      </c>
      <c r="BV11" s="388">
        <v>4740</v>
      </c>
    </row>
    <row r="12" spans="1:74"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c r="AP12" s="131">
        <f>SUM(AP19+AP26+AP33-219)</f>
        <v>1194</v>
      </c>
      <c r="AQ12" s="131">
        <f>SUM(AQ19+AQ26+AQ33-184)</f>
        <v>1109</v>
      </c>
      <c r="AR12" s="131">
        <f>SUM(AR19+AR26+AR33-191)</f>
        <v>1166</v>
      </c>
      <c r="AS12" s="131">
        <f>SUM(AS19+AS26+AS33-170)</f>
        <v>951</v>
      </c>
      <c r="AT12" s="131">
        <f>SUM(AT19+AT26+AT33-172)</f>
        <v>1168</v>
      </c>
      <c r="AU12" s="131">
        <f>SUM(AU19+AU26+AU33-154)</f>
        <v>1115</v>
      </c>
      <c r="AV12" s="131">
        <f>SUM(AV19+AV26+AV33-150)</f>
        <v>1228</v>
      </c>
      <c r="AW12" s="131">
        <f>SUM(AW19+AW26+AW33-153)</f>
        <v>1115</v>
      </c>
      <c r="AX12" s="131">
        <f>SUM(AX19+AX26+AX33-118)</f>
        <v>1058</v>
      </c>
      <c r="AY12" s="388">
        <f>SUM(AY19+AY26+AY33-143)</f>
        <v>972</v>
      </c>
      <c r="AZ12" s="388">
        <f>SUM(AZ19+AZ26+AZ33-131)</f>
        <v>1052</v>
      </c>
      <c r="BA12" s="388">
        <f>SUM(BA19+BA26+BA33-139)</f>
        <v>909</v>
      </c>
      <c r="BB12" s="388">
        <f>SUM(BB19+BB26+BB33-139)</f>
        <v>881</v>
      </c>
      <c r="BC12" s="388">
        <f>SUM(BC19+BC26+BC33-153)</f>
        <v>927</v>
      </c>
      <c r="BD12" s="388">
        <f>SUM(BD19+BD26+BD33-163)</f>
        <v>946</v>
      </c>
      <c r="BE12" s="388">
        <f>SUM(BE19+BE26+BE33-161)</f>
        <v>972</v>
      </c>
      <c r="BF12" s="388">
        <f>SUM(BF19+BF26+BF33-141)</f>
        <v>886</v>
      </c>
      <c r="BG12" s="388"/>
      <c r="BH12" s="388">
        <v>1484</v>
      </c>
      <c r="BI12" s="388">
        <v>1332</v>
      </c>
      <c r="BJ12" s="388">
        <f t="shared" si="0"/>
        <v>832</v>
      </c>
      <c r="BK12" s="388">
        <f t="shared" si="0"/>
        <v>855</v>
      </c>
      <c r="BL12" s="388">
        <f t="shared" si="1"/>
        <v>955</v>
      </c>
      <c r="BM12" s="388">
        <f t="shared" si="1"/>
        <v>901</v>
      </c>
      <c r="BN12" s="388">
        <f t="shared" si="1"/>
        <v>1202</v>
      </c>
      <c r="BO12" s="388">
        <v>2837</v>
      </c>
      <c r="BP12" s="388">
        <v>2491</v>
      </c>
      <c r="BQ12" s="388">
        <v>812</v>
      </c>
      <c r="BR12" s="388">
        <v>765</v>
      </c>
      <c r="BS12" s="388">
        <v>792</v>
      </c>
      <c r="BT12" s="388">
        <v>825</v>
      </c>
      <c r="BU12" s="388">
        <v>762</v>
      </c>
      <c r="BV12" s="388">
        <v>747</v>
      </c>
    </row>
    <row r="13" spans="1:74"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c r="AP13" s="131">
        <f>SUM(AP20+AP27+AP34-17)</f>
        <v>175</v>
      </c>
      <c r="AQ13" s="131">
        <f>SUM(AQ20+AQ27+AQ34-15)</f>
        <v>141</v>
      </c>
      <c r="AR13" s="131">
        <f>SUM(AR20+AR27+AR34-14)</f>
        <v>152</v>
      </c>
      <c r="AS13" s="131">
        <f>SUM(AS20+AS27+AS34-14)</f>
        <v>112</v>
      </c>
      <c r="AT13" s="131">
        <f>SUM(AT20+AT27+AT34-10)</f>
        <v>137</v>
      </c>
      <c r="AU13" s="131">
        <f>SUM(AU20+AU27+AU34-13)</f>
        <v>143</v>
      </c>
      <c r="AV13" s="131">
        <f>SUM(AV20+AV27+AV34-11)</f>
        <v>182</v>
      </c>
      <c r="AW13" s="131">
        <f>SUM(AW20+AW27+AW34-16)</f>
        <v>178</v>
      </c>
      <c r="AX13" s="131">
        <f>SUM(AX20+AX27+AX34-11)</f>
        <v>113</v>
      </c>
      <c r="AY13" s="388">
        <f>SUM(AY20+AY27+AY34-9)</f>
        <v>108</v>
      </c>
      <c r="AZ13" s="388">
        <f>SUM(AZ20+AZ27+AZ34-11)</f>
        <v>133</v>
      </c>
      <c r="BA13" s="388">
        <f>SUM(BA20+BA27+BA34-10)</f>
        <v>101</v>
      </c>
      <c r="BB13" s="388">
        <f>SUM(BB20+BB27+BB34-10)</f>
        <v>101</v>
      </c>
      <c r="BC13" s="388">
        <f>SUM(BC20+BC27+BC34-10)</f>
        <v>96</v>
      </c>
      <c r="BD13" s="388">
        <f>SUM(BD20+BD27+BD34-11)</f>
        <v>102</v>
      </c>
      <c r="BE13" s="388">
        <f>SUM(BE20+BE27+BE34-10)</f>
        <v>110</v>
      </c>
      <c r="BF13" s="388">
        <f>SUM(BF20+BF27+BF34-10)</f>
        <v>105</v>
      </c>
      <c r="BG13" s="388"/>
      <c r="BH13" s="388"/>
      <c r="BI13" s="388"/>
      <c r="BJ13" s="388">
        <f t="shared" si="0"/>
        <v>88</v>
      </c>
      <c r="BK13" s="388">
        <f t="shared" si="0"/>
        <v>114</v>
      </c>
      <c r="BL13" s="388">
        <f t="shared" si="1"/>
        <v>133</v>
      </c>
      <c r="BM13" s="388">
        <f t="shared" si="1"/>
        <v>127</v>
      </c>
      <c r="BN13" s="388">
        <f t="shared" si="1"/>
        <v>141</v>
      </c>
      <c r="BO13" s="388">
        <v>377</v>
      </c>
      <c r="BP13" s="388">
        <v>381</v>
      </c>
      <c r="BQ13" s="388">
        <v>74</v>
      </c>
      <c r="BR13" s="388">
        <v>74</v>
      </c>
      <c r="BS13" s="388">
        <v>105</v>
      </c>
      <c r="BT13" s="388">
        <v>119</v>
      </c>
      <c r="BU13" s="388">
        <v>84</v>
      </c>
      <c r="BV13" s="388">
        <v>65</v>
      </c>
    </row>
    <row r="14" spans="1:74" x14ac:dyDescent="0.25">
      <c r="A14" s="4"/>
      <c r="B14" s="35" t="s">
        <v>40</v>
      </c>
      <c r="C14" s="131">
        <f t="shared" ref="C14:I14" si="2">SUM(C21+C28+C35-0)</f>
        <v>7</v>
      </c>
      <c r="D14" s="69">
        <f t="shared" si="2"/>
        <v>4</v>
      </c>
      <c r="E14" s="69">
        <f t="shared" si="2"/>
        <v>4</v>
      </c>
      <c r="F14" s="69">
        <f t="shared" si="2"/>
        <v>7</v>
      </c>
      <c r="G14" s="69">
        <f t="shared" si="2"/>
        <v>8</v>
      </c>
      <c r="H14" s="69">
        <f t="shared" si="2"/>
        <v>8</v>
      </c>
      <c r="I14" s="69">
        <f t="shared" si="2"/>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3">SUM(S21+S28+S35-1)</f>
        <v>7</v>
      </c>
      <c r="T14" s="68">
        <f t="shared" si="3"/>
        <v>8</v>
      </c>
      <c r="U14" s="68">
        <f t="shared" si="3"/>
        <v>7</v>
      </c>
      <c r="V14" s="68">
        <f t="shared" si="3"/>
        <v>7</v>
      </c>
      <c r="W14" s="68">
        <f t="shared" si="3"/>
        <v>3</v>
      </c>
      <c r="X14" s="68">
        <f t="shared" si="3"/>
        <v>5</v>
      </c>
      <c r="Y14" s="68">
        <f t="shared" ref="Y14:AD14" si="4">SUM(Y21+Y28+Y35-1)</f>
        <v>4</v>
      </c>
      <c r="Z14" s="68">
        <f t="shared" si="4"/>
        <v>5</v>
      </c>
      <c r="AA14" s="68">
        <f t="shared" si="4"/>
        <v>5</v>
      </c>
      <c r="AB14" s="131">
        <f t="shared" si="4"/>
        <v>7</v>
      </c>
      <c r="AC14" s="131">
        <f t="shared" si="4"/>
        <v>9</v>
      </c>
      <c r="AD14" s="131">
        <f t="shared" si="4"/>
        <v>5</v>
      </c>
      <c r="AE14" s="131">
        <f>SUM(AE21+AE28+AE35-1)</f>
        <v>2</v>
      </c>
      <c r="AF14" s="131">
        <f>SUM(AF21+AF28+AF35-0)</f>
        <v>5</v>
      </c>
      <c r="AG14" s="131">
        <f>SUM(AG21+AG28+AG35)</f>
        <v>7</v>
      </c>
      <c r="AH14" s="131">
        <f t="shared" ref="AH14:AM14" si="5">SUM(AH21+AH28+AH35-0)</f>
        <v>4</v>
      </c>
      <c r="AI14" s="131">
        <f t="shared" si="5"/>
        <v>5</v>
      </c>
      <c r="AJ14" s="131">
        <f t="shared" si="5"/>
        <v>6</v>
      </c>
      <c r="AK14" s="131">
        <f t="shared" si="5"/>
        <v>8</v>
      </c>
      <c r="AL14" s="131">
        <f t="shared" si="5"/>
        <v>6</v>
      </c>
      <c r="AM14" s="131">
        <f t="shared" si="5"/>
        <v>5</v>
      </c>
      <c r="AN14" s="131">
        <f t="shared" ref="AN14:AS14" si="6">SUM(AN21+AN28+AN35-0)</f>
        <v>4</v>
      </c>
      <c r="AO14" s="131">
        <f t="shared" si="6"/>
        <v>5</v>
      </c>
      <c r="AP14" s="131">
        <f t="shared" si="6"/>
        <v>9</v>
      </c>
      <c r="AQ14" s="131">
        <f t="shared" si="6"/>
        <v>5</v>
      </c>
      <c r="AR14" s="131">
        <f t="shared" si="6"/>
        <v>4</v>
      </c>
      <c r="AS14" s="131">
        <f t="shared" si="6"/>
        <v>6</v>
      </c>
      <c r="AT14" s="131">
        <f t="shared" ref="AT14:BC14" si="7">SUM(AT21+AT28+AT35-0)</f>
        <v>7</v>
      </c>
      <c r="AU14" s="131">
        <f t="shared" si="7"/>
        <v>6</v>
      </c>
      <c r="AV14" s="131">
        <f t="shared" si="7"/>
        <v>6</v>
      </c>
      <c r="AW14" s="131">
        <f t="shared" si="7"/>
        <v>6</v>
      </c>
      <c r="AX14" s="131">
        <f t="shared" si="7"/>
        <v>3</v>
      </c>
      <c r="AY14" s="388">
        <f t="shared" si="7"/>
        <v>3</v>
      </c>
      <c r="AZ14" s="388">
        <f t="shared" si="7"/>
        <v>3</v>
      </c>
      <c r="BA14" s="388">
        <f t="shared" si="7"/>
        <v>1</v>
      </c>
      <c r="BB14" s="388">
        <f t="shared" si="7"/>
        <v>3</v>
      </c>
      <c r="BC14" s="388">
        <f t="shared" si="7"/>
        <v>3</v>
      </c>
      <c r="BD14" s="388">
        <f>SUM(BD21+BD28+BD35-0)</f>
        <v>3</v>
      </c>
      <c r="BE14" s="388">
        <f>SUM(BE21+BE28+BE35-0)</f>
        <v>1</v>
      </c>
      <c r="BF14" s="388">
        <f>SUM(BF21+BF28+BF35)</f>
        <v>1</v>
      </c>
      <c r="BG14" s="388"/>
      <c r="BH14" s="388"/>
      <c r="BI14" s="388"/>
      <c r="BJ14" s="388">
        <f t="shared" si="0"/>
        <v>2</v>
      </c>
      <c r="BK14" s="388">
        <f t="shared" si="0"/>
        <v>3</v>
      </c>
      <c r="BL14" s="388">
        <f t="shared" si="1"/>
        <v>2</v>
      </c>
      <c r="BM14" s="388">
        <f t="shared" si="1"/>
        <v>2</v>
      </c>
      <c r="BN14" s="388">
        <f t="shared" si="1"/>
        <v>3</v>
      </c>
      <c r="BO14" s="388">
        <v>18</v>
      </c>
      <c r="BP14" s="388">
        <v>13</v>
      </c>
      <c r="BQ14" s="388">
        <v>4</v>
      </c>
      <c r="BR14" s="388">
        <v>4</v>
      </c>
      <c r="BS14" s="388">
        <v>5</v>
      </c>
      <c r="BT14" s="388">
        <v>3</v>
      </c>
      <c r="BU14" s="388">
        <v>3</v>
      </c>
      <c r="BV14" s="388">
        <v>3</v>
      </c>
    </row>
    <row r="15" spans="1:74" x14ac:dyDescent="0.25">
      <c r="B15" s="35" t="s">
        <v>41</v>
      </c>
      <c r="C15" s="131">
        <f>SUM(C10:C14)</f>
        <v>28570</v>
      </c>
      <c r="D15" s="71">
        <f>SUM(D10:D14)</f>
        <v>27951</v>
      </c>
      <c r="E15" s="71">
        <f t="shared" ref="E15:AG15" si="8">SUM(E10:E14)</f>
        <v>28846</v>
      </c>
      <c r="F15" s="71">
        <f t="shared" si="8"/>
        <v>27716</v>
      </c>
      <c r="G15" s="71">
        <f t="shared" si="8"/>
        <v>27687</v>
      </c>
      <c r="H15" s="71">
        <f t="shared" si="8"/>
        <v>28181</v>
      </c>
      <c r="I15" s="71">
        <f t="shared" si="8"/>
        <v>29336</v>
      </c>
      <c r="J15" s="71">
        <f t="shared" si="8"/>
        <v>28235</v>
      </c>
      <c r="K15" s="71">
        <f t="shared" si="8"/>
        <v>27349</v>
      </c>
      <c r="L15" s="162">
        <f t="shared" si="8"/>
        <v>28431</v>
      </c>
      <c r="M15" s="71">
        <f t="shared" si="8"/>
        <v>28290</v>
      </c>
      <c r="N15" s="69">
        <f t="shared" si="8"/>
        <v>28948</v>
      </c>
      <c r="O15" s="71">
        <f t="shared" si="8"/>
        <v>28287</v>
      </c>
      <c r="P15" s="71">
        <f t="shared" si="8"/>
        <v>29122</v>
      </c>
      <c r="Q15" s="71">
        <f t="shared" si="8"/>
        <v>30033</v>
      </c>
      <c r="R15" s="71">
        <f t="shared" si="8"/>
        <v>30270</v>
      </c>
      <c r="S15" s="71">
        <f>SUM(S10:S14)</f>
        <v>28784</v>
      </c>
      <c r="T15" s="71">
        <f t="shared" si="8"/>
        <v>29243</v>
      </c>
      <c r="U15" s="171">
        <f t="shared" si="8"/>
        <v>29325</v>
      </c>
      <c r="V15" s="171">
        <f t="shared" si="8"/>
        <v>29407</v>
      </c>
      <c r="W15" s="171">
        <f t="shared" si="8"/>
        <v>27784</v>
      </c>
      <c r="X15" s="171">
        <f t="shared" si="8"/>
        <v>31381</v>
      </c>
      <c r="Y15" s="171">
        <f t="shared" si="8"/>
        <v>29918</v>
      </c>
      <c r="Z15" s="171">
        <f t="shared" si="8"/>
        <v>30748</v>
      </c>
      <c r="AA15" s="171">
        <f t="shared" si="8"/>
        <v>30729</v>
      </c>
      <c r="AB15" s="242">
        <f t="shared" si="8"/>
        <v>30004</v>
      </c>
      <c r="AC15" s="242">
        <f t="shared" si="8"/>
        <v>30461</v>
      </c>
      <c r="AD15" s="242">
        <f t="shared" si="8"/>
        <v>30593</v>
      </c>
      <c r="AE15" s="242">
        <f t="shared" si="8"/>
        <v>30248</v>
      </c>
      <c r="AF15" s="242">
        <f t="shared" si="8"/>
        <v>29103</v>
      </c>
      <c r="AG15" s="242">
        <f t="shared" si="8"/>
        <v>29145</v>
      </c>
      <c r="AH15" s="242">
        <f t="shared" ref="AH15:BC15" si="9">SUM(AH10:AH14)</f>
        <v>29686</v>
      </c>
      <c r="AI15" s="242">
        <f t="shared" si="9"/>
        <v>32268</v>
      </c>
      <c r="AJ15" s="242">
        <f t="shared" si="9"/>
        <v>31136</v>
      </c>
      <c r="AK15" s="242">
        <f t="shared" si="9"/>
        <v>31596</v>
      </c>
      <c r="AL15" s="242">
        <f t="shared" si="9"/>
        <v>32162</v>
      </c>
      <c r="AM15" s="242">
        <f t="shared" si="9"/>
        <v>32585</v>
      </c>
      <c r="AN15" s="242">
        <f t="shared" si="9"/>
        <v>32557</v>
      </c>
      <c r="AO15" s="242">
        <f t="shared" si="9"/>
        <v>32157</v>
      </c>
      <c r="AP15" s="242">
        <f t="shared" si="9"/>
        <v>32808</v>
      </c>
      <c r="AQ15" s="242">
        <f t="shared" si="9"/>
        <v>31193</v>
      </c>
      <c r="AR15" s="242">
        <f t="shared" si="9"/>
        <v>32287</v>
      </c>
      <c r="AS15" s="242">
        <f t="shared" si="9"/>
        <v>30680</v>
      </c>
      <c r="AT15" s="242">
        <f t="shared" si="9"/>
        <v>32410</v>
      </c>
      <c r="AU15" s="242">
        <f t="shared" si="9"/>
        <v>32295</v>
      </c>
      <c r="AV15" s="242">
        <f t="shared" si="9"/>
        <v>33127</v>
      </c>
      <c r="AW15" s="242">
        <f t="shared" si="9"/>
        <v>32940</v>
      </c>
      <c r="AX15" s="242">
        <f t="shared" si="9"/>
        <v>31792</v>
      </c>
      <c r="AY15" s="69">
        <f t="shared" si="9"/>
        <v>31429</v>
      </c>
      <c r="AZ15" s="69">
        <f t="shared" si="9"/>
        <v>32163</v>
      </c>
      <c r="BA15" s="69">
        <f t="shared" si="9"/>
        <v>31817</v>
      </c>
      <c r="BB15" s="69">
        <f t="shared" si="9"/>
        <v>32174</v>
      </c>
      <c r="BC15" s="69">
        <f t="shared" si="9"/>
        <v>30880</v>
      </c>
      <c r="BD15" s="69">
        <f t="shared" ref="BD15:BV15" si="10">SUM(BD10:BD14)</f>
        <v>31932</v>
      </c>
      <c r="BE15" s="69">
        <f t="shared" si="10"/>
        <v>33095</v>
      </c>
      <c r="BF15" s="69">
        <f t="shared" si="10"/>
        <v>30758</v>
      </c>
      <c r="BG15" s="69">
        <f t="shared" si="10"/>
        <v>0</v>
      </c>
      <c r="BH15" s="69">
        <f t="shared" si="10"/>
        <v>30674</v>
      </c>
      <c r="BI15" s="69">
        <f t="shared" si="10"/>
        <v>29259</v>
      </c>
      <c r="BJ15" s="69">
        <f t="shared" si="10"/>
        <v>31380</v>
      </c>
      <c r="BK15" s="69">
        <f t="shared" si="10"/>
        <v>31296</v>
      </c>
      <c r="BL15" s="69">
        <f t="shared" si="10"/>
        <v>33121</v>
      </c>
      <c r="BM15" s="69">
        <f t="shared" si="10"/>
        <v>30984</v>
      </c>
      <c r="BN15" s="69">
        <f t="shared" si="10"/>
        <v>47352</v>
      </c>
      <c r="BO15" s="69">
        <f t="shared" si="10"/>
        <v>46596</v>
      </c>
      <c r="BP15" s="69">
        <f t="shared" si="10"/>
        <v>40088</v>
      </c>
      <c r="BQ15" s="69">
        <f t="shared" si="10"/>
        <v>21011</v>
      </c>
      <c r="BR15" s="69">
        <f t="shared" si="10"/>
        <v>20588</v>
      </c>
      <c r="BS15" s="69">
        <f t="shared" si="10"/>
        <v>20369</v>
      </c>
      <c r="BT15" s="69">
        <f t="shared" si="10"/>
        <v>19974</v>
      </c>
      <c r="BU15" s="69">
        <f t="shared" si="10"/>
        <v>19728</v>
      </c>
      <c r="BV15" s="69">
        <f t="shared" si="10"/>
        <v>19884</v>
      </c>
    </row>
    <row r="16" spans="1:74"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row>
    <row r="17" spans="1:74"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c r="AP17" s="224">
        <v>12089</v>
      </c>
      <c r="AQ17" s="224">
        <v>10893</v>
      </c>
      <c r="AR17" s="224">
        <v>10978</v>
      </c>
      <c r="AS17" s="224">
        <v>10301</v>
      </c>
      <c r="AT17" s="224">
        <v>11341</v>
      </c>
      <c r="AU17" s="224">
        <v>11192</v>
      </c>
      <c r="AV17" s="224">
        <v>11824</v>
      </c>
      <c r="AW17" s="224">
        <v>12976</v>
      </c>
      <c r="AX17" s="224">
        <v>12968</v>
      </c>
      <c r="AY17" s="224">
        <v>12746</v>
      </c>
      <c r="AZ17" s="224">
        <v>12832</v>
      </c>
      <c r="BA17" s="224">
        <v>12379</v>
      </c>
      <c r="BB17" s="224">
        <v>12606</v>
      </c>
      <c r="BC17" s="224">
        <v>12104</v>
      </c>
      <c r="BD17" s="224">
        <v>12827</v>
      </c>
      <c r="BE17" s="224">
        <v>13011</v>
      </c>
      <c r="BF17" s="224">
        <v>11126</v>
      </c>
      <c r="BG17" s="224"/>
      <c r="BH17" s="224">
        <v>14217</v>
      </c>
      <c r="BI17" s="224">
        <v>13836</v>
      </c>
      <c r="BJ17" s="224">
        <v>10975</v>
      </c>
      <c r="BK17" s="224">
        <f>507+10106+105</f>
        <v>10718</v>
      </c>
      <c r="BL17" s="224">
        <f>10237+507+190</f>
        <v>10934</v>
      </c>
      <c r="BM17" s="224">
        <f>404+8196+190</f>
        <v>8790</v>
      </c>
      <c r="BN17" s="224">
        <v>7913</v>
      </c>
      <c r="BO17" s="224">
        <v>9942</v>
      </c>
      <c r="BP17" s="224">
        <v>9919</v>
      </c>
      <c r="BQ17" s="224">
        <v>9874</v>
      </c>
      <c r="BR17" s="224">
        <v>9511</v>
      </c>
      <c r="BS17" s="224">
        <v>10791</v>
      </c>
      <c r="BT17" s="224">
        <v>10746</v>
      </c>
      <c r="BU17" s="224">
        <v>10284</v>
      </c>
      <c r="BV17" s="224">
        <v>10036</v>
      </c>
    </row>
    <row r="18" spans="1:74"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c r="AP18" s="224">
        <v>5439</v>
      </c>
      <c r="AQ18" s="224">
        <v>4442</v>
      </c>
      <c r="AR18" s="224">
        <v>5021</v>
      </c>
      <c r="AS18" s="224">
        <v>5233</v>
      </c>
      <c r="AT18" s="224">
        <v>4228</v>
      </c>
      <c r="AU18" s="224">
        <v>3931</v>
      </c>
      <c r="AV18" s="224">
        <v>4262</v>
      </c>
      <c r="AW18" s="224">
        <v>5491</v>
      </c>
      <c r="AX18" s="224">
        <v>4621</v>
      </c>
      <c r="AY18" s="224">
        <v>4482</v>
      </c>
      <c r="AZ18" s="224">
        <v>4666</v>
      </c>
      <c r="BA18" s="224">
        <v>4702</v>
      </c>
      <c r="BB18" s="224">
        <v>4734</v>
      </c>
      <c r="BC18" s="224">
        <v>3886</v>
      </c>
      <c r="BD18" s="224">
        <v>4287</v>
      </c>
      <c r="BE18" s="224">
        <v>4687</v>
      </c>
      <c r="BF18" s="224">
        <v>3811</v>
      </c>
      <c r="BG18" s="224"/>
      <c r="BH18" s="224"/>
      <c r="BI18" s="224"/>
      <c r="BJ18" s="224">
        <v>2238</v>
      </c>
      <c r="BK18" s="224">
        <f>68+2232</f>
        <v>2300</v>
      </c>
      <c r="BL18" s="224">
        <f>66+2335</f>
        <v>2401</v>
      </c>
      <c r="BM18" s="224">
        <f>81+3346</f>
        <v>3427</v>
      </c>
      <c r="BN18" s="224">
        <v>2882</v>
      </c>
      <c r="BO18" s="224">
        <v>4361</v>
      </c>
      <c r="BP18" s="224">
        <v>4713</v>
      </c>
      <c r="BQ18" s="224">
        <v>4619</v>
      </c>
      <c r="BR18" s="224">
        <v>4304</v>
      </c>
      <c r="BS18" s="224">
        <v>4101</v>
      </c>
      <c r="BT18" s="224">
        <v>3675</v>
      </c>
      <c r="BU18" s="224">
        <v>3312</v>
      </c>
      <c r="BV18" s="224">
        <v>3229</v>
      </c>
    </row>
    <row r="19" spans="1:74"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c r="AP19" s="224">
        <v>752</v>
      </c>
      <c r="AQ19" s="224">
        <v>680</v>
      </c>
      <c r="AR19" s="224">
        <v>763</v>
      </c>
      <c r="AS19" s="224">
        <v>549</v>
      </c>
      <c r="AT19" s="224">
        <v>734</v>
      </c>
      <c r="AU19" s="224">
        <v>695</v>
      </c>
      <c r="AV19" s="224">
        <v>815</v>
      </c>
      <c r="AW19" s="224">
        <v>791</v>
      </c>
      <c r="AX19" s="224">
        <v>730</v>
      </c>
      <c r="AY19" s="224">
        <v>644</v>
      </c>
      <c r="AZ19" s="224">
        <v>676</v>
      </c>
      <c r="BA19" s="224">
        <v>589</v>
      </c>
      <c r="BB19" s="224">
        <v>564</v>
      </c>
      <c r="BC19" s="224">
        <v>603</v>
      </c>
      <c r="BD19" s="224">
        <v>614</v>
      </c>
      <c r="BE19" s="224">
        <v>638</v>
      </c>
      <c r="BF19" s="224">
        <v>532</v>
      </c>
      <c r="BG19" s="224"/>
      <c r="BH19" s="224">
        <v>471</v>
      </c>
      <c r="BI19" s="224">
        <v>445</v>
      </c>
      <c r="BJ19" s="224">
        <v>471</v>
      </c>
      <c r="BK19" s="224">
        <f>337+56+75+10</f>
        <v>478</v>
      </c>
      <c r="BL19" s="224">
        <f>347+60+75+11</f>
        <v>493</v>
      </c>
      <c r="BM19" s="224">
        <f>322+52+75+11</f>
        <v>460</v>
      </c>
      <c r="BN19" s="224">
        <v>407</v>
      </c>
      <c r="BO19" s="224">
        <v>520</v>
      </c>
      <c r="BP19" s="224">
        <v>502</v>
      </c>
      <c r="BQ19" s="224">
        <v>497</v>
      </c>
      <c r="BR19" s="224">
        <v>485</v>
      </c>
      <c r="BS19" s="224">
        <v>538</v>
      </c>
      <c r="BT19" s="224">
        <v>499</v>
      </c>
      <c r="BU19" s="224">
        <v>459</v>
      </c>
      <c r="BV19" s="224">
        <v>418</v>
      </c>
    </row>
    <row r="20" spans="1:74"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c r="AP20" s="224">
        <v>136</v>
      </c>
      <c r="AQ20" s="224">
        <v>110</v>
      </c>
      <c r="AR20" s="224">
        <v>115</v>
      </c>
      <c r="AS20" s="224">
        <v>80</v>
      </c>
      <c r="AT20" s="224">
        <v>102</v>
      </c>
      <c r="AU20" s="224">
        <v>109</v>
      </c>
      <c r="AV20" s="224">
        <v>139</v>
      </c>
      <c r="AW20" s="224">
        <v>144</v>
      </c>
      <c r="AX20" s="224">
        <v>88</v>
      </c>
      <c r="AY20" s="224">
        <v>81</v>
      </c>
      <c r="AZ20" s="224">
        <v>98</v>
      </c>
      <c r="BA20" s="224">
        <v>71</v>
      </c>
      <c r="BB20" s="224">
        <v>75</v>
      </c>
      <c r="BC20" s="224">
        <v>70</v>
      </c>
      <c r="BD20" s="224">
        <v>75</v>
      </c>
      <c r="BE20" s="224">
        <v>78</v>
      </c>
      <c r="BF20" s="224">
        <v>70</v>
      </c>
      <c r="BG20" s="224"/>
      <c r="BH20" s="224"/>
      <c r="BI20" s="224"/>
      <c r="BJ20" s="224">
        <v>60</v>
      </c>
      <c r="BK20" s="224">
        <f>18+8+43+7</f>
        <v>76</v>
      </c>
      <c r="BL20" s="224">
        <f>18+10+48+8</f>
        <v>84</v>
      </c>
      <c r="BM20" s="224">
        <f>14+9+46+8</f>
        <v>77</v>
      </c>
      <c r="BN20" s="224">
        <v>66</v>
      </c>
      <c r="BO20" s="224">
        <v>46</v>
      </c>
      <c r="BP20" s="224">
        <v>41</v>
      </c>
      <c r="BQ20" s="224">
        <v>39</v>
      </c>
      <c r="BR20" s="224">
        <v>40</v>
      </c>
      <c r="BS20" s="224">
        <v>32</v>
      </c>
      <c r="BT20" s="224">
        <v>45</v>
      </c>
      <c r="BU20" s="224">
        <v>40</v>
      </c>
      <c r="BV20" s="224">
        <v>36</v>
      </c>
    </row>
    <row r="21" spans="1:74"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c r="AP21" s="224">
        <v>8</v>
      </c>
      <c r="AQ21" s="224">
        <v>5</v>
      </c>
      <c r="AR21" s="224">
        <v>4</v>
      </c>
      <c r="AS21" s="224">
        <v>5</v>
      </c>
      <c r="AT21" s="224">
        <v>7</v>
      </c>
      <c r="AU21" s="224">
        <v>6</v>
      </c>
      <c r="AV21" s="224">
        <v>6</v>
      </c>
      <c r="AW21" s="224">
        <v>6</v>
      </c>
      <c r="AX21" s="224">
        <v>3</v>
      </c>
      <c r="AY21" s="224">
        <v>3</v>
      </c>
      <c r="AZ21" s="224">
        <v>3</v>
      </c>
      <c r="BA21" s="224">
        <v>1</v>
      </c>
      <c r="BB21" s="224">
        <v>3</v>
      </c>
      <c r="BC21" s="224">
        <v>3</v>
      </c>
      <c r="BD21" s="224">
        <v>3</v>
      </c>
      <c r="BE21" s="224">
        <v>1</v>
      </c>
      <c r="BF21" s="224">
        <v>1</v>
      </c>
      <c r="BG21" s="224"/>
      <c r="BH21" s="224"/>
      <c r="BI21" s="224"/>
      <c r="BJ21" s="224">
        <v>1</v>
      </c>
      <c r="BK21" s="224">
        <f>2</f>
        <v>2</v>
      </c>
      <c r="BL21" s="224">
        <f>1</f>
        <v>1</v>
      </c>
      <c r="BM21" s="224">
        <v>1</v>
      </c>
      <c r="BN21" s="224">
        <v>1</v>
      </c>
      <c r="BO21" s="224">
        <v>3</v>
      </c>
      <c r="BP21" s="224">
        <v>2</v>
      </c>
      <c r="BQ21" s="224">
        <v>2</v>
      </c>
      <c r="BR21" s="224">
        <v>3</v>
      </c>
      <c r="BS21" s="224">
        <v>4</v>
      </c>
      <c r="BT21" s="224">
        <v>3</v>
      </c>
      <c r="BU21" s="224">
        <v>3</v>
      </c>
      <c r="BV21" s="224">
        <v>3</v>
      </c>
    </row>
    <row r="22" spans="1:74" x14ac:dyDescent="0.25">
      <c r="B22" s="35" t="s">
        <v>41</v>
      </c>
      <c r="C22" s="131">
        <f>SUM(C17:C21)</f>
        <v>16349</v>
      </c>
      <c r="D22" s="71">
        <f>SUM(D17:D21)</f>
        <v>15388</v>
      </c>
      <c r="E22" s="71">
        <f t="shared" ref="E22:V22" si="11">SUM(E17:E21)</f>
        <v>17061</v>
      </c>
      <c r="F22" s="71">
        <f t="shared" si="11"/>
        <v>15726</v>
      </c>
      <c r="G22" s="71">
        <f t="shared" si="11"/>
        <v>16019</v>
      </c>
      <c r="H22" s="71">
        <f t="shared" si="11"/>
        <v>15272</v>
      </c>
      <c r="I22" s="71">
        <f t="shared" si="11"/>
        <v>16337</v>
      </c>
      <c r="J22" s="71">
        <f t="shared" si="11"/>
        <v>15860</v>
      </c>
      <c r="K22" s="71">
        <f t="shared" si="11"/>
        <v>13249</v>
      </c>
      <c r="L22" s="162">
        <f t="shared" si="11"/>
        <v>15159</v>
      </c>
      <c r="M22" s="71">
        <f t="shared" si="11"/>
        <v>14737</v>
      </c>
      <c r="N22" s="71">
        <f t="shared" si="11"/>
        <v>17332</v>
      </c>
      <c r="O22" s="71">
        <f t="shared" si="11"/>
        <v>16745</v>
      </c>
      <c r="P22" s="71">
        <f t="shared" si="11"/>
        <v>16018</v>
      </c>
      <c r="Q22" s="71">
        <f t="shared" si="11"/>
        <v>17125</v>
      </c>
      <c r="R22" s="71">
        <f t="shared" si="11"/>
        <v>16922</v>
      </c>
      <c r="S22" s="71">
        <f t="shared" si="11"/>
        <v>15016</v>
      </c>
      <c r="T22" s="71">
        <f t="shared" si="11"/>
        <v>15605</v>
      </c>
      <c r="U22" s="172">
        <f t="shared" si="11"/>
        <v>15499</v>
      </c>
      <c r="V22" s="172">
        <f t="shared" si="11"/>
        <v>14352</v>
      </c>
      <c r="W22" s="172">
        <f>SUM(W17:W21)</f>
        <v>13281</v>
      </c>
      <c r="X22" s="172">
        <f t="shared" ref="X22:AG22" si="12">SUM(X17:X21)</f>
        <v>17876</v>
      </c>
      <c r="Y22" s="172">
        <f t="shared" si="12"/>
        <v>15209</v>
      </c>
      <c r="Z22" s="172">
        <f t="shared" si="12"/>
        <v>16531</v>
      </c>
      <c r="AA22" s="172">
        <f t="shared" si="12"/>
        <v>17156</v>
      </c>
      <c r="AB22" s="251">
        <f t="shared" si="12"/>
        <v>16149</v>
      </c>
      <c r="AC22" s="251">
        <f t="shared" si="12"/>
        <v>15894</v>
      </c>
      <c r="AD22" s="251">
        <f t="shared" si="12"/>
        <v>16910</v>
      </c>
      <c r="AE22" s="251">
        <f t="shared" si="12"/>
        <v>15982</v>
      </c>
      <c r="AF22" s="251">
        <f t="shared" si="12"/>
        <v>15634</v>
      </c>
      <c r="AG22" s="251">
        <f t="shared" si="12"/>
        <v>14455</v>
      </c>
      <c r="AH22" s="251">
        <f t="shared" ref="AH22:BC22" si="13">SUM(AH17:AH21)</f>
        <v>15780</v>
      </c>
      <c r="AI22" s="251">
        <f t="shared" si="13"/>
        <v>18382</v>
      </c>
      <c r="AJ22" s="251">
        <f t="shared" si="13"/>
        <v>17215</v>
      </c>
      <c r="AK22" s="251">
        <f t="shared" si="13"/>
        <v>17871</v>
      </c>
      <c r="AL22" s="251">
        <f t="shared" si="13"/>
        <v>18220</v>
      </c>
      <c r="AM22" s="251">
        <f t="shared" si="13"/>
        <v>18828</v>
      </c>
      <c r="AN22" s="251">
        <f t="shared" si="13"/>
        <v>18501</v>
      </c>
      <c r="AO22" s="251">
        <f t="shared" si="13"/>
        <v>18307</v>
      </c>
      <c r="AP22" s="251">
        <f t="shared" si="13"/>
        <v>18424</v>
      </c>
      <c r="AQ22" s="251">
        <f t="shared" si="13"/>
        <v>16130</v>
      </c>
      <c r="AR22" s="251">
        <f t="shared" si="13"/>
        <v>16881</v>
      </c>
      <c r="AS22" s="251">
        <f t="shared" si="13"/>
        <v>16168</v>
      </c>
      <c r="AT22" s="251">
        <f t="shared" si="13"/>
        <v>16412</v>
      </c>
      <c r="AU22" s="251">
        <f t="shared" si="13"/>
        <v>15933</v>
      </c>
      <c r="AV22" s="251">
        <f t="shared" si="13"/>
        <v>17046</v>
      </c>
      <c r="AW22" s="251">
        <f t="shared" si="13"/>
        <v>19408</v>
      </c>
      <c r="AX22" s="251">
        <f t="shared" si="13"/>
        <v>18410</v>
      </c>
      <c r="AY22" s="251">
        <f t="shared" si="13"/>
        <v>17956</v>
      </c>
      <c r="AZ22" s="251">
        <f t="shared" si="13"/>
        <v>18275</v>
      </c>
      <c r="BA22" s="251">
        <f t="shared" si="13"/>
        <v>17742</v>
      </c>
      <c r="BB22" s="251">
        <f t="shared" si="13"/>
        <v>17982</v>
      </c>
      <c r="BC22" s="251">
        <f t="shared" si="13"/>
        <v>16666</v>
      </c>
      <c r="BD22" s="251">
        <f t="shared" ref="BD22:BV22" si="14">SUM(BD17:BD21)</f>
        <v>17806</v>
      </c>
      <c r="BE22" s="251">
        <f t="shared" si="14"/>
        <v>18415</v>
      </c>
      <c r="BF22" s="251">
        <f t="shared" si="14"/>
        <v>15540</v>
      </c>
      <c r="BG22" s="251">
        <f t="shared" si="14"/>
        <v>0</v>
      </c>
      <c r="BH22" s="251">
        <f t="shared" si="14"/>
        <v>14688</v>
      </c>
      <c r="BI22" s="251">
        <f t="shared" si="14"/>
        <v>14281</v>
      </c>
      <c r="BJ22" s="251">
        <f t="shared" si="14"/>
        <v>13745</v>
      </c>
      <c r="BK22" s="251">
        <f t="shared" si="14"/>
        <v>13574</v>
      </c>
      <c r="BL22" s="251">
        <f t="shared" si="14"/>
        <v>13913</v>
      </c>
      <c r="BM22" s="251">
        <f t="shared" si="14"/>
        <v>12755</v>
      </c>
      <c r="BN22" s="251">
        <f t="shared" si="14"/>
        <v>11269</v>
      </c>
      <c r="BO22" s="251">
        <f t="shared" si="14"/>
        <v>14872</v>
      </c>
      <c r="BP22" s="251">
        <f t="shared" si="14"/>
        <v>15177</v>
      </c>
      <c r="BQ22" s="251">
        <f t="shared" si="14"/>
        <v>15031</v>
      </c>
      <c r="BR22" s="251">
        <f t="shared" si="14"/>
        <v>14343</v>
      </c>
      <c r="BS22" s="251">
        <f t="shared" si="14"/>
        <v>15466</v>
      </c>
      <c r="BT22" s="251">
        <f t="shared" si="14"/>
        <v>14968</v>
      </c>
      <c r="BU22" s="251">
        <f t="shared" si="14"/>
        <v>14098</v>
      </c>
      <c r="BV22" s="251">
        <f t="shared" si="14"/>
        <v>13722</v>
      </c>
    </row>
    <row r="23" spans="1:74"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row>
    <row r="24" spans="1:74"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c r="AP24" s="224">
        <v>8454</v>
      </c>
      <c r="AQ24" s="224">
        <v>8300</v>
      </c>
      <c r="AR24" s="224">
        <v>8269</v>
      </c>
      <c r="AS24" s="224">
        <v>7942</v>
      </c>
      <c r="AT24" s="224">
        <v>8345</v>
      </c>
      <c r="AU24" s="224">
        <v>8238</v>
      </c>
      <c r="AV24" s="224">
        <v>7988</v>
      </c>
      <c r="AW24" s="224">
        <v>7390</v>
      </c>
      <c r="AX24" s="224">
        <v>6564</v>
      </c>
      <c r="AY24" s="224">
        <v>7029</v>
      </c>
      <c r="AZ24" s="224">
        <v>7148</v>
      </c>
      <c r="BA24" s="224">
        <v>8442</v>
      </c>
      <c r="BB24" s="224">
        <v>8524</v>
      </c>
      <c r="BC24" s="224">
        <v>8837</v>
      </c>
      <c r="BD24" s="224">
        <v>8838</v>
      </c>
      <c r="BE24" s="224">
        <v>8931</v>
      </c>
      <c r="BF24" s="224">
        <v>9077</v>
      </c>
      <c r="BG24" s="224"/>
      <c r="BH24" s="224">
        <v>11208</v>
      </c>
      <c r="BI24" s="224">
        <v>11530</v>
      </c>
      <c r="BJ24" s="224">
        <v>7642</v>
      </c>
      <c r="BK24" s="224">
        <f>365+7148+2</f>
        <v>7515</v>
      </c>
      <c r="BL24" s="224">
        <f>385+8007+26</f>
        <v>8418</v>
      </c>
      <c r="BM24" s="224">
        <f>345+6141+26</f>
        <v>6512</v>
      </c>
      <c r="BN24" s="224">
        <v>7967</v>
      </c>
      <c r="BO24" s="224">
        <v>7169</v>
      </c>
      <c r="BP24" s="224">
        <v>7940</v>
      </c>
      <c r="BQ24" s="224">
        <v>7595</v>
      </c>
      <c r="BR24" s="224">
        <v>5881</v>
      </c>
      <c r="BS24" s="224">
        <v>6746</v>
      </c>
      <c r="BT24" s="224">
        <v>7900</v>
      </c>
      <c r="BU24" s="224">
        <v>7785</v>
      </c>
      <c r="BV24" s="224">
        <v>7688</v>
      </c>
    </row>
    <row r="25" spans="1:74"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c r="AP25" s="224">
        <v>4251</v>
      </c>
      <c r="AQ25" s="224">
        <v>4133</v>
      </c>
      <c r="AR25" s="224">
        <v>4317</v>
      </c>
      <c r="AS25" s="224">
        <v>4155</v>
      </c>
      <c r="AT25" s="224">
        <v>3992</v>
      </c>
      <c r="AU25" s="224">
        <v>3989</v>
      </c>
      <c r="AV25" s="224">
        <v>3991</v>
      </c>
      <c r="AW25" s="224">
        <v>3883</v>
      </c>
      <c r="AX25" s="224">
        <v>3081</v>
      </c>
      <c r="AY25" s="224">
        <v>3058</v>
      </c>
      <c r="AZ25" s="224">
        <v>3135</v>
      </c>
      <c r="BA25" s="224">
        <v>3727</v>
      </c>
      <c r="BB25" s="224">
        <v>3734</v>
      </c>
      <c r="BC25" s="224">
        <v>3188</v>
      </c>
      <c r="BD25" s="224">
        <v>3314</v>
      </c>
      <c r="BE25" s="224">
        <v>3693</v>
      </c>
      <c r="BF25" s="224">
        <v>3320</v>
      </c>
      <c r="BG25" s="224"/>
      <c r="BH25" s="224"/>
      <c r="BI25" s="224"/>
      <c r="BJ25" s="224">
        <v>1752</v>
      </c>
      <c r="BK25" s="224">
        <f>48+1647</f>
        <v>1695</v>
      </c>
      <c r="BL25" s="224">
        <f>57+1910</f>
        <v>1967</v>
      </c>
      <c r="BM25" s="224">
        <f>77+2812</f>
        <v>2889</v>
      </c>
      <c r="BN25" s="224">
        <v>3145</v>
      </c>
      <c r="BO25" s="224">
        <v>2847</v>
      </c>
      <c r="BP25" s="224">
        <v>3271</v>
      </c>
      <c r="BQ25" s="224">
        <v>3173</v>
      </c>
      <c r="BR25" s="224">
        <v>2598</v>
      </c>
      <c r="BS25" s="224">
        <v>2860</v>
      </c>
      <c r="BT25" s="224">
        <v>3664</v>
      </c>
      <c r="BU25" s="224">
        <v>3912</v>
      </c>
      <c r="BV25" s="224">
        <v>3891</v>
      </c>
    </row>
    <row r="26" spans="1:74"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c r="AP26" s="224">
        <v>379</v>
      </c>
      <c r="AQ26" s="224">
        <v>345</v>
      </c>
      <c r="AR26" s="224">
        <v>323</v>
      </c>
      <c r="AS26" s="224">
        <v>311</v>
      </c>
      <c r="AT26" s="224">
        <v>331</v>
      </c>
      <c r="AU26" s="224">
        <v>309</v>
      </c>
      <c r="AV26" s="224">
        <v>328</v>
      </c>
      <c r="AW26" s="224">
        <v>258</v>
      </c>
      <c r="AX26" s="224">
        <v>218</v>
      </c>
      <c r="AY26" s="224">
        <v>255</v>
      </c>
      <c r="AZ26" s="224">
        <v>293</v>
      </c>
      <c r="BA26" s="224">
        <v>258</v>
      </c>
      <c r="BB26" s="224">
        <v>253</v>
      </c>
      <c r="BC26" s="224">
        <v>265</v>
      </c>
      <c r="BD26" s="224">
        <v>272</v>
      </c>
      <c r="BE26" s="224">
        <v>272</v>
      </c>
      <c r="BF26" s="224">
        <v>277</v>
      </c>
      <c r="BG26" s="224"/>
      <c r="BH26" s="224">
        <v>261</v>
      </c>
      <c r="BI26" s="224">
        <v>274</v>
      </c>
      <c r="BJ26" s="224">
        <v>210</v>
      </c>
      <c r="BK26" s="224">
        <f>175+30+2+4</f>
        <v>211</v>
      </c>
      <c r="BL26" s="224">
        <f>220+35+33+5</f>
        <v>293</v>
      </c>
      <c r="BM26" s="224">
        <f>202+31+33+5</f>
        <v>271</v>
      </c>
      <c r="BN26" s="224">
        <v>343</v>
      </c>
      <c r="BO26" s="224">
        <v>285</v>
      </c>
      <c r="BP26" s="224">
        <v>320</v>
      </c>
      <c r="BQ26" s="224">
        <v>304</v>
      </c>
      <c r="BR26" s="224">
        <v>222</v>
      </c>
      <c r="BS26" s="224">
        <v>279</v>
      </c>
      <c r="BT26" s="224">
        <v>374</v>
      </c>
      <c r="BU26" s="224">
        <v>357</v>
      </c>
      <c r="BV26" s="224">
        <v>349</v>
      </c>
    </row>
    <row r="27" spans="1:74"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c r="AP27" s="224">
        <v>38</v>
      </c>
      <c r="AQ27" s="224">
        <v>28</v>
      </c>
      <c r="AR27" s="224">
        <v>32</v>
      </c>
      <c r="AS27" s="224">
        <v>29</v>
      </c>
      <c r="AT27" s="224">
        <v>32</v>
      </c>
      <c r="AU27" s="224">
        <v>34</v>
      </c>
      <c r="AV27" s="224">
        <v>37</v>
      </c>
      <c r="AW27" s="224">
        <v>33</v>
      </c>
      <c r="AX27" s="224">
        <v>22</v>
      </c>
      <c r="AY27" s="224">
        <v>24</v>
      </c>
      <c r="AZ27" s="224">
        <v>33</v>
      </c>
      <c r="BA27" s="224">
        <v>28</v>
      </c>
      <c r="BB27" s="224">
        <v>23</v>
      </c>
      <c r="BC27" s="224">
        <v>23</v>
      </c>
      <c r="BD27" s="224">
        <v>26</v>
      </c>
      <c r="BE27" s="224">
        <v>31</v>
      </c>
      <c r="BF27" s="224">
        <v>32</v>
      </c>
      <c r="BG27" s="224"/>
      <c r="BH27" s="224"/>
      <c r="BI27" s="224"/>
      <c r="BJ27" s="224">
        <v>18</v>
      </c>
      <c r="BK27" s="224">
        <f>8+4+13</f>
        <v>25</v>
      </c>
      <c r="BL27" s="224">
        <f>8+5+20</f>
        <v>33</v>
      </c>
      <c r="BM27" s="224">
        <f>9+5+20</f>
        <v>34</v>
      </c>
      <c r="BN27" s="224">
        <v>43</v>
      </c>
      <c r="BO27" s="224">
        <v>25</v>
      </c>
      <c r="BP27" s="224">
        <v>27</v>
      </c>
      <c r="BQ27" s="224">
        <v>23</v>
      </c>
      <c r="BR27" s="224">
        <v>19</v>
      </c>
      <c r="BS27" s="224">
        <v>19</v>
      </c>
      <c r="BT27" s="224">
        <v>30</v>
      </c>
      <c r="BU27" s="224">
        <v>25</v>
      </c>
      <c r="BV27" s="224">
        <v>28</v>
      </c>
    </row>
    <row r="28" spans="1:74"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c r="AP28" s="224">
        <v>1</v>
      </c>
      <c r="AQ28" s="224">
        <v>0</v>
      </c>
      <c r="AR28" s="224">
        <v>0</v>
      </c>
      <c r="AS28" s="224">
        <v>1</v>
      </c>
      <c r="AT28" s="224">
        <v>0</v>
      </c>
      <c r="AU28" s="224">
        <v>0</v>
      </c>
      <c r="AV28" s="224">
        <v>0</v>
      </c>
      <c r="AW28" s="224">
        <v>0</v>
      </c>
      <c r="AX28" s="224">
        <v>0</v>
      </c>
      <c r="AY28" s="224">
        <v>0</v>
      </c>
      <c r="AZ28" s="224">
        <v>0</v>
      </c>
      <c r="BA28" s="224">
        <v>0</v>
      </c>
      <c r="BB28" s="224">
        <v>0</v>
      </c>
      <c r="BC28" s="224">
        <v>0</v>
      </c>
      <c r="BD28" s="224">
        <v>0</v>
      </c>
      <c r="BE28" s="224">
        <v>0</v>
      </c>
      <c r="BF28" s="224">
        <v>0</v>
      </c>
      <c r="BG28" s="224"/>
      <c r="BH28" s="224"/>
      <c r="BI28" s="224"/>
      <c r="BJ28" s="224">
        <v>1</v>
      </c>
      <c r="BK28" s="224">
        <f>1</f>
        <v>1</v>
      </c>
      <c r="BL28" s="224">
        <v>1</v>
      </c>
      <c r="BM28" s="224">
        <v>1</v>
      </c>
      <c r="BN28" s="224">
        <v>1</v>
      </c>
      <c r="BO28" s="224">
        <v>1</v>
      </c>
      <c r="BP28" s="224">
        <v>1</v>
      </c>
      <c r="BQ28" s="224">
        <v>1</v>
      </c>
      <c r="BR28" s="224">
        <v>1</v>
      </c>
      <c r="BS28" s="224">
        <v>1</v>
      </c>
      <c r="BT28" s="224">
        <v>1</v>
      </c>
      <c r="BU28" s="224">
        <v>1</v>
      </c>
      <c r="BV28" s="224">
        <v>2</v>
      </c>
    </row>
    <row r="29" spans="1:74"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BC29" si="16">SUM(AH24:AH28)</f>
        <v>12359</v>
      </c>
      <c r="AI29" s="251">
        <f t="shared" si="16"/>
        <v>12829</v>
      </c>
      <c r="AJ29" s="251">
        <f t="shared" si="16"/>
        <v>12391</v>
      </c>
      <c r="AK29" s="251">
        <f t="shared" si="16"/>
        <v>11825</v>
      </c>
      <c r="AL29" s="251">
        <f t="shared" si="16"/>
        <v>12043</v>
      </c>
      <c r="AM29" s="251">
        <f t="shared" si="16"/>
        <v>12202</v>
      </c>
      <c r="AN29" s="251">
        <f t="shared" si="16"/>
        <v>12805</v>
      </c>
      <c r="AO29" s="251">
        <f t="shared" si="16"/>
        <v>12301</v>
      </c>
      <c r="AP29" s="251">
        <f t="shared" si="16"/>
        <v>13123</v>
      </c>
      <c r="AQ29" s="251">
        <f t="shared" si="16"/>
        <v>12806</v>
      </c>
      <c r="AR29" s="251">
        <f t="shared" si="16"/>
        <v>12941</v>
      </c>
      <c r="AS29" s="251">
        <f t="shared" si="16"/>
        <v>12438</v>
      </c>
      <c r="AT29" s="251">
        <f t="shared" si="16"/>
        <v>12700</v>
      </c>
      <c r="AU29" s="251">
        <f t="shared" si="16"/>
        <v>12570</v>
      </c>
      <c r="AV29" s="251">
        <f t="shared" si="16"/>
        <v>12344</v>
      </c>
      <c r="AW29" s="251">
        <f t="shared" si="16"/>
        <v>11564</v>
      </c>
      <c r="AX29" s="251">
        <f t="shared" si="16"/>
        <v>9885</v>
      </c>
      <c r="AY29" s="251">
        <f t="shared" si="16"/>
        <v>10366</v>
      </c>
      <c r="AZ29" s="251">
        <f t="shared" si="16"/>
        <v>10609</v>
      </c>
      <c r="BA29" s="251">
        <f t="shared" si="16"/>
        <v>12455</v>
      </c>
      <c r="BB29" s="251">
        <f t="shared" si="16"/>
        <v>12534</v>
      </c>
      <c r="BC29" s="251">
        <f t="shared" si="16"/>
        <v>12313</v>
      </c>
      <c r="BD29" s="251">
        <f t="shared" ref="BD29:BV29" si="17">SUM(BD24:BD28)</f>
        <v>12450</v>
      </c>
      <c r="BE29" s="251">
        <f t="shared" si="17"/>
        <v>12927</v>
      </c>
      <c r="BF29" s="251">
        <f t="shared" si="17"/>
        <v>12706</v>
      </c>
      <c r="BG29" s="251">
        <f t="shared" si="17"/>
        <v>0</v>
      </c>
      <c r="BH29" s="251">
        <f t="shared" si="17"/>
        <v>11469</v>
      </c>
      <c r="BI29" s="251">
        <f t="shared" si="17"/>
        <v>11804</v>
      </c>
      <c r="BJ29" s="251">
        <f t="shared" si="17"/>
        <v>9623</v>
      </c>
      <c r="BK29" s="251">
        <f t="shared" si="17"/>
        <v>9447</v>
      </c>
      <c r="BL29" s="251">
        <f t="shared" si="17"/>
        <v>10712</v>
      </c>
      <c r="BM29" s="251">
        <f t="shared" si="17"/>
        <v>9707</v>
      </c>
      <c r="BN29" s="251">
        <f t="shared" si="17"/>
        <v>11499</v>
      </c>
      <c r="BO29" s="251">
        <f t="shared" si="17"/>
        <v>10327</v>
      </c>
      <c r="BP29" s="251">
        <f t="shared" si="17"/>
        <v>11559</v>
      </c>
      <c r="BQ29" s="251">
        <f t="shared" si="17"/>
        <v>11096</v>
      </c>
      <c r="BR29" s="251">
        <f t="shared" si="17"/>
        <v>8721</v>
      </c>
      <c r="BS29" s="251">
        <f t="shared" si="17"/>
        <v>9905</v>
      </c>
      <c r="BT29" s="251">
        <f t="shared" si="17"/>
        <v>11969</v>
      </c>
      <c r="BU29" s="251">
        <f t="shared" si="17"/>
        <v>12080</v>
      </c>
      <c r="BV29" s="251">
        <f t="shared" si="17"/>
        <v>11958</v>
      </c>
    </row>
    <row r="30" spans="1:74"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row>
    <row r="31" spans="1:74"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c r="AP31" s="224">
        <v>7335</v>
      </c>
      <c r="AQ31" s="224">
        <v>7273</v>
      </c>
      <c r="AR31" s="224">
        <v>7319</v>
      </c>
      <c r="AS31" s="224">
        <v>7169</v>
      </c>
      <c r="AT31" s="224">
        <v>7492</v>
      </c>
      <c r="AU31" s="224">
        <v>7617</v>
      </c>
      <c r="AV31" s="224">
        <v>7324</v>
      </c>
      <c r="AW31" s="224">
        <v>7117</v>
      </c>
      <c r="AX31" s="224">
        <v>7155</v>
      </c>
      <c r="AY31" s="224">
        <v>7020</v>
      </c>
      <c r="AZ31" s="224">
        <v>7100</v>
      </c>
      <c r="BA31" s="224">
        <v>6968</v>
      </c>
      <c r="BB31" s="224">
        <v>7004</v>
      </c>
      <c r="BC31" s="224">
        <v>7025</v>
      </c>
      <c r="BD31" s="224">
        <v>7461</v>
      </c>
      <c r="BE31" s="224">
        <v>7463</v>
      </c>
      <c r="BF31" s="224">
        <v>7557</v>
      </c>
      <c r="BG31" s="224"/>
      <c r="BH31" s="224">
        <v>9043</v>
      </c>
      <c r="BI31" s="224">
        <v>9085</v>
      </c>
      <c r="BJ31" s="224">
        <v>6312</v>
      </c>
      <c r="BK31" s="224">
        <f>322+6167</f>
        <v>6489</v>
      </c>
      <c r="BL31" s="224">
        <f>318+6305</f>
        <v>6623</v>
      </c>
      <c r="BM31" s="224">
        <f>298+5326+4</f>
        <v>5628</v>
      </c>
      <c r="BN31" s="224">
        <v>16417</v>
      </c>
      <c r="BO31" s="224">
        <v>16138</v>
      </c>
      <c r="BP31" s="224">
        <v>17187</v>
      </c>
      <c r="BQ31" s="224">
        <v>16556</v>
      </c>
      <c r="BR31" s="224">
        <v>16765</v>
      </c>
      <c r="BS31" s="224">
        <v>17280</v>
      </c>
      <c r="BT31" s="224">
        <v>17499</v>
      </c>
      <c r="BU31" s="224">
        <v>17893</v>
      </c>
      <c r="BV31" s="224">
        <v>16782</v>
      </c>
    </row>
    <row r="32" spans="1:74"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c r="AP32" s="224">
        <v>3583</v>
      </c>
      <c r="AQ32" s="224">
        <v>3463</v>
      </c>
      <c r="AR32" s="224">
        <v>3665</v>
      </c>
      <c r="AS32" s="224">
        <v>3550</v>
      </c>
      <c r="AT32" s="224">
        <v>3481</v>
      </c>
      <c r="AU32" s="224">
        <v>3540</v>
      </c>
      <c r="AV32" s="224">
        <v>3680</v>
      </c>
      <c r="AW32" s="224">
        <v>3529</v>
      </c>
      <c r="AX32" s="224">
        <v>3357</v>
      </c>
      <c r="AY32" s="224">
        <v>3236</v>
      </c>
      <c r="AZ32" s="224">
        <v>3297</v>
      </c>
      <c r="BA32" s="224">
        <v>3221</v>
      </c>
      <c r="BB32" s="224">
        <v>3232</v>
      </c>
      <c r="BC32" s="224">
        <v>2712</v>
      </c>
      <c r="BD32" s="224">
        <v>2896</v>
      </c>
      <c r="BE32" s="224">
        <v>3220</v>
      </c>
      <c r="BF32" s="224">
        <v>2967</v>
      </c>
      <c r="BG32" s="224"/>
      <c r="BH32" s="224"/>
      <c r="BI32" s="224"/>
      <c r="BJ32" s="224">
        <v>1539</v>
      </c>
      <c r="BK32" s="224">
        <f>50+1557</f>
        <v>1607</v>
      </c>
      <c r="BL32" s="224">
        <f>50+1638</f>
        <v>1688</v>
      </c>
      <c r="BM32" s="224">
        <f>70+2638</f>
        <v>2708</v>
      </c>
      <c r="BN32" s="224">
        <v>7682</v>
      </c>
      <c r="BO32" s="224">
        <v>7578</v>
      </c>
      <c r="BP32" s="224">
        <v>8204</v>
      </c>
      <c r="BQ32" s="224">
        <v>7914</v>
      </c>
      <c r="BR32" s="224">
        <v>6805</v>
      </c>
      <c r="BS32" s="224">
        <v>6950</v>
      </c>
      <c r="BT32" s="224">
        <v>7117</v>
      </c>
      <c r="BU32" s="224">
        <v>7503</v>
      </c>
      <c r="BV32" s="224">
        <v>7135</v>
      </c>
    </row>
    <row r="33" spans="1:74"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c r="AP33" s="224">
        <v>282</v>
      </c>
      <c r="AQ33" s="224">
        <v>268</v>
      </c>
      <c r="AR33" s="224">
        <v>271</v>
      </c>
      <c r="AS33" s="224">
        <v>261</v>
      </c>
      <c r="AT33" s="224">
        <v>275</v>
      </c>
      <c r="AU33" s="224">
        <v>265</v>
      </c>
      <c r="AV33" s="224">
        <v>235</v>
      </c>
      <c r="AW33" s="224">
        <v>219</v>
      </c>
      <c r="AX33" s="224">
        <v>228</v>
      </c>
      <c r="AY33" s="224">
        <v>216</v>
      </c>
      <c r="AZ33" s="224">
        <v>214</v>
      </c>
      <c r="BA33" s="224">
        <v>201</v>
      </c>
      <c r="BB33" s="224">
        <v>203</v>
      </c>
      <c r="BC33" s="224">
        <v>212</v>
      </c>
      <c r="BD33" s="224">
        <v>223</v>
      </c>
      <c r="BE33" s="224">
        <v>223</v>
      </c>
      <c r="BF33" s="224">
        <v>218</v>
      </c>
      <c r="BG33" s="224"/>
      <c r="BH33" s="224">
        <v>190</v>
      </c>
      <c r="BI33" s="224">
        <v>182</v>
      </c>
      <c r="BJ33" s="224">
        <v>151</v>
      </c>
      <c r="BK33" s="224">
        <f>139+25+2</f>
        <v>166</v>
      </c>
      <c r="BL33" s="224">
        <f>142+25+2</f>
        <v>169</v>
      </c>
      <c r="BM33" s="224">
        <f>142+26+2</f>
        <v>170</v>
      </c>
      <c r="BN33" s="224">
        <v>452</v>
      </c>
      <c r="BO33" s="224">
        <v>460</v>
      </c>
      <c r="BP33" s="224">
        <v>526</v>
      </c>
      <c r="BQ33" s="224">
        <v>503</v>
      </c>
      <c r="BR33" s="224">
        <v>540</v>
      </c>
      <c r="BS33" s="224">
        <v>596</v>
      </c>
      <c r="BT33" s="224">
        <v>632</v>
      </c>
      <c r="BU33" s="224">
        <v>620</v>
      </c>
      <c r="BV33" s="224">
        <v>566</v>
      </c>
    </row>
    <row r="34" spans="1:74"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c r="AP34" s="224">
        <v>18</v>
      </c>
      <c r="AQ34" s="224">
        <v>18</v>
      </c>
      <c r="AR34" s="224">
        <v>19</v>
      </c>
      <c r="AS34" s="224">
        <v>17</v>
      </c>
      <c r="AT34" s="224">
        <v>13</v>
      </c>
      <c r="AU34" s="224">
        <v>13</v>
      </c>
      <c r="AV34" s="224">
        <v>17</v>
      </c>
      <c r="AW34" s="224">
        <v>17</v>
      </c>
      <c r="AX34" s="224">
        <v>14</v>
      </c>
      <c r="AY34" s="224">
        <v>12</v>
      </c>
      <c r="AZ34" s="224">
        <v>13</v>
      </c>
      <c r="BA34" s="224">
        <v>12</v>
      </c>
      <c r="BB34" s="224">
        <v>13</v>
      </c>
      <c r="BC34" s="224">
        <v>13</v>
      </c>
      <c r="BD34" s="224">
        <v>12</v>
      </c>
      <c r="BE34" s="224">
        <v>11</v>
      </c>
      <c r="BF34" s="224">
        <v>13</v>
      </c>
      <c r="BG34" s="224"/>
      <c r="BH34" s="224"/>
      <c r="BI34" s="224"/>
      <c r="BJ34" s="224">
        <v>10</v>
      </c>
      <c r="BK34" s="224">
        <f>5+3+5</f>
        <v>13</v>
      </c>
      <c r="BL34" s="224">
        <f>5+4+7</f>
        <v>16</v>
      </c>
      <c r="BM34" s="224">
        <f>5+4+7</f>
        <v>16</v>
      </c>
      <c r="BN34" s="224">
        <v>32</v>
      </c>
      <c r="BO34" s="224">
        <v>30</v>
      </c>
      <c r="BP34" s="224">
        <v>29</v>
      </c>
      <c r="BQ34" s="224">
        <v>28</v>
      </c>
      <c r="BR34" s="224">
        <v>32</v>
      </c>
      <c r="BS34" s="224">
        <v>30</v>
      </c>
      <c r="BT34" s="224">
        <v>38</v>
      </c>
      <c r="BU34" s="224">
        <v>42</v>
      </c>
      <c r="BV34" s="224">
        <v>41</v>
      </c>
    </row>
    <row r="35" spans="1:74"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c r="AP35" s="224">
        <v>0</v>
      </c>
      <c r="AQ35" s="224">
        <v>0</v>
      </c>
      <c r="AR35" s="224">
        <v>0</v>
      </c>
      <c r="AS35" s="224">
        <v>0</v>
      </c>
      <c r="AT35" s="224">
        <v>0</v>
      </c>
      <c r="AU35" s="224">
        <v>0</v>
      </c>
      <c r="AV35" s="224">
        <v>0</v>
      </c>
      <c r="AW35" s="224">
        <v>0</v>
      </c>
      <c r="AX35" s="224">
        <v>0</v>
      </c>
      <c r="AY35" s="224">
        <v>0</v>
      </c>
      <c r="AZ35" s="224">
        <v>0</v>
      </c>
      <c r="BA35" s="224">
        <v>0</v>
      </c>
      <c r="BB35" s="224">
        <v>0</v>
      </c>
      <c r="BC35" s="224">
        <v>0</v>
      </c>
      <c r="BD35" s="224">
        <v>0</v>
      </c>
      <c r="BE35" s="224">
        <v>0</v>
      </c>
      <c r="BF35" s="224">
        <v>0</v>
      </c>
      <c r="BG35" s="224"/>
      <c r="BH35" s="224"/>
      <c r="BI35" s="224"/>
      <c r="BJ35" s="224">
        <v>0</v>
      </c>
      <c r="BK35" s="224">
        <v>0</v>
      </c>
      <c r="BL35" s="224">
        <v>0</v>
      </c>
      <c r="BM35" s="224">
        <v>0</v>
      </c>
      <c r="BN35" s="224">
        <v>1</v>
      </c>
      <c r="BO35" s="224">
        <v>1</v>
      </c>
      <c r="BP35" s="224">
        <v>1</v>
      </c>
      <c r="BQ35" s="224">
        <v>1</v>
      </c>
      <c r="BR35" s="224">
        <v>1</v>
      </c>
      <c r="BS35" s="224">
        <v>2</v>
      </c>
      <c r="BT35" s="224">
        <v>2</v>
      </c>
      <c r="BU35" s="224">
        <v>2</v>
      </c>
      <c r="BV35" s="224">
        <v>2</v>
      </c>
    </row>
    <row r="36" spans="1:74" ht="15.75" thickBot="1" x14ac:dyDescent="0.3">
      <c r="A36" s="4"/>
      <c r="B36" s="37" t="s">
        <v>41</v>
      </c>
      <c r="C36" s="122">
        <f>SUM(C31:C35)</f>
        <v>6990</v>
      </c>
      <c r="D36" s="60">
        <f>SUM(D31:D35)</f>
        <v>7375</v>
      </c>
      <c r="E36" s="60">
        <f t="shared" ref="E36:V36" si="18">SUM(E31:E35)</f>
        <v>7578</v>
      </c>
      <c r="F36" s="60">
        <f t="shared" si="18"/>
        <v>7547</v>
      </c>
      <c r="G36" s="60">
        <f t="shared" si="18"/>
        <v>8001</v>
      </c>
      <c r="H36" s="60">
        <f t="shared" si="18"/>
        <v>8286</v>
      </c>
      <c r="I36" s="60">
        <f t="shared" si="18"/>
        <v>8730</v>
      </c>
      <c r="J36" s="60">
        <f t="shared" si="18"/>
        <v>8594</v>
      </c>
      <c r="K36" s="60">
        <f t="shared" si="18"/>
        <v>8781</v>
      </c>
      <c r="L36" s="163">
        <f t="shared" si="18"/>
        <v>8874</v>
      </c>
      <c r="M36" s="60">
        <f t="shared" si="18"/>
        <v>8839</v>
      </c>
      <c r="N36" s="60">
        <f t="shared" si="18"/>
        <v>8574</v>
      </c>
      <c r="O36" s="60">
        <f t="shared" si="18"/>
        <v>8678</v>
      </c>
      <c r="P36" s="60">
        <f t="shared" si="18"/>
        <v>8848</v>
      </c>
      <c r="Q36" s="60">
        <f t="shared" si="18"/>
        <v>8800</v>
      </c>
      <c r="R36" s="60">
        <f t="shared" si="18"/>
        <v>8746</v>
      </c>
      <c r="S36" s="60">
        <f t="shared" si="18"/>
        <v>8832</v>
      </c>
      <c r="T36" s="60">
        <f t="shared" si="18"/>
        <v>9212</v>
      </c>
      <c r="U36" s="173">
        <f t="shared" si="18"/>
        <v>9905</v>
      </c>
      <c r="V36" s="173">
        <f t="shared" si="18"/>
        <v>10688</v>
      </c>
      <c r="W36" s="173">
        <f>SUM(W31:W35)</f>
        <v>10405</v>
      </c>
      <c r="X36" s="173">
        <f t="shared" ref="X36:AG36" si="19">SUM(X31:X35)</f>
        <v>10863</v>
      </c>
      <c r="Y36" s="173">
        <f t="shared" si="19"/>
        <v>10967</v>
      </c>
      <c r="Z36" s="173">
        <f t="shared" si="19"/>
        <v>11236</v>
      </c>
      <c r="AA36" s="173">
        <f t="shared" si="19"/>
        <v>10926</v>
      </c>
      <c r="AB36" s="252">
        <f t="shared" si="19"/>
        <v>11025</v>
      </c>
      <c r="AC36" s="252">
        <f t="shared" si="19"/>
        <v>11189</v>
      </c>
      <c r="AD36" s="252">
        <f t="shared" si="19"/>
        <v>11362</v>
      </c>
      <c r="AE36" s="252">
        <f t="shared" si="19"/>
        <v>11078</v>
      </c>
      <c r="AF36" s="252">
        <f t="shared" si="19"/>
        <v>10716</v>
      </c>
      <c r="AG36" s="252">
        <f t="shared" si="19"/>
        <v>10794</v>
      </c>
      <c r="AH36" s="252">
        <f t="shared" ref="AH36:BC36" si="20">SUM(AH31:AH35)</f>
        <v>10790</v>
      </c>
      <c r="AI36" s="252">
        <f t="shared" si="20"/>
        <v>11332</v>
      </c>
      <c r="AJ36" s="252">
        <f t="shared" si="20"/>
        <v>11292</v>
      </c>
      <c r="AK36" s="252">
        <f t="shared" si="20"/>
        <v>11266</v>
      </c>
      <c r="AL36" s="252">
        <f t="shared" si="20"/>
        <v>11321</v>
      </c>
      <c r="AM36" s="252">
        <f t="shared" si="20"/>
        <v>10991</v>
      </c>
      <c r="AN36" s="252">
        <f t="shared" si="20"/>
        <v>11100</v>
      </c>
      <c r="AO36" s="252">
        <f t="shared" si="20"/>
        <v>11003</v>
      </c>
      <c r="AP36" s="252">
        <f t="shared" si="20"/>
        <v>11218</v>
      </c>
      <c r="AQ36" s="252">
        <f t="shared" si="20"/>
        <v>11022</v>
      </c>
      <c r="AR36" s="252">
        <f t="shared" si="20"/>
        <v>11274</v>
      </c>
      <c r="AS36" s="252">
        <f t="shared" si="20"/>
        <v>10997</v>
      </c>
      <c r="AT36" s="252">
        <f t="shared" si="20"/>
        <v>11261</v>
      </c>
      <c r="AU36" s="252">
        <f t="shared" si="20"/>
        <v>11435</v>
      </c>
      <c r="AV36" s="252">
        <f t="shared" si="20"/>
        <v>11256</v>
      </c>
      <c r="AW36" s="252">
        <f t="shared" si="20"/>
        <v>10882</v>
      </c>
      <c r="AX36" s="252">
        <f t="shared" si="20"/>
        <v>10754</v>
      </c>
      <c r="AY36" s="252">
        <f t="shared" si="20"/>
        <v>10484</v>
      </c>
      <c r="AZ36" s="252">
        <f t="shared" si="20"/>
        <v>10624</v>
      </c>
      <c r="BA36" s="252">
        <f t="shared" si="20"/>
        <v>10402</v>
      </c>
      <c r="BB36" s="252">
        <f t="shared" si="20"/>
        <v>10452</v>
      </c>
      <c r="BC36" s="252">
        <f t="shared" si="20"/>
        <v>9962</v>
      </c>
      <c r="BD36" s="252">
        <f t="shared" ref="BD36:BV36" si="21">SUM(BD31:BD35)</f>
        <v>10592</v>
      </c>
      <c r="BE36" s="252">
        <f t="shared" si="21"/>
        <v>10917</v>
      </c>
      <c r="BF36" s="252">
        <f t="shared" si="21"/>
        <v>10755</v>
      </c>
      <c r="BG36" s="252">
        <f t="shared" si="21"/>
        <v>0</v>
      </c>
      <c r="BH36" s="252">
        <f t="shared" si="21"/>
        <v>9233</v>
      </c>
      <c r="BI36" s="252">
        <f t="shared" si="21"/>
        <v>9267</v>
      </c>
      <c r="BJ36" s="252">
        <f t="shared" si="21"/>
        <v>8012</v>
      </c>
      <c r="BK36" s="252">
        <f t="shared" si="21"/>
        <v>8275</v>
      </c>
      <c r="BL36" s="252">
        <f t="shared" si="21"/>
        <v>8496</v>
      </c>
      <c r="BM36" s="252">
        <f t="shared" si="21"/>
        <v>8522</v>
      </c>
      <c r="BN36" s="252">
        <f t="shared" si="21"/>
        <v>24584</v>
      </c>
      <c r="BO36" s="252">
        <f t="shared" si="21"/>
        <v>24207</v>
      </c>
      <c r="BP36" s="252">
        <f t="shared" si="21"/>
        <v>25947</v>
      </c>
      <c r="BQ36" s="252">
        <f t="shared" si="21"/>
        <v>25002</v>
      </c>
      <c r="BR36" s="252">
        <f t="shared" si="21"/>
        <v>24143</v>
      </c>
      <c r="BS36" s="252">
        <f t="shared" si="21"/>
        <v>24858</v>
      </c>
      <c r="BT36" s="252">
        <f t="shared" si="21"/>
        <v>25288</v>
      </c>
      <c r="BU36" s="252">
        <f t="shared" si="21"/>
        <v>26060</v>
      </c>
      <c r="BV36" s="252">
        <f t="shared" si="21"/>
        <v>24526</v>
      </c>
    </row>
    <row r="37" spans="1:74"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row>
    <row r="38" spans="1:74"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c r="AP38" s="333">
        <v>891633.66</v>
      </c>
      <c r="AQ38" s="333">
        <v>966703.39</v>
      </c>
      <c r="AR38" s="333">
        <v>1150182.5</v>
      </c>
      <c r="AS38" s="333">
        <v>1122844.1000000001</v>
      </c>
      <c r="AT38" s="333">
        <v>1651767.34</v>
      </c>
      <c r="AU38" s="333">
        <v>1667548.69</v>
      </c>
      <c r="AV38" s="333">
        <v>1846350.44</v>
      </c>
      <c r="AW38" s="333">
        <v>2056307.25</v>
      </c>
      <c r="AX38" s="333">
        <v>2126360.21</v>
      </c>
      <c r="AY38" s="333">
        <v>2040041.95</v>
      </c>
      <c r="AZ38" s="333">
        <v>2083042.46</v>
      </c>
      <c r="BA38" s="333">
        <v>1890605.27</v>
      </c>
      <c r="BB38" s="333">
        <v>1972635.51</v>
      </c>
      <c r="BC38" s="333">
        <v>1873820.27</v>
      </c>
      <c r="BD38" s="333">
        <v>1905512.31</v>
      </c>
      <c r="BE38" s="333">
        <v>1846742.27</v>
      </c>
      <c r="BF38" s="333">
        <v>1544779.26</v>
      </c>
      <c r="BG38" s="333"/>
      <c r="BH38" s="333">
        <v>1837440.64</v>
      </c>
      <c r="BI38" s="333">
        <v>742539.27</v>
      </c>
      <c r="BJ38" s="333">
        <v>1394594</v>
      </c>
      <c r="BK38" s="333">
        <f>17069.6+1217951.28+9504.95</f>
        <v>1244525.83</v>
      </c>
      <c r="BL38" s="333">
        <f>16462.04+1062199.41+15818.39</f>
        <v>1094479.8399999999</v>
      </c>
      <c r="BM38" s="333">
        <f>13964.41+821055.56+15818.39</f>
        <v>850838.3600000001</v>
      </c>
      <c r="BN38" s="333">
        <v>682774.07</v>
      </c>
      <c r="BO38" s="333">
        <v>846285.93</v>
      </c>
      <c r="BP38" s="333">
        <v>656411.12</v>
      </c>
      <c r="BQ38" s="333">
        <v>661570.89</v>
      </c>
      <c r="BR38" s="333">
        <v>649263.43000000005</v>
      </c>
      <c r="BS38" s="333">
        <v>611221.59</v>
      </c>
      <c r="BT38" s="333">
        <v>442517.71</v>
      </c>
      <c r="BU38" s="333">
        <v>373046.29</v>
      </c>
      <c r="BV38" s="333">
        <v>350485.13</v>
      </c>
    </row>
    <row r="39" spans="1:74"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c r="AP39" s="333">
        <v>364682.89</v>
      </c>
      <c r="AQ39" s="333">
        <v>353059.71</v>
      </c>
      <c r="AR39" s="333">
        <v>516652.22</v>
      </c>
      <c r="AS39" s="333">
        <v>573368.46</v>
      </c>
      <c r="AT39" s="333">
        <v>598525.44999999995</v>
      </c>
      <c r="AU39" s="333">
        <v>580230.53</v>
      </c>
      <c r="AV39" s="333">
        <v>708925.33</v>
      </c>
      <c r="AW39" s="333">
        <v>887297.83</v>
      </c>
      <c r="AX39" s="333">
        <v>784035.45</v>
      </c>
      <c r="AY39" s="333">
        <v>724417.3</v>
      </c>
      <c r="AZ39" s="333">
        <v>683207.78</v>
      </c>
      <c r="BA39" s="333">
        <v>631457.32999999996</v>
      </c>
      <c r="BB39" s="333">
        <v>639821.56000000006</v>
      </c>
      <c r="BC39" s="333">
        <v>528790.06000000006</v>
      </c>
      <c r="BD39" s="333">
        <v>546457.89</v>
      </c>
      <c r="BE39" s="333">
        <v>574363.22</v>
      </c>
      <c r="BF39" s="333">
        <v>467035.03</v>
      </c>
      <c r="BG39" s="333"/>
      <c r="BH39" s="333"/>
      <c r="BI39" s="333"/>
      <c r="BJ39" s="333">
        <v>287826.59999999998</v>
      </c>
      <c r="BK39" s="333">
        <f>1938.94+276901.37</f>
        <v>278840.31</v>
      </c>
      <c r="BL39" s="333">
        <f>1817.56+268940.18</f>
        <v>270757.74</v>
      </c>
      <c r="BM39" s="333">
        <f>2102.14+366711.51</f>
        <v>368813.65</v>
      </c>
      <c r="BN39" s="333">
        <v>279304.44</v>
      </c>
      <c r="BO39" s="333">
        <v>369111.47</v>
      </c>
      <c r="BP39" s="333">
        <v>243538.11</v>
      </c>
      <c r="BQ39" s="333">
        <v>240851.58</v>
      </c>
      <c r="BR39" s="333">
        <v>205464.24</v>
      </c>
      <c r="BS39" s="333">
        <v>198350.35</v>
      </c>
      <c r="BT39" s="333">
        <v>133252.44</v>
      </c>
      <c r="BU39" s="333">
        <v>97423</v>
      </c>
      <c r="BV39" s="333">
        <v>93130.61</v>
      </c>
    </row>
    <row r="40" spans="1:74"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c r="AP40" s="333">
        <v>107102.53</v>
      </c>
      <c r="AQ40" s="333">
        <v>119762.97</v>
      </c>
      <c r="AR40" s="333">
        <v>153774.87</v>
      </c>
      <c r="AS40" s="333">
        <v>95109.8</v>
      </c>
      <c r="AT40" s="333">
        <v>193095.9</v>
      </c>
      <c r="AU40" s="333">
        <v>193946.87</v>
      </c>
      <c r="AV40" s="333">
        <v>262898.15000000002</v>
      </c>
      <c r="AW40" s="333">
        <v>244878.13</v>
      </c>
      <c r="AX40" s="333">
        <v>219874.61</v>
      </c>
      <c r="AY40" s="333">
        <v>175401.12</v>
      </c>
      <c r="AZ40" s="333">
        <v>210047.48</v>
      </c>
      <c r="BA40" s="333">
        <v>174627.74</v>
      </c>
      <c r="BB40" s="333">
        <v>152119.23000000001</v>
      </c>
      <c r="BC40" s="333">
        <v>176674.44</v>
      </c>
      <c r="BD40" s="333">
        <v>168185.55</v>
      </c>
      <c r="BE40" s="333">
        <v>162379.38</v>
      </c>
      <c r="BF40" s="333">
        <v>148466.64000000001</v>
      </c>
      <c r="BG40" s="333"/>
      <c r="BH40" s="333">
        <v>271269.48</v>
      </c>
      <c r="BI40" s="333">
        <v>231832.21</v>
      </c>
      <c r="BJ40" s="333">
        <v>95867.69</v>
      </c>
      <c r="BK40" s="333">
        <f>60737.63+12224.98+22931.79+3322.23</f>
        <v>99216.62999999999</v>
      </c>
      <c r="BL40" s="333">
        <f>50202.12+13380.52+20836.07+3357.77</f>
        <v>87776.48</v>
      </c>
      <c r="BM40" s="333">
        <f>46555.42+10194.37+20836.07+3357.77</f>
        <v>80943.63</v>
      </c>
      <c r="BN40" s="333">
        <v>67282.77</v>
      </c>
      <c r="BO40" s="333">
        <v>64476.6</v>
      </c>
      <c r="BP40" s="333">
        <v>50621.38</v>
      </c>
      <c r="BQ40" s="333">
        <v>49037.93</v>
      </c>
      <c r="BR40" s="333">
        <v>46966.73</v>
      </c>
      <c r="BS40" s="333">
        <v>44560.639999999999</v>
      </c>
      <c r="BT40" s="333">
        <v>29516.47</v>
      </c>
      <c r="BU40" s="333">
        <v>24841.87</v>
      </c>
      <c r="BV40" s="333">
        <v>22779.9</v>
      </c>
    </row>
    <row r="41" spans="1:74"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c r="AP41" s="333">
        <v>194842.19</v>
      </c>
      <c r="AQ41" s="333">
        <v>190548.78</v>
      </c>
      <c r="AR41" s="333">
        <v>256802.73</v>
      </c>
      <c r="AS41" s="333">
        <v>218157.18</v>
      </c>
      <c r="AT41" s="333">
        <v>309266.40999999997</v>
      </c>
      <c r="AU41" s="333">
        <v>315931.17</v>
      </c>
      <c r="AV41" s="333">
        <v>458028.28</v>
      </c>
      <c r="AW41" s="333">
        <v>479945.79</v>
      </c>
      <c r="AX41" s="333">
        <v>272857.53999999998</v>
      </c>
      <c r="AY41" s="333">
        <v>237048.57</v>
      </c>
      <c r="AZ41" s="333">
        <v>314948.03000000003</v>
      </c>
      <c r="BA41" s="333">
        <v>183978.61</v>
      </c>
      <c r="BB41" s="333">
        <v>217355.33</v>
      </c>
      <c r="BC41" s="333">
        <v>207313.91</v>
      </c>
      <c r="BD41" s="333">
        <v>249622.45</v>
      </c>
      <c r="BE41" s="333">
        <v>262901.95</v>
      </c>
      <c r="BF41" s="333">
        <v>235110.01</v>
      </c>
      <c r="BG41" s="333"/>
      <c r="BH41" s="333"/>
      <c r="BI41" s="333"/>
      <c r="BJ41" s="333">
        <v>182295.4</v>
      </c>
      <c r="BK41" s="333">
        <f>70293.64+10252.13+108606.55+8516.58</f>
        <v>197668.9</v>
      </c>
      <c r="BL41" s="333">
        <f>60023.02+11021.42+128309.5+10174.39</f>
        <v>209528.33000000002</v>
      </c>
      <c r="BM41" s="333">
        <f>55390.95+10830.84+109713.7+10174.39</f>
        <v>186109.88</v>
      </c>
      <c r="BN41" s="333">
        <v>118473.64</v>
      </c>
      <c r="BO41" s="333">
        <v>69036.13</v>
      </c>
      <c r="BP41" s="333">
        <v>58214.63</v>
      </c>
      <c r="BQ41" s="333">
        <v>53213.88</v>
      </c>
      <c r="BR41" s="333">
        <v>51300.28</v>
      </c>
      <c r="BS41" s="333">
        <v>40438.230000000003</v>
      </c>
      <c r="BT41" s="333">
        <v>28761.78</v>
      </c>
      <c r="BU41" s="333">
        <v>24862.81</v>
      </c>
      <c r="BV41" s="333">
        <v>21773.52</v>
      </c>
    </row>
    <row r="42" spans="1:74"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c r="AP42" s="333">
        <v>119350.17</v>
      </c>
      <c r="AQ42" s="333">
        <v>69829.47</v>
      </c>
      <c r="AR42" s="333">
        <v>49980.83</v>
      </c>
      <c r="AS42" s="333">
        <v>67037.539999999994</v>
      </c>
      <c r="AT42" s="333">
        <v>110663.34</v>
      </c>
      <c r="AU42" s="333">
        <v>95814.399999999994</v>
      </c>
      <c r="AV42" s="333">
        <v>95814.399999999994</v>
      </c>
      <c r="AW42" s="333">
        <v>146962.74</v>
      </c>
      <c r="AX42" s="333">
        <v>78339.7</v>
      </c>
      <c r="AY42" s="333">
        <v>54974.63</v>
      </c>
      <c r="AZ42" s="333">
        <v>54974.63</v>
      </c>
      <c r="BA42" s="333">
        <v>446.98</v>
      </c>
      <c r="BB42" s="333">
        <v>49422.51</v>
      </c>
      <c r="BC42" s="333">
        <v>69714.81</v>
      </c>
      <c r="BD42" s="333">
        <v>53577.47</v>
      </c>
      <c r="BE42" s="333">
        <v>9549.75</v>
      </c>
      <c r="BF42" s="333">
        <v>20739.28</v>
      </c>
      <c r="BG42" s="333"/>
      <c r="BH42" s="333"/>
      <c r="BI42" s="333"/>
      <c r="BJ42" s="333">
        <v>11265.42</v>
      </c>
      <c r="BK42" s="333">
        <f>34526.65</f>
        <v>34526.65</v>
      </c>
      <c r="BL42" s="333">
        <v>11265.42</v>
      </c>
      <c r="BM42" s="333">
        <v>11265.42</v>
      </c>
      <c r="BN42" s="333">
        <v>1930.88</v>
      </c>
      <c r="BO42" s="333">
        <v>22520.16</v>
      </c>
      <c r="BP42" s="333">
        <v>20576.79</v>
      </c>
      <c r="BQ42" s="333">
        <v>20576.79</v>
      </c>
      <c r="BR42" s="333">
        <v>21938.73</v>
      </c>
      <c r="BS42" s="333">
        <v>30472.560000000001</v>
      </c>
      <c r="BT42" s="333">
        <v>5560.35</v>
      </c>
      <c r="BU42" s="333">
        <v>5560.335</v>
      </c>
      <c r="BV42" s="333">
        <v>4198.41</v>
      </c>
    </row>
    <row r="43" spans="1:74" x14ac:dyDescent="0.25">
      <c r="A43" s="4"/>
      <c r="B43" s="35" t="s">
        <v>41</v>
      </c>
      <c r="C43" s="108">
        <f>SUM(C38:C42)</f>
        <v>2586010.04</v>
      </c>
      <c r="D43" s="79">
        <f>SUM(D38:D42)</f>
        <v>2448089.62</v>
      </c>
      <c r="E43" s="79">
        <f t="shared" ref="E43:AG43" si="22">SUM(E38:E42)</f>
        <v>2470469.0100000002</v>
      </c>
      <c r="F43" s="79">
        <f t="shared" si="22"/>
        <v>2242417.4899999998</v>
      </c>
      <c r="G43" s="79">
        <f t="shared" si="22"/>
        <v>2163061.3199999998</v>
      </c>
      <c r="H43" s="79">
        <f>SUM(H38:H42)</f>
        <v>1938750.42</v>
      </c>
      <c r="I43" s="79">
        <f t="shared" si="22"/>
        <v>2116810.9</v>
      </c>
      <c r="J43" s="79">
        <f t="shared" si="22"/>
        <v>2045737.49</v>
      </c>
      <c r="K43" s="79">
        <f t="shared" si="22"/>
        <v>1714717.23</v>
      </c>
      <c r="L43" s="110">
        <f t="shared" si="22"/>
        <v>1720436.0800000003</v>
      </c>
      <c r="M43" s="79">
        <f t="shared" si="22"/>
        <v>1446523.02</v>
      </c>
      <c r="N43" s="79">
        <f t="shared" si="22"/>
        <v>1383423.34</v>
      </c>
      <c r="O43" s="79">
        <f t="shared" si="22"/>
        <v>1190864.7499999998</v>
      </c>
      <c r="P43" s="79">
        <f t="shared" si="22"/>
        <v>904282</v>
      </c>
      <c r="Q43" s="79">
        <f t="shared" si="22"/>
        <v>803294.1100000001</v>
      </c>
      <c r="R43" s="79">
        <f t="shared" si="22"/>
        <v>662743.52</v>
      </c>
      <c r="S43" s="79">
        <f t="shared" si="22"/>
        <v>566437.17000000004</v>
      </c>
      <c r="T43" s="79">
        <f t="shared" si="22"/>
        <v>610861.44999999995</v>
      </c>
      <c r="U43" s="175">
        <f t="shared" si="22"/>
        <v>572795.44000000006</v>
      </c>
      <c r="V43" s="175">
        <f t="shared" si="22"/>
        <v>682432.27999999991</v>
      </c>
      <c r="W43" s="175">
        <f t="shared" si="22"/>
        <v>612375.41</v>
      </c>
      <c r="X43" s="175">
        <f t="shared" si="22"/>
        <v>845815.99</v>
      </c>
      <c r="Y43" s="175">
        <f t="shared" si="22"/>
        <v>726524.77</v>
      </c>
      <c r="Z43" s="175">
        <f t="shared" si="22"/>
        <v>649948.76000000013</v>
      </c>
      <c r="AA43" s="175">
        <f t="shared" si="22"/>
        <v>708504.4</v>
      </c>
      <c r="AB43" s="109">
        <f t="shared" si="22"/>
        <v>706524.05</v>
      </c>
      <c r="AC43" s="273">
        <f t="shared" si="22"/>
        <v>810270</v>
      </c>
      <c r="AD43" s="273">
        <f t="shared" si="22"/>
        <v>795356.93999999983</v>
      </c>
      <c r="AE43" s="273">
        <f t="shared" si="22"/>
        <v>695486.08000000007</v>
      </c>
      <c r="AF43" s="273">
        <f t="shared" si="22"/>
        <v>766028.11</v>
      </c>
      <c r="AG43" s="334">
        <f t="shared" si="22"/>
        <v>664360.16</v>
      </c>
      <c r="AH43" s="334">
        <f t="shared" ref="AH43:BC43" si="23">SUM(AH38:AH42)</f>
        <v>687766.88000000012</v>
      </c>
      <c r="AI43" s="334">
        <f t="shared" si="23"/>
        <v>792573.58</v>
      </c>
      <c r="AJ43" s="334">
        <f t="shared" si="23"/>
        <v>784777.55</v>
      </c>
      <c r="AK43" s="334">
        <f t="shared" si="23"/>
        <v>921374.52</v>
      </c>
      <c r="AL43" s="334">
        <f t="shared" si="23"/>
        <v>958880.02</v>
      </c>
      <c r="AM43" s="334">
        <f t="shared" si="23"/>
        <v>1165412.58</v>
      </c>
      <c r="AN43" s="334">
        <f t="shared" si="23"/>
        <v>1171775.6500000001</v>
      </c>
      <c r="AO43" s="334">
        <f t="shared" si="23"/>
        <v>1404598.5399999998</v>
      </c>
      <c r="AP43" s="334">
        <f t="shared" si="23"/>
        <v>1677611.44</v>
      </c>
      <c r="AQ43" s="334">
        <f t="shared" si="23"/>
        <v>1699904.32</v>
      </c>
      <c r="AR43" s="334">
        <f t="shared" si="23"/>
        <v>2127393.15</v>
      </c>
      <c r="AS43" s="334">
        <f t="shared" si="23"/>
        <v>2076517.08</v>
      </c>
      <c r="AT43" s="334">
        <f t="shared" si="23"/>
        <v>2863318.44</v>
      </c>
      <c r="AU43" s="334">
        <f t="shared" si="23"/>
        <v>2853471.6599999997</v>
      </c>
      <c r="AV43" s="334">
        <f t="shared" si="23"/>
        <v>3372016.6</v>
      </c>
      <c r="AW43" s="334">
        <f t="shared" si="23"/>
        <v>3815391.74</v>
      </c>
      <c r="AX43" s="334">
        <f t="shared" si="23"/>
        <v>3481467.5100000002</v>
      </c>
      <c r="AY43" s="334">
        <f t="shared" si="23"/>
        <v>3231883.57</v>
      </c>
      <c r="AZ43" s="334">
        <f t="shared" si="23"/>
        <v>3346220.38</v>
      </c>
      <c r="BA43" s="334">
        <f t="shared" si="23"/>
        <v>2881115.9299999997</v>
      </c>
      <c r="BB43" s="334">
        <f t="shared" si="23"/>
        <v>3031354.14</v>
      </c>
      <c r="BC43" s="334">
        <f t="shared" si="23"/>
        <v>2856313.49</v>
      </c>
      <c r="BD43" s="334">
        <f t="shared" ref="BD43:BU43" si="24">SUM(BD38:BD42)</f>
        <v>2923355.6700000004</v>
      </c>
      <c r="BE43" s="334">
        <f t="shared" si="24"/>
        <v>2855936.5700000003</v>
      </c>
      <c r="BF43" s="334">
        <f t="shared" si="24"/>
        <v>2416130.2200000002</v>
      </c>
      <c r="BG43" s="334">
        <f t="shared" si="24"/>
        <v>0</v>
      </c>
      <c r="BH43" s="334">
        <f t="shared" si="24"/>
        <v>2108710.12</v>
      </c>
      <c r="BI43" s="334">
        <f t="shared" si="24"/>
        <v>974371.48</v>
      </c>
      <c r="BJ43" s="334">
        <f t="shared" si="24"/>
        <v>1971849.1099999999</v>
      </c>
      <c r="BK43" s="334">
        <f t="shared" si="24"/>
        <v>1854778.3199999998</v>
      </c>
      <c r="BL43" s="334">
        <f t="shared" si="24"/>
        <v>1673807.8099999998</v>
      </c>
      <c r="BM43" s="334">
        <f t="shared" si="24"/>
        <v>1497970.94</v>
      </c>
      <c r="BN43" s="334">
        <f t="shared" si="24"/>
        <v>1149765.7999999998</v>
      </c>
      <c r="BO43" s="334">
        <f t="shared" si="24"/>
        <v>1371430.2899999998</v>
      </c>
      <c r="BP43" s="334">
        <f t="shared" si="24"/>
        <v>1029362.03</v>
      </c>
      <c r="BQ43" s="334">
        <f t="shared" si="24"/>
        <v>1025251.0700000001</v>
      </c>
      <c r="BR43" s="334">
        <f t="shared" si="24"/>
        <v>974933.41</v>
      </c>
      <c r="BS43" s="334">
        <f t="shared" si="24"/>
        <v>925043.37</v>
      </c>
      <c r="BT43" s="334">
        <f t="shared" si="24"/>
        <v>639608.75</v>
      </c>
      <c r="BU43" s="334">
        <f t="shared" si="24"/>
        <v>525734.30499999993</v>
      </c>
      <c r="BV43" s="334">
        <v>525044.85</v>
      </c>
    </row>
    <row r="44" spans="1:74"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3"/>
      <c r="BC44" s="333"/>
      <c r="BD44" s="333"/>
      <c r="BE44" s="333"/>
      <c r="BF44" s="333"/>
      <c r="BG44" s="333"/>
      <c r="BH44" s="333"/>
      <c r="BI44" s="333"/>
      <c r="BJ44" s="333"/>
      <c r="BK44" s="333"/>
      <c r="BL44" s="333"/>
      <c r="BM44" s="333"/>
      <c r="BN44" s="333"/>
      <c r="BO44" s="333"/>
      <c r="BP44" s="333"/>
      <c r="BQ44" s="333"/>
      <c r="BR44" s="333"/>
      <c r="BS44" s="333"/>
      <c r="BT44" s="333"/>
      <c r="BU44" s="333"/>
      <c r="BV44" s="333"/>
    </row>
    <row r="45" spans="1:74"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c r="AP45" s="333">
        <v>323718.58</v>
      </c>
      <c r="AQ45" s="333">
        <v>404303.32</v>
      </c>
      <c r="AR45" s="333">
        <v>463021.42</v>
      </c>
      <c r="AS45" s="333">
        <v>486626.34</v>
      </c>
      <c r="AT45" s="333">
        <v>695475.42</v>
      </c>
      <c r="AU45" s="333">
        <v>690207.48</v>
      </c>
      <c r="AV45" s="333">
        <v>800033.72</v>
      </c>
      <c r="AW45" s="333">
        <v>777996.22</v>
      </c>
      <c r="AX45" s="333">
        <v>809334.75</v>
      </c>
      <c r="AY45" s="333">
        <v>951416.24</v>
      </c>
      <c r="AZ45" s="333">
        <v>1046246.83</v>
      </c>
      <c r="BA45" s="333">
        <v>1267853.82</v>
      </c>
      <c r="BB45" s="333">
        <v>1320663.46</v>
      </c>
      <c r="BC45" s="333">
        <v>1443398.94</v>
      </c>
      <c r="BD45" s="333">
        <v>1307199.58</v>
      </c>
      <c r="BE45" s="333">
        <v>1377406.92</v>
      </c>
      <c r="BF45" s="333">
        <v>1400414.95</v>
      </c>
      <c r="BG45" s="333"/>
      <c r="BH45" s="333">
        <v>1606660</v>
      </c>
      <c r="BI45" s="333">
        <v>1710904</v>
      </c>
      <c r="BJ45" s="333">
        <v>1141169.3999999999</v>
      </c>
      <c r="BK45" s="333">
        <f>12613.99+1082139.22+47.36</f>
        <v>1094800.57</v>
      </c>
      <c r="BL45" s="333">
        <f>13749.83+1148586.51+2319.21</f>
        <v>1164655.55</v>
      </c>
      <c r="BM45" s="333">
        <f>12301.14+868795.93+2319.21</f>
        <v>883416.28</v>
      </c>
      <c r="BN45" s="333">
        <v>1019952.48</v>
      </c>
      <c r="BO45" s="333">
        <v>876981.41</v>
      </c>
      <c r="BP45" s="333">
        <v>780521.45</v>
      </c>
      <c r="BQ45" s="333">
        <v>740302.42</v>
      </c>
      <c r="BR45" s="333">
        <v>526707.06000000006</v>
      </c>
      <c r="BS45" s="333">
        <v>529010.63</v>
      </c>
      <c r="BT45" s="333">
        <v>551536.43000000005</v>
      </c>
      <c r="BU45" s="333">
        <v>499856.22</v>
      </c>
      <c r="BV45" s="333">
        <v>525044.85</v>
      </c>
    </row>
    <row r="46" spans="1:74"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c r="AP46" s="333">
        <v>229224.25</v>
      </c>
      <c r="AQ46" s="333">
        <v>264787.48</v>
      </c>
      <c r="AR46" s="333">
        <v>262208.03999999998</v>
      </c>
      <c r="AS46" s="333">
        <v>244404.82</v>
      </c>
      <c r="AT46" s="333">
        <v>301504.68</v>
      </c>
      <c r="AU46" s="333">
        <v>303438.14</v>
      </c>
      <c r="AV46" s="333">
        <v>407766.67</v>
      </c>
      <c r="AW46" s="333">
        <v>444261.11</v>
      </c>
      <c r="AX46" s="333">
        <v>389965.45</v>
      </c>
      <c r="AY46" s="333">
        <v>449636.34</v>
      </c>
      <c r="AZ46" s="333">
        <v>547615.42000000004</v>
      </c>
      <c r="BA46" s="333">
        <v>655520.25</v>
      </c>
      <c r="BB46" s="333">
        <v>663574.93000000005</v>
      </c>
      <c r="BC46" s="333">
        <v>578303.75</v>
      </c>
      <c r="BD46" s="333">
        <v>486012.23</v>
      </c>
      <c r="BE46" s="333">
        <v>541392.89</v>
      </c>
      <c r="BF46" s="333">
        <v>472299.38</v>
      </c>
      <c r="BG46" s="333"/>
      <c r="BH46" s="333"/>
      <c r="BI46" s="333"/>
      <c r="BJ46" s="333">
        <v>266788.14</v>
      </c>
      <c r="BK46" s="333">
        <f>1341.76+236119.06</f>
        <v>237460.82</v>
      </c>
      <c r="BL46" s="333">
        <f>1536.38+258564.42</f>
        <v>260100.80000000002</v>
      </c>
      <c r="BM46" s="333">
        <f>2069.49+377821.22</f>
        <v>379890.70999999996</v>
      </c>
      <c r="BN46" s="333">
        <v>403935.35</v>
      </c>
      <c r="BO46" s="333">
        <v>355281.33</v>
      </c>
      <c r="BP46" s="333">
        <v>361680.3</v>
      </c>
      <c r="BQ46" s="333">
        <v>346069.81</v>
      </c>
      <c r="BR46" s="333">
        <v>275895.15999999997</v>
      </c>
      <c r="BS46" s="333">
        <v>234542.61</v>
      </c>
      <c r="BT46" s="333">
        <v>224290.22</v>
      </c>
      <c r="BU46" s="333">
        <v>180964.06</v>
      </c>
      <c r="BV46" s="333">
        <v>183463.29</v>
      </c>
    </row>
    <row r="47" spans="1:74"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c r="AP47" s="333">
        <v>20708.93</v>
      </c>
      <c r="AQ47" s="333">
        <v>21866.57</v>
      </c>
      <c r="AR47" s="333">
        <v>18770.3</v>
      </c>
      <c r="AS47" s="333">
        <v>28664.65</v>
      </c>
      <c r="AT47" s="333">
        <v>39177.449999999997</v>
      </c>
      <c r="AU47" s="333">
        <v>38047.35</v>
      </c>
      <c r="AV47" s="333">
        <v>48391.34</v>
      </c>
      <c r="AW47" s="333">
        <v>42121.56</v>
      </c>
      <c r="AX47" s="333">
        <v>35199.269999999997</v>
      </c>
      <c r="AY47" s="333">
        <v>44325.120000000003</v>
      </c>
      <c r="AZ47" s="333">
        <v>58917.23</v>
      </c>
      <c r="BA47" s="333">
        <v>51635.94</v>
      </c>
      <c r="BB47" s="333">
        <v>47054.74</v>
      </c>
      <c r="BC47" s="333">
        <v>49645.53</v>
      </c>
      <c r="BD47" s="333">
        <v>55862.879999999997</v>
      </c>
      <c r="BE47" s="333">
        <v>57335.95</v>
      </c>
      <c r="BF47" s="333">
        <v>63125.77</v>
      </c>
      <c r="BG47" s="333"/>
      <c r="BH47" s="333">
        <v>116830.79</v>
      </c>
      <c r="BI47" s="333">
        <v>159312.38</v>
      </c>
      <c r="BJ47" s="333">
        <v>43262.39</v>
      </c>
      <c r="BK47" s="333">
        <f>35837.65+3979.54+370.98+311.06</f>
        <v>40499.230000000003</v>
      </c>
      <c r="BL47" s="333">
        <f>49106.26+5004.85+7864.13+589.33</f>
        <v>62564.57</v>
      </c>
      <c r="BM47" s="333">
        <f>43728.15+5229.55+7864.13+589.33</f>
        <v>57411.16</v>
      </c>
      <c r="BN47" s="333">
        <v>68898.22</v>
      </c>
      <c r="BO47" s="333">
        <v>52117.68</v>
      </c>
      <c r="BP47" s="333">
        <v>43411.76</v>
      </c>
      <c r="BQ47" s="333">
        <v>40887.919999999998</v>
      </c>
      <c r="BR47" s="333">
        <v>29186.720000000001</v>
      </c>
      <c r="BS47" s="333">
        <v>28882.3</v>
      </c>
      <c r="BT47" s="333">
        <v>34678.589999999997</v>
      </c>
      <c r="BU47" s="333">
        <v>32387.86</v>
      </c>
      <c r="BV47" s="333">
        <v>31217.19</v>
      </c>
    </row>
    <row r="48" spans="1:74"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c r="AP48" s="333">
        <v>33159.96</v>
      </c>
      <c r="AQ48" s="333">
        <v>28873.56</v>
      </c>
      <c r="AR48" s="333">
        <v>30255.81</v>
      </c>
      <c r="AS48" s="333">
        <v>30831.97</v>
      </c>
      <c r="AT48" s="333">
        <v>46050.26</v>
      </c>
      <c r="AU48" s="333">
        <v>62921.5</v>
      </c>
      <c r="AV48" s="333">
        <v>79991.350000000006</v>
      </c>
      <c r="AW48" s="333">
        <v>77847.320000000007</v>
      </c>
      <c r="AX48" s="333">
        <v>37135.35</v>
      </c>
      <c r="AY48" s="333">
        <v>54888.66</v>
      </c>
      <c r="AZ48" s="333">
        <v>81997.97</v>
      </c>
      <c r="BA48" s="333">
        <v>75994.98</v>
      </c>
      <c r="BB48" s="333">
        <v>81417.14</v>
      </c>
      <c r="BC48" s="333">
        <v>86680.57</v>
      </c>
      <c r="BD48" s="333">
        <v>72831.56</v>
      </c>
      <c r="BE48" s="333">
        <v>80003.53</v>
      </c>
      <c r="BF48" s="333">
        <v>85184.06</v>
      </c>
      <c r="BG48" s="333"/>
      <c r="BH48" s="333"/>
      <c r="BI48" s="333"/>
      <c r="BJ48" s="333">
        <v>69451.600000000006</v>
      </c>
      <c r="BK48" s="333">
        <f>45414.99+9857.76+51880.97</f>
        <v>107153.72</v>
      </c>
      <c r="BL48" s="333">
        <f>40003.05+6458.94+69213.48</f>
        <v>115675.47</v>
      </c>
      <c r="BM48" s="333">
        <f>33867.58+6458.94+81173.86</f>
        <v>121500.38</v>
      </c>
      <c r="BN48" s="333">
        <v>127642.13</v>
      </c>
      <c r="BO48" s="333">
        <v>73703.600000000006</v>
      </c>
      <c r="BP48" s="333">
        <v>62706.98</v>
      </c>
      <c r="BQ48" s="333">
        <v>56271.57</v>
      </c>
      <c r="BR48" s="333">
        <v>33133.589999999997</v>
      </c>
      <c r="BS48" s="333">
        <v>23930.66</v>
      </c>
      <c r="BT48" s="333">
        <v>43622.49</v>
      </c>
      <c r="BU48" s="333">
        <v>34787.86</v>
      </c>
      <c r="BV48" s="333">
        <v>37963.93</v>
      </c>
    </row>
    <row r="49" spans="1:74"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c r="AP49" s="333">
        <v>3887.72</v>
      </c>
      <c r="AQ49" s="333">
        <v>0</v>
      </c>
      <c r="AR49" s="333">
        <v>0</v>
      </c>
      <c r="AS49" s="333">
        <v>7954.2</v>
      </c>
      <c r="AT49" s="333">
        <v>0</v>
      </c>
      <c r="AU49" s="333">
        <v>0</v>
      </c>
      <c r="AV49" s="333">
        <v>0</v>
      </c>
      <c r="AW49" s="333">
        <v>0</v>
      </c>
      <c r="AX49" s="333">
        <v>0</v>
      </c>
      <c r="AY49" s="333">
        <v>0</v>
      </c>
      <c r="AZ49" s="333">
        <v>0</v>
      </c>
      <c r="BA49" s="333">
        <v>0</v>
      </c>
      <c r="BB49" s="333">
        <v>0</v>
      </c>
      <c r="BC49" s="333">
        <v>0</v>
      </c>
      <c r="BD49" s="333">
        <v>0</v>
      </c>
      <c r="BE49" s="333">
        <v>0</v>
      </c>
      <c r="BF49" s="333">
        <v>0</v>
      </c>
      <c r="BG49" s="333"/>
      <c r="BH49" s="333"/>
      <c r="BI49" s="333"/>
      <c r="BJ49" s="333">
        <v>20739.28</v>
      </c>
      <c r="BK49" s="333">
        <f>20739.28</f>
        <v>20739.28</v>
      </c>
      <c r="BL49" s="333">
        <v>20739.28</v>
      </c>
      <c r="BM49" s="333">
        <v>20739.28</v>
      </c>
      <c r="BN49" s="333">
        <v>11265.42</v>
      </c>
      <c r="BO49" s="333">
        <v>11265.42</v>
      </c>
      <c r="BP49" s="333">
        <v>11265.42</v>
      </c>
      <c r="BQ49" s="333">
        <v>11265.42</v>
      </c>
      <c r="BR49" s="333">
        <v>11265.42</v>
      </c>
      <c r="BS49" s="333">
        <v>5463.48</v>
      </c>
      <c r="BT49" s="333">
        <v>5463.48</v>
      </c>
      <c r="BU49" s="333">
        <v>5463.48</v>
      </c>
      <c r="BV49" s="333">
        <v>6825.42</v>
      </c>
    </row>
    <row r="50" spans="1:74" x14ac:dyDescent="0.25">
      <c r="A50" s="4"/>
      <c r="B50" s="35" t="s">
        <v>41</v>
      </c>
      <c r="C50" s="108">
        <f>SUM(C45:C49)</f>
        <v>1784025.75</v>
      </c>
      <c r="D50" s="79">
        <f>SUM(D45:D49)</f>
        <v>1652125.3800000001</v>
      </c>
      <c r="E50" s="79">
        <f t="shared" ref="E50:AG50" si="25">SUM(E45:E49)</f>
        <v>1502977.7</v>
      </c>
      <c r="F50" s="79">
        <f t="shared" si="25"/>
        <v>1579373.6800000002</v>
      </c>
      <c r="G50" s="79">
        <f t="shared" si="25"/>
        <v>1474379.4600000002</v>
      </c>
      <c r="H50" s="79">
        <f>SUM(H45:H49)</f>
        <v>1638306.2</v>
      </c>
      <c r="I50" s="79">
        <f>SUM(I45:I49)</f>
        <v>1572700.55</v>
      </c>
      <c r="J50" s="79">
        <f t="shared" si="25"/>
        <v>1490134.5099999998</v>
      </c>
      <c r="K50" s="79">
        <f t="shared" si="25"/>
        <v>1444513.4100000001</v>
      </c>
      <c r="L50" s="110">
        <f t="shared" si="25"/>
        <v>1356099.0799999998</v>
      </c>
      <c r="M50" s="79">
        <f t="shared" si="25"/>
        <v>1293320.3400000001</v>
      </c>
      <c r="N50" s="79">
        <f t="shared" si="25"/>
        <v>1287667.1999999997</v>
      </c>
      <c r="O50" s="79">
        <f t="shared" si="25"/>
        <v>1139991.1199999999</v>
      </c>
      <c r="P50" s="79">
        <f t="shared" si="25"/>
        <v>1183894.4999999998</v>
      </c>
      <c r="Q50" s="79">
        <f t="shared" si="25"/>
        <v>1124328.25</v>
      </c>
      <c r="R50" s="79">
        <f t="shared" si="25"/>
        <v>964954.19000000006</v>
      </c>
      <c r="S50" s="79">
        <f t="shared" si="25"/>
        <v>853738.09000000008</v>
      </c>
      <c r="T50" s="79">
        <f t="shared" si="25"/>
        <v>781506.21999999986</v>
      </c>
      <c r="U50" s="175">
        <f t="shared" si="25"/>
        <v>588010.24000000011</v>
      </c>
      <c r="V50" s="175">
        <f t="shared" si="25"/>
        <v>509126.63</v>
      </c>
      <c r="W50" s="175">
        <f t="shared" si="25"/>
        <v>453812.94</v>
      </c>
      <c r="X50" s="175">
        <f t="shared" si="25"/>
        <v>417968.99</v>
      </c>
      <c r="Y50" s="175">
        <f t="shared" si="25"/>
        <v>402894.30999999994</v>
      </c>
      <c r="Z50" s="175">
        <f t="shared" si="25"/>
        <v>363279.76</v>
      </c>
      <c r="AA50" s="175">
        <f t="shared" si="25"/>
        <v>426188.24000000005</v>
      </c>
      <c r="AB50" s="109">
        <f t="shared" si="25"/>
        <v>418377.02999999997</v>
      </c>
      <c r="AC50" s="273">
        <f t="shared" si="25"/>
        <v>441523.35</v>
      </c>
      <c r="AD50" s="273">
        <f t="shared" si="25"/>
        <v>446720.92</v>
      </c>
      <c r="AE50" s="273">
        <f t="shared" si="25"/>
        <v>558903.84</v>
      </c>
      <c r="AF50" s="273">
        <f t="shared" si="25"/>
        <v>522939.72000000003</v>
      </c>
      <c r="AG50" s="334">
        <f t="shared" si="25"/>
        <v>609668.89999999991</v>
      </c>
      <c r="AH50" s="334">
        <f t="shared" ref="AH50:BC50" si="26">SUM(AH45:AH49)</f>
        <v>618959.56999999995</v>
      </c>
      <c r="AI50" s="334">
        <f t="shared" si="26"/>
        <v>571063.28</v>
      </c>
      <c r="AJ50" s="334">
        <f t="shared" si="26"/>
        <v>556007.19999999995</v>
      </c>
      <c r="AK50" s="334">
        <f t="shared" si="26"/>
        <v>536576.43999999994</v>
      </c>
      <c r="AL50" s="334">
        <f t="shared" si="26"/>
        <v>524306</v>
      </c>
      <c r="AM50" s="334">
        <f t="shared" si="26"/>
        <v>517993.8</v>
      </c>
      <c r="AN50" s="334">
        <f t="shared" si="26"/>
        <v>536986.07999999996</v>
      </c>
      <c r="AO50" s="334">
        <f t="shared" si="26"/>
        <v>525207.74</v>
      </c>
      <c r="AP50" s="334">
        <f t="shared" si="26"/>
        <v>610699.44000000006</v>
      </c>
      <c r="AQ50" s="334">
        <f t="shared" si="26"/>
        <v>719830.93</v>
      </c>
      <c r="AR50" s="334">
        <f t="shared" si="26"/>
        <v>774255.57000000007</v>
      </c>
      <c r="AS50" s="334">
        <f t="shared" si="26"/>
        <v>798481.98</v>
      </c>
      <c r="AT50" s="334">
        <f t="shared" si="26"/>
        <v>1082207.81</v>
      </c>
      <c r="AU50" s="334">
        <f t="shared" si="26"/>
        <v>1094614.47</v>
      </c>
      <c r="AV50" s="334">
        <f t="shared" si="26"/>
        <v>1336183.08</v>
      </c>
      <c r="AW50" s="334">
        <f t="shared" si="26"/>
        <v>1342226.2100000002</v>
      </c>
      <c r="AX50" s="334">
        <f t="shared" si="26"/>
        <v>1271634.82</v>
      </c>
      <c r="AY50" s="334">
        <f t="shared" si="26"/>
        <v>1500266.36</v>
      </c>
      <c r="AZ50" s="334">
        <f t="shared" si="26"/>
        <v>1734777.45</v>
      </c>
      <c r="BA50" s="334">
        <f t="shared" si="26"/>
        <v>2051004.99</v>
      </c>
      <c r="BB50" s="334">
        <f t="shared" si="26"/>
        <v>2112710.27</v>
      </c>
      <c r="BC50" s="334">
        <f t="shared" si="26"/>
        <v>2158028.79</v>
      </c>
      <c r="BD50" s="334">
        <f t="shared" ref="BD50:BV50" si="27">SUM(BD45:BD49)</f>
        <v>1921906.25</v>
      </c>
      <c r="BE50" s="334">
        <f t="shared" si="27"/>
        <v>2056139.29</v>
      </c>
      <c r="BF50" s="334">
        <f t="shared" si="27"/>
        <v>2021024.1600000001</v>
      </c>
      <c r="BG50" s="334">
        <f t="shared" si="27"/>
        <v>0</v>
      </c>
      <c r="BH50" s="334">
        <f t="shared" si="27"/>
        <v>1723490.79</v>
      </c>
      <c r="BI50" s="334">
        <f t="shared" si="27"/>
        <v>1870216.38</v>
      </c>
      <c r="BJ50" s="334">
        <f t="shared" si="27"/>
        <v>1541410.81</v>
      </c>
      <c r="BK50" s="334">
        <f t="shared" si="27"/>
        <v>1500653.62</v>
      </c>
      <c r="BL50" s="334">
        <f t="shared" si="27"/>
        <v>1623735.6700000002</v>
      </c>
      <c r="BM50" s="334">
        <f t="shared" si="27"/>
        <v>1462957.8099999998</v>
      </c>
      <c r="BN50" s="334">
        <f t="shared" si="27"/>
        <v>1631693.6</v>
      </c>
      <c r="BO50" s="334">
        <f t="shared" si="27"/>
        <v>1369349.44</v>
      </c>
      <c r="BP50" s="334">
        <f t="shared" si="27"/>
        <v>1259585.9099999999</v>
      </c>
      <c r="BQ50" s="334">
        <f t="shared" si="27"/>
        <v>1194797.1399999999</v>
      </c>
      <c r="BR50" s="334">
        <f t="shared" si="27"/>
        <v>876187.95</v>
      </c>
      <c r="BS50" s="334">
        <f t="shared" si="27"/>
        <v>821829.68</v>
      </c>
      <c r="BT50" s="334">
        <f t="shared" si="27"/>
        <v>859591.21</v>
      </c>
      <c r="BU50" s="334">
        <f t="shared" si="27"/>
        <v>753459.48</v>
      </c>
      <c r="BV50" s="334">
        <f t="shared" si="27"/>
        <v>784514.68</v>
      </c>
    </row>
    <row r="51" spans="1:74"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3"/>
      <c r="BQ51" s="333"/>
      <c r="BR51" s="333"/>
      <c r="BS51" s="333"/>
      <c r="BT51" s="333"/>
      <c r="BU51" s="333"/>
      <c r="BV51" s="333"/>
    </row>
    <row r="52" spans="1:74"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c r="AP52" s="333">
        <v>2459059.2000000002</v>
      </c>
      <c r="AQ52" s="333">
        <v>2457307.79</v>
      </c>
      <c r="AR52" s="333">
        <v>2510811.56</v>
      </c>
      <c r="AS52" s="333">
        <v>2491448.5499999998</v>
      </c>
      <c r="AT52" s="333">
        <v>2582838.52</v>
      </c>
      <c r="AU52" s="333">
        <v>2631901.14</v>
      </c>
      <c r="AV52" s="333">
        <v>2553022.65</v>
      </c>
      <c r="AW52" s="333">
        <v>2537227.14</v>
      </c>
      <c r="AX52" s="333">
        <v>2625180.94</v>
      </c>
      <c r="AY52" s="333">
        <v>2699101.69</v>
      </c>
      <c r="AZ52" s="333">
        <v>2889340.85</v>
      </c>
      <c r="BA52" s="333">
        <v>2906393.01</v>
      </c>
      <c r="BB52" s="333">
        <v>2949930.8</v>
      </c>
      <c r="BC52" s="333">
        <v>3073693.28</v>
      </c>
      <c r="BD52" s="333">
        <v>3449271.19</v>
      </c>
      <c r="BE52" s="333">
        <v>3511504.59</v>
      </c>
      <c r="BF52" s="333">
        <v>3614331.63</v>
      </c>
      <c r="BG52" s="333"/>
      <c r="BH52" s="333">
        <v>5013001.04</v>
      </c>
      <c r="BI52" s="482">
        <v>5135021.83</v>
      </c>
      <c r="BJ52" s="482">
        <v>3881123.24</v>
      </c>
      <c r="BK52" s="482">
        <f>65703.24+4041548.54</f>
        <v>4107251.7800000003</v>
      </c>
      <c r="BL52" s="482">
        <f>67012.14+4255894.36</f>
        <v>4322906.5</v>
      </c>
      <c r="BM52" s="482">
        <f>255.27+63901.05+3618273.38</f>
        <v>3682429.6999999997</v>
      </c>
      <c r="BN52" s="482">
        <v>4095286.1</v>
      </c>
      <c r="BO52" s="523">
        <v>4255200.5199999996</v>
      </c>
      <c r="BP52" s="523">
        <v>4293079.5</v>
      </c>
      <c r="BQ52" s="523">
        <v>4241194.46</v>
      </c>
      <c r="BR52" s="523">
        <v>4292220.6399999997</v>
      </c>
      <c r="BS52" s="523">
        <v>4412908.07</v>
      </c>
      <c r="BT52" s="523">
        <v>4488476.2</v>
      </c>
      <c r="BU52" s="523">
        <v>4527842.51</v>
      </c>
      <c r="BV52" s="523">
        <v>4448190.54</v>
      </c>
    </row>
    <row r="53" spans="1:74"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c r="AP53" s="333">
        <v>958369</v>
      </c>
      <c r="AQ53" s="333">
        <v>955519.72</v>
      </c>
      <c r="AR53" s="333">
        <v>1018692.5</v>
      </c>
      <c r="AS53" s="333">
        <v>999873.22</v>
      </c>
      <c r="AT53" s="333">
        <v>1024149.29</v>
      </c>
      <c r="AU53" s="333">
        <v>1044043.97</v>
      </c>
      <c r="AV53" s="333">
        <v>1120325.43</v>
      </c>
      <c r="AW53" s="333">
        <v>1117461.05</v>
      </c>
      <c r="AX53" s="333">
        <v>1136116.6200000001</v>
      </c>
      <c r="AY53" s="333">
        <v>118038.92</v>
      </c>
      <c r="AZ53" s="333">
        <v>1323809.04</v>
      </c>
      <c r="BA53" s="333">
        <v>1355122.52</v>
      </c>
      <c r="BB53" s="333">
        <v>1373021</v>
      </c>
      <c r="BC53" s="333">
        <v>1307729.78</v>
      </c>
      <c r="BD53" s="333">
        <v>1558211.96</v>
      </c>
      <c r="BE53" s="333">
        <v>1808437.24</v>
      </c>
      <c r="BF53" s="333">
        <v>1751835.64</v>
      </c>
      <c r="BG53" s="333"/>
      <c r="BH53" s="333"/>
      <c r="BI53" s="333"/>
      <c r="BJ53" s="333">
        <v>1140935.3500000001</v>
      </c>
      <c r="BK53" s="333">
        <f>13936.95+1213848.95</f>
        <v>1227785.8999999999</v>
      </c>
      <c r="BL53" s="333">
        <f>14229+1280019.19</f>
        <v>1294248.19</v>
      </c>
      <c r="BM53" s="333">
        <f>14982.96+1922739.94</f>
        <v>1937722.9</v>
      </c>
      <c r="BN53" s="333">
        <v>2049793.95</v>
      </c>
      <c r="BO53" s="523">
        <v>2127983.12</v>
      </c>
      <c r="BP53" s="523">
        <v>2221684.0299999998</v>
      </c>
      <c r="BQ53" s="523">
        <v>2179904.5499999998</v>
      </c>
      <c r="BR53" s="523">
        <v>1964690.39</v>
      </c>
      <c r="BS53" s="523">
        <v>2010324.42</v>
      </c>
      <c r="BT53" s="523">
        <v>2071858.16</v>
      </c>
      <c r="BU53" s="523">
        <v>2115626.5499999998</v>
      </c>
      <c r="BV53" s="523">
        <v>2079120.48</v>
      </c>
    </row>
    <row r="54" spans="1:74"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c r="AP54" s="333">
        <v>44722.32</v>
      </c>
      <c r="AQ54" s="333">
        <v>43313.760000000002</v>
      </c>
      <c r="AR54" s="333">
        <v>44652.36</v>
      </c>
      <c r="AS54" s="333">
        <v>42096.97</v>
      </c>
      <c r="AT54" s="333">
        <v>46642.31</v>
      </c>
      <c r="AU54" s="333">
        <v>46696.58</v>
      </c>
      <c r="AV54" s="333">
        <v>46481.279999999999</v>
      </c>
      <c r="AW54" s="333">
        <v>43171.01</v>
      </c>
      <c r="AX54" s="333">
        <v>57030.66</v>
      </c>
      <c r="AY54" s="333">
        <v>56435.3</v>
      </c>
      <c r="AZ54" s="333">
        <v>60818.91</v>
      </c>
      <c r="BA54" s="333">
        <v>60860.3</v>
      </c>
      <c r="BB54" s="333">
        <v>64908.79</v>
      </c>
      <c r="BC54" s="333">
        <v>71132.3</v>
      </c>
      <c r="BD54" s="333">
        <v>85049.279999999999</v>
      </c>
      <c r="BE54" s="333">
        <v>88085.55</v>
      </c>
      <c r="BF54" s="333">
        <v>88800.320000000007</v>
      </c>
      <c r="BG54" s="333"/>
      <c r="BH54" s="333">
        <v>140672.57</v>
      </c>
      <c r="BI54" s="333">
        <v>140897.31</v>
      </c>
      <c r="BJ54" s="333">
        <v>78048.28</v>
      </c>
      <c r="BK54" s="333">
        <f>80322.85+16463.01+97.25</f>
        <v>96883.11</v>
      </c>
      <c r="BL54" s="333">
        <f>82229.91+15254.78+97.25</f>
        <v>97581.94</v>
      </c>
      <c r="BM54" s="333">
        <f>85583.48+16108.96+97.25</f>
        <v>101789.69</v>
      </c>
      <c r="BN54" s="333">
        <v>115832.82</v>
      </c>
      <c r="BO54" s="523">
        <v>128346.38</v>
      </c>
      <c r="BP54" s="523">
        <v>141110.1</v>
      </c>
      <c r="BQ54" s="523">
        <v>140506.16</v>
      </c>
      <c r="BR54" s="523">
        <v>148448.26</v>
      </c>
      <c r="BS54" s="523">
        <v>163200.5</v>
      </c>
      <c r="BT54" s="523">
        <v>167260.26999999999</v>
      </c>
      <c r="BU54" s="523">
        <v>166813.26</v>
      </c>
      <c r="BV54" s="523">
        <v>163940.12</v>
      </c>
    </row>
    <row r="55" spans="1:74"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c r="AP55" s="333">
        <v>102134.41</v>
      </c>
      <c r="AQ55" s="333">
        <v>92340.28</v>
      </c>
      <c r="AR55" s="333">
        <v>96170.73</v>
      </c>
      <c r="AS55" s="333">
        <v>70659.31</v>
      </c>
      <c r="AT55" s="333">
        <v>69772.62</v>
      </c>
      <c r="AU55" s="333">
        <v>69772.62</v>
      </c>
      <c r="AV55" s="333">
        <v>70502.55</v>
      </c>
      <c r="AW55" s="333">
        <v>56702.64</v>
      </c>
      <c r="AX55" s="333">
        <v>62233.49</v>
      </c>
      <c r="AY55" s="333">
        <v>68091.929999999993</v>
      </c>
      <c r="AZ55" s="333">
        <v>71128.44</v>
      </c>
      <c r="BA55" s="333">
        <v>70552.820000000007</v>
      </c>
      <c r="BB55" s="333">
        <v>52306.5</v>
      </c>
      <c r="BC55" s="333">
        <v>84566.45</v>
      </c>
      <c r="BD55" s="333">
        <v>97447.06</v>
      </c>
      <c r="BE55" s="333">
        <v>88783.43</v>
      </c>
      <c r="BF55" s="333">
        <v>89095.15</v>
      </c>
      <c r="BG55" s="333"/>
      <c r="BH55" s="333"/>
      <c r="BI55" s="333"/>
      <c r="BJ55" s="333">
        <v>98340.12</v>
      </c>
      <c r="BK55" s="333">
        <f>72885.04+18852.24+10297.6</f>
        <v>102034.88</v>
      </c>
      <c r="BL55" s="333">
        <f>67281.87+20759.16+21300.89</f>
        <v>109341.92</v>
      </c>
      <c r="BM55" s="333">
        <f>73136.02+20759.16+21300.89</f>
        <v>115196.07</v>
      </c>
      <c r="BN55" s="333">
        <v>138350.01999999999</v>
      </c>
      <c r="BO55" s="523">
        <v>134624.35</v>
      </c>
      <c r="BP55" s="523">
        <v>96591.21</v>
      </c>
      <c r="BQ55" s="523">
        <v>95206.44</v>
      </c>
      <c r="BR55" s="523">
        <v>113436.1</v>
      </c>
      <c r="BS55" s="523">
        <v>108599.67999999999</v>
      </c>
      <c r="BT55" s="523">
        <v>130622.19</v>
      </c>
      <c r="BU55" s="523">
        <v>135794.94</v>
      </c>
      <c r="BV55" s="523">
        <v>135794.94</v>
      </c>
    </row>
    <row r="56" spans="1:74"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c r="AP56" s="333">
        <v>0</v>
      </c>
      <c r="AQ56" s="333">
        <v>0</v>
      </c>
      <c r="AR56" s="333">
        <v>0</v>
      </c>
      <c r="AS56" s="333">
        <v>0</v>
      </c>
      <c r="AT56" s="333">
        <v>0</v>
      </c>
      <c r="AU56" s="333">
        <v>0</v>
      </c>
      <c r="AV56" s="333">
        <v>0</v>
      </c>
      <c r="AW56" s="333">
        <v>0</v>
      </c>
      <c r="AX56" s="333">
        <v>0</v>
      </c>
      <c r="AY56" s="333">
        <v>0</v>
      </c>
      <c r="AZ56" s="333">
        <v>0</v>
      </c>
      <c r="BA56" s="333">
        <v>0</v>
      </c>
      <c r="BB56" s="333">
        <v>0</v>
      </c>
      <c r="BC56" s="333">
        <v>0</v>
      </c>
      <c r="BD56" s="333">
        <v>0</v>
      </c>
      <c r="BE56" s="333">
        <v>0</v>
      </c>
      <c r="BF56" s="333">
        <v>0</v>
      </c>
      <c r="BG56" s="333"/>
      <c r="BH56" s="333"/>
      <c r="BI56" s="333"/>
      <c r="BJ56" s="333">
        <v>0</v>
      </c>
      <c r="BK56" s="333">
        <v>0</v>
      </c>
      <c r="BL56" s="333">
        <v>0</v>
      </c>
      <c r="BM56" s="333">
        <v>0</v>
      </c>
      <c r="BN56" s="333">
        <v>9473.86</v>
      </c>
      <c r="BO56" s="523">
        <v>2933.47</v>
      </c>
      <c r="BP56" s="523">
        <v>2933.47</v>
      </c>
      <c r="BQ56" s="523">
        <v>2933.47</v>
      </c>
      <c r="BR56" s="523">
        <v>2933.47</v>
      </c>
      <c r="BS56" s="523">
        <v>14198.893</v>
      </c>
      <c r="BT56" s="523">
        <v>14198.89</v>
      </c>
      <c r="BU56" s="523">
        <v>13280.39</v>
      </c>
      <c r="BV56" s="523">
        <v>13280.39</v>
      </c>
    </row>
    <row r="57" spans="1:74" x14ac:dyDescent="0.25">
      <c r="A57" s="4"/>
      <c r="B57" s="35" t="s">
        <v>41</v>
      </c>
      <c r="C57" s="108">
        <f>SUM(C52:C56)</f>
        <v>1996955.9900000002</v>
      </c>
      <c r="D57" s="79">
        <f>SUM(D52:D56)</f>
        <v>2255188.77</v>
      </c>
      <c r="E57" s="79">
        <f t="shared" ref="E57:AG57" si="28">SUM(E52:E56)</f>
        <v>2461382.44</v>
      </c>
      <c r="F57" s="79">
        <f t="shared" si="28"/>
        <v>2466540.7200000007</v>
      </c>
      <c r="G57" s="79">
        <f t="shared" si="28"/>
        <v>2681467.5</v>
      </c>
      <c r="H57" s="79">
        <f t="shared" si="28"/>
        <v>2861329.7600000002</v>
      </c>
      <c r="I57" s="79">
        <f t="shared" si="28"/>
        <v>3168062.0900000003</v>
      </c>
      <c r="J57" s="79">
        <f t="shared" si="28"/>
        <v>3199264.12</v>
      </c>
      <c r="K57" s="79">
        <f t="shared" si="28"/>
        <v>3369560.7</v>
      </c>
      <c r="L57" s="110">
        <f t="shared" si="28"/>
        <v>3415988.12</v>
      </c>
      <c r="M57" s="79">
        <f t="shared" si="28"/>
        <v>3396447.76</v>
      </c>
      <c r="N57" s="79">
        <f t="shared" si="28"/>
        <v>3281244.92</v>
      </c>
      <c r="O57" s="79">
        <f t="shared" si="28"/>
        <v>3294462.43</v>
      </c>
      <c r="P57" s="79">
        <f t="shared" si="28"/>
        <v>3444846.7600000007</v>
      </c>
      <c r="Q57" s="79">
        <f t="shared" si="28"/>
        <v>3468520.64</v>
      </c>
      <c r="R57" s="79">
        <f t="shared" si="28"/>
        <v>3541341.3400000003</v>
      </c>
      <c r="S57" s="79">
        <f t="shared" si="28"/>
        <v>3584904.86</v>
      </c>
      <c r="T57" s="79">
        <f t="shared" si="28"/>
        <v>3550041.3699999996</v>
      </c>
      <c r="U57" s="175">
        <f t="shared" si="28"/>
        <v>3660268.4899999998</v>
      </c>
      <c r="V57" s="175">
        <f t="shared" si="28"/>
        <v>3775138.08</v>
      </c>
      <c r="W57" s="175">
        <f t="shared" si="28"/>
        <v>3661167.3499999996</v>
      </c>
      <c r="X57" s="175">
        <f t="shared" si="28"/>
        <v>3662968.82</v>
      </c>
      <c r="Y57" s="175">
        <f t="shared" si="28"/>
        <v>3671070.41</v>
      </c>
      <c r="Z57" s="175">
        <f t="shared" si="28"/>
        <v>3723459.9899999998</v>
      </c>
      <c r="AA57" s="175">
        <f t="shared" si="28"/>
        <v>3560446.7000000007</v>
      </c>
      <c r="AB57" s="109">
        <f t="shared" si="28"/>
        <v>3552167.6199999996</v>
      </c>
      <c r="AC57" s="273">
        <f t="shared" si="28"/>
        <v>3579206.9899999998</v>
      </c>
      <c r="AD57" s="273">
        <f t="shared" si="28"/>
        <v>3523248.2899999996</v>
      </c>
      <c r="AE57" s="273">
        <f t="shared" si="28"/>
        <v>3370969.83</v>
      </c>
      <c r="AF57" s="273">
        <f t="shared" si="28"/>
        <v>3229724.7</v>
      </c>
      <c r="AG57" s="334">
        <f t="shared" si="28"/>
        <v>3212914.3000000003</v>
      </c>
      <c r="AH57" s="334">
        <f t="shared" ref="AH57:BC57" si="29">SUM(AH52:AH56)</f>
        <v>3204856.0900000003</v>
      </c>
      <c r="AI57" s="334">
        <f t="shared" si="29"/>
        <v>3406105.67</v>
      </c>
      <c r="AJ57" s="334">
        <f t="shared" si="29"/>
        <v>3392076.9899999998</v>
      </c>
      <c r="AK57" s="334">
        <f t="shared" si="29"/>
        <v>3408986.2399999998</v>
      </c>
      <c r="AL57" s="334">
        <f t="shared" si="29"/>
        <v>3485850.37</v>
      </c>
      <c r="AM57" s="334">
        <f t="shared" si="29"/>
        <v>3421977.8400000003</v>
      </c>
      <c r="AN57" s="334">
        <f t="shared" si="29"/>
        <v>3498292.2399999998</v>
      </c>
      <c r="AO57" s="334">
        <f t="shared" si="29"/>
        <v>3483189.9000000004</v>
      </c>
      <c r="AP57" s="334">
        <f t="shared" si="29"/>
        <v>3564284.93</v>
      </c>
      <c r="AQ57" s="334">
        <f t="shared" si="29"/>
        <v>3548481.5499999993</v>
      </c>
      <c r="AR57" s="334">
        <f t="shared" si="29"/>
        <v>3670327.15</v>
      </c>
      <c r="AS57" s="334">
        <f t="shared" si="29"/>
        <v>3604078.05</v>
      </c>
      <c r="AT57" s="334">
        <f t="shared" si="29"/>
        <v>3723402.74</v>
      </c>
      <c r="AU57" s="334">
        <f t="shared" si="29"/>
        <v>3792414.3100000005</v>
      </c>
      <c r="AV57" s="334">
        <f t="shared" si="29"/>
        <v>3790331.9099999997</v>
      </c>
      <c r="AW57" s="334">
        <f t="shared" si="29"/>
        <v>3754561.8400000003</v>
      </c>
      <c r="AX57" s="334">
        <f t="shared" si="29"/>
        <v>3880561.7100000004</v>
      </c>
      <c r="AY57" s="334">
        <f t="shared" si="29"/>
        <v>2941667.84</v>
      </c>
      <c r="AZ57" s="334">
        <f t="shared" si="29"/>
        <v>4345097.2400000012</v>
      </c>
      <c r="BA57" s="334">
        <f t="shared" si="29"/>
        <v>4392928.6499999994</v>
      </c>
      <c r="BB57" s="334">
        <f t="shared" si="29"/>
        <v>4440167.09</v>
      </c>
      <c r="BC57" s="334">
        <f t="shared" si="29"/>
        <v>4537121.8099999996</v>
      </c>
      <c r="BD57" s="334">
        <f t="shared" ref="BD57:BV57" si="30">SUM(BD52:BD56)</f>
        <v>5189979.49</v>
      </c>
      <c r="BE57" s="334">
        <f t="shared" si="30"/>
        <v>5496810.8099999996</v>
      </c>
      <c r="BF57" s="334">
        <f t="shared" si="30"/>
        <v>5544062.7400000002</v>
      </c>
      <c r="BG57" s="334">
        <f t="shared" si="30"/>
        <v>0</v>
      </c>
      <c r="BH57" s="334">
        <f t="shared" si="30"/>
        <v>5153673.6100000003</v>
      </c>
      <c r="BI57" s="334">
        <f t="shared" si="30"/>
        <v>5275919.1399999997</v>
      </c>
      <c r="BJ57" s="334">
        <f t="shared" si="30"/>
        <v>5198446.99</v>
      </c>
      <c r="BK57" s="334">
        <f t="shared" si="30"/>
        <v>5533955.6699999999</v>
      </c>
      <c r="BL57" s="334">
        <f t="shared" si="30"/>
        <v>5824078.5499999998</v>
      </c>
      <c r="BM57" s="334">
        <f t="shared" si="30"/>
        <v>5837138.3600000003</v>
      </c>
      <c r="BN57" s="334">
        <f t="shared" si="30"/>
        <v>6408736.75</v>
      </c>
      <c r="BO57" s="334">
        <f t="shared" si="30"/>
        <v>6649087.8399999989</v>
      </c>
      <c r="BP57" s="334">
        <f t="shared" si="30"/>
        <v>6755398.3099999987</v>
      </c>
      <c r="BQ57" s="334">
        <f t="shared" si="30"/>
        <v>6659745.0800000001</v>
      </c>
      <c r="BR57" s="334">
        <f t="shared" si="30"/>
        <v>6521728.8599999985</v>
      </c>
      <c r="BS57" s="334">
        <f t="shared" si="30"/>
        <v>6709231.5630000001</v>
      </c>
      <c r="BT57" s="334">
        <f t="shared" si="30"/>
        <v>6872415.71</v>
      </c>
      <c r="BU57" s="334">
        <f t="shared" si="30"/>
        <v>6959357.6499999994</v>
      </c>
      <c r="BV57" s="334">
        <f t="shared" si="30"/>
        <v>6840326.4699999997</v>
      </c>
    </row>
    <row r="58" spans="1:74"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c r="AP58" s="333"/>
      <c r="AQ58" s="333"/>
      <c r="AR58" s="333"/>
      <c r="AS58" s="333"/>
      <c r="AT58" s="333"/>
      <c r="AU58" s="333"/>
      <c r="AV58" s="333"/>
      <c r="AW58" s="333"/>
      <c r="AX58" s="333"/>
      <c r="AY58" s="333"/>
      <c r="AZ58" s="333"/>
      <c r="BA58" s="333"/>
      <c r="BB58" s="333"/>
      <c r="BC58" s="333"/>
      <c r="BD58" s="333"/>
      <c r="BE58" s="333"/>
      <c r="BF58" s="333"/>
      <c r="BG58" s="333"/>
      <c r="BH58" s="333"/>
      <c r="BI58" s="333"/>
      <c r="BJ58" s="333"/>
      <c r="BK58" s="333"/>
      <c r="BL58" s="333"/>
      <c r="BM58" s="333"/>
      <c r="BN58" s="333"/>
      <c r="BO58" s="333"/>
      <c r="BP58" s="333"/>
      <c r="BQ58" s="333"/>
      <c r="BR58" s="333"/>
      <c r="BS58" s="333"/>
      <c r="BT58" s="333"/>
      <c r="BU58" s="333"/>
      <c r="BV58" s="333"/>
    </row>
    <row r="59" spans="1:74" x14ac:dyDescent="0.25">
      <c r="A59" s="4"/>
      <c r="B59" s="35" t="s">
        <v>36</v>
      </c>
      <c r="C59" s="227">
        <f>SUM(C38+C45+C52)</f>
        <v>3826695.65</v>
      </c>
      <c r="D59" s="77">
        <f>SUM(D38+D45+D52)</f>
        <v>3818671.59</v>
      </c>
      <c r="E59" s="77">
        <f>SUM(E38+E45+E52)</f>
        <v>3838253.42</v>
      </c>
      <c r="F59" s="77">
        <f t="shared" ref="F59:AG59" si="31">SUM(F38+F45+F52)</f>
        <v>3806505.1900000004</v>
      </c>
      <c r="G59" s="77">
        <f t="shared" si="31"/>
        <v>3823123.29</v>
      </c>
      <c r="H59" s="77">
        <f>SUM(H38+H52+H45)</f>
        <v>3934165.3300000005</v>
      </c>
      <c r="I59" s="77">
        <f t="shared" si="31"/>
        <v>4065137.2300000004</v>
      </c>
      <c r="J59" s="77">
        <f t="shared" si="31"/>
        <v>4014844.29</v>
      </c>
      <c r="K59" s="77">
        <f t="shared" si="31"/>
        <v>4014264.08</v>
      </c>
      <c r="L59" s="78">
        <f t="shared" si="31"/>
        <v>4227082.0500000007</v>
      </c>
      <c r="M59" s="79">
        <f t="shared" si="31"/>
        <v>4336213.28</v>
      </c>
      <c r="N59" s="79">
        <f t="shared" si="31"/>
        <v>4439648.2699999996</v>
      </c>
      <c r="O59" s="79">
        <f t="shared" si="31"/>
        <v>4371216.63</v>
      </c>
      <c r="P59" s="79">
        <f t="shared" si="31"/>
        <v>4293148.4000000004</v>
      </c>
      <c r="Q59" s="79">
        <f t="shared" si="31"/>
        <v>3966386.17</v>
      </c>
      <c r="R59" s="79">
        <f t="shared" si="31"/>
        <v>3937995.4000000004</v>
      </c>
      <c r="S59" s="79">
        <f t="shared" si="31"/>
        <v>3794364.2</v>
      </c>
      <c r="T59" s="79">
        <f t="shared" si="31"/>
        <v>3773771.84</v>
      </c>
      <c r="U59" s="189">
        <f t="shared" si="31"/>
        <v>3666658.9299999997</v>
      </c>
      <c r="V59" s="189">
        <f t="shared" si="31"/>
        <v>3626830.38</v>
      </c>
      <c r="W59" s="189">
        <f t="shared" si="31"/>
        <v>3518991.0100000002</v>
      </c>
      <c r="X59" s="189">
        <f t="shared" si="31"/>
        <v>3602157.82</v>
      </c>
      <c r="Y59" s="189">
        <f t="shared" si="31"/>
        <v>3523063.09</v>
      </c>
      <c r="Z59" s="189">
        <f t="shared" si="31"/>
        <v>3529365.59</v>
      </c>
      <c r="AA59" s="189">
        <f t="shared" si="31"/>
        <v>3439204.49</v>
      </c>
      <c r="AB59" s="254">
        <f t="shared" si="31"/>
        <v>3392870.92</v>
      </c>
      <c r="AC59" s="254">
        <f t="shared" si="31"/>
        <v>3397006.97</v>
      </c>
      <c r="AD59" s="254">
        <f t="shared" si="31"/>
        <v>3395212.3600000003</v>
      </c>
      <c r="AE59" s="254">
        <f t="shared" si="31"/>
        <v>3280909.2399999998</v>
      </c>
      <c r="AF59" s="254">
        <f t="shared" si="31"/>
        <v>3140365.71</v>
      </c>
      <c r="AG59" s="335">
        <f t="shared" si="31"/>
        <v>3057907.73</v>
      </c>
      <c r="AH59" s="335">
        <f t="shared" ref="AH59:BC59" si="32">SUM(AH38+AH45+AH52)</f>
        <v>3028735.71</v>
      </c>
      <c r="AI59" s="335">
        <f t="shared" si="32"/>
        <v>3174664.31</v>
      </c>
      <c r="AJ59" s="335">
        <f t="shared" si="32"/>
        <v>3122481.41</v>
      </c>
      <c r="AK59" s="335">
        <f t="shared" si="32"/>
        <v>3169054.74</v>
      </c>
      <c r="AL59" s="335">
        <f t="shared" si="32"/>
        <v>3263874.29</v>
      </c>
      <c r="AM59" s="335">
        <f t="shared" si="32"/>
        <v>3318228.7700000005</v>
      </c>
      <c r="AN59" s="335">
        <f t="shared" si="32"/>
        <v>3401153.3200000003</v>
      </c>
      <c r="AO59" s="335">
        <f t="shared" si="32"/>
        <v>3509660.58</v>
      </c>
      <c r="AP59" s="335">
        <f t="shared" si="32"/>
        <v>3674411.4400000004</v>
      </c>
      <c r="AQ59" s="335">
        <f t="shared" si="32"/>
        <v>3828314.5</v>
      </c>
      <c r="AR59" s="335">
        <f t="shared" si="32"/>
        <v>4124015.48</v>
      </c>
      <c r="AS59" s="335">
        <f t="shared" si="32"/>
        <v>4100918.99</v>
      </c>
      <c r="AT59" s="335">
        <f t="shared" si="32"/>
        <v>4930081.28</v>
      </c>
      <c r="AU59" s="335">
        <f t="shared" si="32"/>
        <v>4989657.3100000005</v>
      </c>
      <c r="AV59" s="335">
        <f t="shared" si="32"/>
        <v>5199406.8100000005</v>
      </c>
      <c r="AW59" s="335">
        <f t="shared" si="32"/>
        <v>5371530.6099999994</v>
      </c>
      <c r="AX59" s="335">
        <f t="shared" si="32"/>
        <v>5560875.9000000004</v>
      </c>
      <c r="AY59" s="335">
        <f t="shared" si="32"/>
        <v>5690559.8799999999</v>
      </c>
      <c r="AZ59" s="335">
        <f t="shared" si="32"/>
        <v>6018630.1400000006</v>
      </c>
      <c r="BA59" s="335">
        <f t="shared" si="32"/>
        <v>6064852.0999999996</v>
      </c>
      <c r="BB59" s="335">
        <f t="shared" si="32"/>
        <v>6243229.7699999996</v>
      </c>
      <c r="BC59" s="335">
        <f t="shared" si="32"/>
        <v>6390912.4900000002</v>
      </c>
      <c r="BD59" s="335">
        <f t="shared" ref="BD59:BV59" si="33">SUM(BD38+BD45+BD52)</f>
        <v>6661983.0800000001</v>
      </c>
      <c r="BE59" s="335">
        <f t="shared" si="33"/>
        <v>6735653.7799999993</v>
      </c>
      <c r="BF59" s="335">
        <f t="shared" si="33"/>
        <v>6559525.8399999999</v>
      </c>
      <c r="BG59" s="335">
        <f t="shared" si="33"/>
        <v>0</v>
      </c>
      <c r="BH59" s="335">
        <f t="shared" si="33"/>
        <v>8457101.6799999997</v>
      </c>
      <c r="BI59" s="335">
        <f t="shared" si="33"/>
        <v>7588465.0999999996</v>
      </c>
      <c r="BJ59" s="335">
        <f t="shared" si="33"/>
        <v>6416886.6400000006</v>
      </c>
      <c r="BK59" s="335">
        <f t="shared" si="33"/>
        <v>6446578.1800000006</v>
      </c>
      <c r="BL59" s="335">
        <f t="shared" si="33"/>
        <v>6582041.8899999997</v>
      </c>
      <c r="BM59" s="335">
        <f t="shared" si="33"/>
        <v>5416684.3399999999</v>
      </c>
      <c r="BN59" s="335">
        <f t="shared" si="33"/>
        <v>5798012.6500000004</v>
      </c>
      <c r="BO59" s="335">
        <f t="shared" si="33"/>
        <v>5978467.8599999994</v>
      </c>
      <c r="BP59" s="335">
        <f t="shared" si="33"/>
        <v>5730012.0700000003</v>
      </c>
      <c r="BQ59" s="335">
        <f t="shared" si="33"/>
        <v>5643067.7699999996</v>
      </c>
      <c r="BR59" s="335">
        <f t="shared" si="33"/>
        <v>5468191.1299999999</v>
      </c>
      <c r="BS59" s="335">
        <f t="shared" si="33"/>
        <v>5553140.29</v>
      </c>
      <c r="BT59" s="335">
        <f t="shared" si="33"/>
        <v>5482530.3399999999</v>
      </c>
      <c r="BU59" s="335">
        <f t="shared" si="33"/>
        <v>5400745.0199999996</v>
      </c>
      <c r="BV59" s="335">
        <f t="shared" si="33"/>
        <v>5323720.5199999996</v>
      </c>
    </row>
    <row r="60" spans="1:74" x14ac:dyDescent="0.25">
      <c r="A60" s="4"/>
      <c r="B60" s="35" t="s">
        <v>37</v>
      </c>
      <c r="C60" s="227">
        <f>SUM(C39+C46+C53)</f>
        <v>1567567.1099999999</v>
      </c>
      <c r="D60" s="77">
        <f t="shared" ref="D60:V63" si="34">SUM(D39+D46+D53)</f>
        <v>1531506.0899999999</v>
      </c>
      <c r="E60" s="77">
        <f t="shared" si="34"/>
        <v>1728976.12</v>
      </c>
      <c r="F60" s="77">
        <f t="shared" si="34"/>
        <v>1665043.56</v>
      </c>
      <c r="G60" s="77">
        <f>SUM(G39+G46+G53)</f>
        <v>1612211.27</v>
      </c>
      <c r="H60" s="77">
        <f>SUM(H39+H46+H53)</f>
        <v>1674980.97</v>
      </c>
      <c r="I60" s="77">
        <f t="shared" si="34"/>
        <v>1758995.21</v>
      </c>
      <c r="J60" s="77">
        <f t="shared" si="34"/>
        <v>1699470.96</v>
      </c>
      <c r="K60" s="77">
        <f t="shared" si="34"/>
        <v>1552718.62</v>
      </c>
      <c r="L60" s="109">
        <f t="shared" si="34"/>
        <v>1298363.8900000001</v>
      </c>
      <c r="M60" s="108">
        <f t="shared" si="34"/>
        <v>908056.27</v>
      </c>
      <c r="N60" s="77">
        <f t="shared" si="34"/>
        <v>658804.68999999994</v>
      </c>
      <c r="O60" s="77">
        <f t="shared" si="34"/>
        <v>477830.5</v>
      </c>
      <c r="P60" s="77">
        <f t="shared" si="34"/>
        <v>480998.02</v>
      </c>
      <c r="Q60" s="77">
        <f t="shared" si="34"/>
        <v>664595.54</v>
      </c>
      <c r="R60" s="77">
        <f t="shared" si="34"/>
        <v>519658.04000000004</v>
      </c>
      <c r="S60" s="77">
        <f t="shared" si="34"/>
        <v>490162.33999999997</v>
      </c>
      <c r="T60" s="77">
        <f t="shared" si="34"/>
        <v>501263.5</v>
      </c>
      <c r="U60" s="189">
        <f t="shared" si="34"/>
        <v>528958.55000000005</v>
      </c>
      <c r="V60" s="189">
        <f t="shared" si="34"/>
        <v>571086.63</v>
      </c>
      <c r="W60" s="189">
        <f>SUM(W39+W46+W53)</f>
        <v>563848.92000000004</v>
      </c>
      <c r="X60" s="189">
        <f t="shared" ref="X60:AG60" si="35">SUM(X39+X46+X53)</f>
        <v>716235.66</v>
      </c>
      <c r="Y60" s="189">
        <f t="shared" si="35"/>
        <v>715829.48</v>
      </c>
      <c r="Z60" s="189">
        <f t="shared" si="35"/>
        <v>833446.94</v>
      </c>
      <c r="AA60" s="189">
        <f t="shared" si="35"/>
        <v>967984.77</v>
      </c>
      <c r="AB60" s="254">
        <f t="shared" si="35"/>
        <v>963097.63</v>
      </c>
      <c r="AC60" s="254">
        <f t="shared" si="35"/>
        <v>1025401.58</v>
      </c>
      <c r="AD60" s="254">
        <f t="shared" si="35"/>
        <v>1028218.38</v>
      </c>
      <c r="AE60" s="254">
        <f t="shared" si="35"/>
        <v>1046998.9500000001</v>
      </c>
      <c r="AF60" s="254">
        <f t="shared" si="35"/>
        <v>1049425.0899999999</v>
      </c>
      <c r="AG60" s="335">
        <f t="shared" si="35"/>
        <v>1072906.6300000001</v>
      </c>
      <c r="AH60" s="335">
        <f t="shared" ref="AH60:BC60" si="36">SUM(AH39+AH46+AH53)</f>
        <v>1141528.8900000001</v>
      </c>
      <c r="AI60" s="335">
        <f t="shared" si="36"/>
        <v>1274737.03</v>
      </c>
      <c r="AJ60" s="335">
        <f t="shared" si="36"/>
        <v>1276346.2999999998</v>
      </c>
      <c r="AK60" s="335">
        <f t="shared" si="36"/>
        <v>1301546.6499999999</v>
      </c>
      <c r="AL60" s="335">
        <f t="shared" si="36"/>
        <v>1327528.98</v>
      </c>
      <c r="AM60" s="335">
        <f t="shared" si="36"/>
        <v>1380122.58</v>
      </c>
      <c r="AN60" s="335">
        <f t="shared" si="36"/>
        <v>1434201.88</v>
      </c>
      <c r="AO60" s="335">
        <f t="shared" si="36"/>
        <v>1443140.04</v>
      </c>
      <c r="AP60" s="335">
        <f t="shared" si="36"/>
        <v>1552276.1400000001</v>
      </c>
      <c r="AQ60" s="335">
        <f t="shared" si="36"/>
        <v>1573366.91</v>
      </c>
      <c r="AR60" s="335">
        <f t="shared" si="36"/>
        <v>1797552.76</v>
      </c>
      <c r="AS60" s="335">
        <f t="shared" si="36"/>
        <v>1817646.5</v>
      </c>
      <c r="AT60" s="335">
        <f t="shared" si="36"/>
        <v>1924179.42</v>
      </c>
      <c r="AU60" s="335">
        <f t="shared" si="36"/>
        <v>1927712.6400000001</v>
      </c>
      <c r="AV60" s="335">
        <f t="shared" si="36"/>
        <v>2237017.4299999997</v>
      </c>
      <c r="AW60" s="335">
        <f t="shared" si="36"/>
        <v>2449019.9900000002</v>
      </c>
      <c r="AX60" s="335">
        <f t="shared" si="36"/>
        <v>2310117.52</v>
      </c>
      <c r="AY60" s="335">
        <f t="shared" si="36"/>
        <v>1292092.56</v>
      </c>
      <c r="AZ60" s="335">
        <f t="shared" si="36"/>
        <v>2554632.2400000002</v>
      </c>
      <c r="BA60" s="335">
        <f t="shared" si="36"/>
        <v>2642100.1</v>
      </c>
      <c r="BB60" s="335">
        <f t="shared" si="36"/>
        <v>2676417.4900000002</v>
      </c>
      <c r="BC60" s="335">
        <f t="shared" si="36"/>
        <v>2414823.59</v>
      </c>
      <c r="BD60" s="335">
        <f t="shared" ref="BD60:BV60" si="37">SUM(BD39+BD46+BD53)</f>
        <v>2590682.08</v>
      </c>
      <c r="BE60" s="335">
        <f t="shared" si="37"/>
        <v>2924193.3499999996</v>
      </c>
      <c r="BF60" s="335">
        <f t="shared" si="37"/>
        <v>2691170.05</v>
      </c>
      <c r="BG60" s="335">
        <f t="shared" si="37"/>
        <v>0</v>
      </c>
      <c r="BH60" s="335">
        <f t="shared" si="37"/>
        <v>0</v>
      </c>
      <c r="BI60" s="335">
        <f t="shared" si="37"/>
        <v>0</v>
      </c>
      <c r="BJ60" s="335">
        <f t="shared" si="37"/>
        <v>1695550.09</v>
      </c>
      <c r="BK60" s="335">
        <f t="shared" si="37"/>
        <v>1744087.0299999998</v>
      </c>
      <c r="BL60" s="335">
        <f t="shared" si="37"/>
        <v>1825106.73</v>
      </c>
      <c r="BM60" s="335">
        <f t="shared" si="37"/>
        <v>2686427.26</v>
      </c>
      <c r="BN60" s="335">
        <f t="shared" si="37"/>
        <v>2733033.74</v>
      </c>
      <c r="BO60" s="335">
        <f t="shared" si="37"/>
        <v>2852375.92</v>
      </c>
      <c r="BP60" s="335">
        <f t="shared" si="37"/>
        <v>2826902.4399999995</v>
      </c>
      <c r="BQ60" s="335">
        <f t="shared" si="37"/>
        <v>2766825.94</v>
      </c>
      <c r="BR60" s="335">
        <f t="shared" si="37"/>
        <v>2446049.79</v>
      </c>
      <c r="BS60" s="335">
        <f t="shared" si="37"/>
        <v>2443217.38</v>
      </c>
      <c r="BT60" s="335">
        <f t="shared" si="37"/>
        <v>2429400.8199999998</v>
      </c>
      <c r="BU60" s="335">
        <f t="shared" si="37"/>
        <v>2394013.61</v>
      </c>
      <c r="BV60" s="335">
        <f t="shared" si="37"/>
        <v>2355714.38</v>
      </c>
    </row>
    <row r="61" spans="1:74" x14ac:dyDescent="0.25">
      <c r="A61" s="4"/>
      <c r="B61" s="35" t="s">
        <v>38</v>
      </c>
      <c r="C61" s="227">
        <f>SUM(C40+C47+C54)</f>
        <v>514307.27</v>
      </c>
      <c r="D61" s="77">
        <f t="shared" si="34"/>
        <v>548434.99</v>
      </c>
      <c r="E61" s="77">
        <f t="shared" si="34"/>
        <v>377828.13999999996</v>
      </c>
      <c r="F61" s="77">
        <f t="shared" si="34"/>
        <v>323546.2</v>
      </c>
      <c r="G61" s="77">
        <f t="shared" si="34"/>
        <v>354726.75</v>
      </c>
      <c r="H61" s="77">
        <f t="shared" si="34"/>
        <v>347263.7</v>
      </c>
      <c r="I61" s="77">
        <f t="shared" si="34"/>
        <v>402110.45999999996</v>
      </c>
      <c r="J61" s="77">
        <f t="shared" si="34"/>
        <v>351238.12999999995</v>
      </c>
      <c r="K61" s="77">
        <f t="shared" si="34"/>
        <v>319111.98</v>
      </c>
      <c r="L61" s="109">
        <f t="shared" si="34"/>
        <v>312992.84999999998</v>
      </c>
      <c r="M61" s="108">
        <f t="shared" si="34"/>
        <v>283108.44</v>
      </c>
      <c r="N61" s="77">
        <f t="shared" si="34"/>
        <v>261113.08000000002</v>
      </c>
      <c r="O61" s="77">
        <f t="shared" si="34"/>
        <v>258660.07</v>
      </c>
      <c r="P61" s="77">
        <f t="shared" si="34"/>
        <v>246410.04</v>
      </c>
      <c r="Q61" s="77">
        <f t="shared" si="34"/>
        <v>240875.13</v>
      </c>
      <c r="R61" s="77">
        <f t="shared" si="34"/>
        <v>224331.5</v>
      </c>
      <c r="S61" s="77">
        <f t="shared" si="34"/>
        <v>209907.66</v>
      </c>
      <c r="T61" s="77">
        <f t="shared" si="34"/>
        <v>211261.3</v>
      </c>
      <c r="U61" s="189">
        <f t="shared" si="34"/>
        <v>195476.45</v>
      </c>
      <c r="V61" s="189">
        <f t="shared" si="34"/>
        <v>343171.83999999997</v>
      </c>
      <c r="W61" s="189">
        <f t="shared" ref="W61:AG61" si="38">SUM(W40+W47+W54)</f>
        <v>310871.3</v>
      </c>
      <c r="X61" s="189">
        <f t="shared" si="38"/>
        <v>314897.70999999996</v>
      </c>
      <c r="Y61" s="189">
        <f t="shared" si="38"/>
        <v>308651.82</v>
      </c>
      <c r="Z61" s="189">
        <f t="shared" si="38"/>
        <v>131697.45000000001</v>
      </c>
      <c r="AA61" s="189">
        <f t="shared" si="38"/>
        <v>105351.69</v>
      </c>
      <c r="AB61" s="254">
        <f t="shared" si="38"/>
        <v>97031.02</v>
      </c>
      <c r="AC61" s="254">
        <f t="shared" si="38"/>
        <v>99542.260000000009</v>
      </c>
      <c r="AD61" s="254">
        <f t="shared" si="38"/>
        <v>91622.51999999999</v>
      </c>
      <c r="AE61" s="254">
        <f t="shared" si="38"/>
        <v>76698.33</v>
      </c>
      <c r="AF61" s="254">
        <f t="shared" si="38"/>
        <v>71783.61</v>
      </c>
      <c r="AG61" s="335">
        <f t="shared" si="38"/>
        <v>78460.2</v>
      </c>
      <c r="AH61" s="335">
        <f t="shared" ref="AH61:BC61" si="39">SUM(AH40+AH47+AH54)</f>
        <v>83963.25</v>
      </c>
      <c r="AI61" s="335">
        <f t="shared" si="39"/>
        <v>87781.440000000002</v>
      </c>
      <c r="AJ61" s="335">
        <f t="shared" si="39"/>
        <v>83092.61</v>
      </c>
      <c r="AK61" s="335">
        <f t="shared" si="39"/>
        <v>94506.579999999987</v>
      </c>
      <c r="AL61" s="335">
        <f t="shared" si="39"/>
        <v>105142.95</v>
      </c>
      <c r="AM61" s="335">
        <f t="shared" si="39"/>
        <v>128833.12</v>
      </c>
      <c r="AN61" s="335">
        <f t="shared" si="39"/>
        <v>119336.32000000001</v>
      </c>
      <c r="AO61" s="335">
        <f t="shared" si="39"/>
        <v>133618.27000000002</v>
      </c>
      <c r="AP61" s="335">
        <f t="shared" si="39"/>
        <v>172533.78</v>
      </c>
      <c r="AQ61" s="335">
        <f t="shared" si="39"/>
        <v>184943.30000000002</v>
      </c>
      <c r="AR61" s="335">
        <f t="shared" si="39"/>
        <v>217197.52999999997</v>
      </c>
      <c r="AS61" s="335">
        <f t="shared" si="39"/>
        <v>165871.42000000001</v>
      </c>
      <c r="AT61" s="335">
        <f t="shared" si="39"/>
        <v>278915.65999999997</v>
      </c>
      <c r="AU61" s="335">
        <f t="shared" si="39"/>
        <v>278690.8</v>
      </c>
      <c r="AV61" s="335">
        <f t="shared" si="39"/>
        <v>357770.77</v>
      </c>
      <c r="AW61" s="335">
        <f t="shared" si="39"/>
        <v>330170.7</v>
      </c>
      <c r="AX61" s="335">
        <f t="shared" si="39"/>
        <v>312104.53999999998</v>
      </c>
      <c r="AY61" s="335">
        <f t="shared" si="39"/>
        <v>276161.53999999998</v>
      </c>
      <c r="AZ61" s="335">
        <f t="shared" si="39"/>
        <v>329783.62</v>
      </c>
      <c r="BA61" s="335">
        <f t="shared" si="39"/>
        <v>287123.98</v>
      </c>
      <c r="BB61" s="335">
        <f t="shared" si="39"/>
        <v>264082.76</v>
      </c>
      <c r="BC61" s="335">
        <f t="shared" si="39"/>
        <v>297452.27</v>
      </c>
      <c r="BD61" s="335">
        <f t="shared" ref="BD61:BV61" si="40">SUM(BD40+BD47+BD54)</f>
        <v>309097.70999999996</v>
      </c>
      <c r="BE61" s="335">
        <f t="shared" si="40"/>
        <v>307800.88</v>
      </c>
      <c r="BF61" s="335">
        <f t="shared" si="40"/>
        <v>300392.73</v>
      </c>
      <c r="BG61" s="335">
        <f t="shared" si="40"/>
        <v>0</v>
      </c>
      <c r="BH61" s="335">
        <f t="shared" si="40"/>
        <v>528772.84</v>
      </c>
      <c r="BI61" s="335">
        <f t="shared" si="40"/>
        <v>532041.89999999991</v>
      </c>
      <c r="BJ61" s="335">
        <f t="shared" si="40"/>
        <v>217178.36000000002</v>
      </c>
      <c r="BK61" s="335">
        <f t="shared" si="40"/>
        <v>236598.96999999997</v>
      </c>
      <c r="BL61" s="335">
        <f t="shared" si="40"/>
        <v>247922.99</v>
      </c>
      <c r="BM61" s="335">
        <f t="shared" si="40"/>
        <v>240144.48</v>
      </c>
      <c r="BN61" s="335">
        <f t="shared" si="40"/>
        <v>252013.81</v>
      </c>
      <c r="BO61" s="335">
        <f t="shared" si="40"/>
        <v>244940.66</v>
      </c>
      <c r="BP61" s="335">
        <f t="shared" si="40"/>
        <v>235143.24</v>
      </c>
      <c r="BQ61" s="335">
        <f t="shared" si="40"/>
        <v>230432.01</v>
      </c>
      <c r="BR61" s="335">
        <f t="shared" si="40"/>
        <v>224601.71000000002</v>
      </c>
      <c r="BS61" s="335">
        <f t="shared" si="40"/>
        <v>236643.44</v>
      </c>
      <c r="BT61" s="335">
        <f t="shared" si="40"/>
        <v>231455.33</v>
      </c>
      <c r="BU61" s="335">
        <f t="shared" si="40"/>
        <v>224042.99</v>
      </c>
      <c r="BV61" s="335">
        <f t="shared" si="40"/>
        <v>217937.21</v>
      </c>
    </row>
    <row r="62" spans="1:74" x14ac:dyDescent="0.25">
      <c r="A62" s="4"/>
      <c r="B62" s="35" t="s">
        <v>39</v>
      </c>
      <c r="C62" s="227">
        <f>SUM(C41+C48+C55)</f>
        <v>370060.25</v>
      </c>
      <c r="D62" s="77">
        <f t="shared" si="34"/>
        <v>392810.66000000003</v>
      </c>
      <c r="E62" s="77">
        <f t="shared" si="34"/>
        <v>425791.02999999997</v>
      </c>
      <c r="F62" s="77">
        <f t="shared" si="34"/>
        <v>403148.48</v>
      </c>
      <c r="G62" s="77">
        <f t="shared" si="34"/>
        <v>412418.05000000005</v>
      </c>
      <c r="H62" s="77">
        <f t="shared" si="34"/>
        <v>379252.46</v>
      </c>
      <c r="I62" s="77">
        <f t="shared" si="34"/>
        <v>451234.87</v>
      </c>
      <c r="J62" s="77">
        <f t="shared" si="34"/>
        <v>455065.61999999994</v>
      </c>
      <c r="K62" s="77">
        <f t="shared" si="34"/>
        <v>427261.04000000004</v>
      </c>
      <c r="L62" s="109">
        <f t="shared" si="34"/>
        <v>449417.83999999997</v>
      </c>
      <c r="M62" s="108">
        <f t="shared" si="34"/>
        <v>407748.95999999996</v>
      </c>
      <c r="N62" s="77">
        <f t="shared" si="34"/>
        <v>399801.07999999996</v>
      </c>
      <c r="O62" s="77">
        <f t="shared" si="34"/>
        <v>356274.18999999994</v>
      </c>
      <c r="P62" s="77">
        <f t="shared" si="34"/>
        <v>366704.14</v>
      </c>
      <c r="Q62" s="77">
        <f t="shared" si="34"/>
        <v>378523.5</v>
      </c>
      <c r="R62" s="77">
        <f t="shared" si="34"/>
        <v>342406.12</v>
      </c>
      <c r="S62" s="77">
        <f t="shared" si="34"/>
        <v>321880.19</v>
      </c>
      <c r="T62" s="77">
        <f t="shared" si="34"/>
        <v>326964.7</v>
      </c>
      <c r="U62" s="189">
        <f t="shared" si="34"/>
        <v>342779.35</v>
      </c>
      <c r="V62" s="189">
        <f t="shared" si="34"/>
        <v>338407.25</v>
      </c>
      <c r="W62" s="189">
        <f t="shared" ref="W62:AG62" si="41">SUM(W41+W48+W55)</f>
        <v>294757.64</v>
      </c>
      <c r="X62" s="189">
        <f t="shared" si="41"/>
        <v>226313.89</v>
      </c>
      <c r="Y62" s="189">
        <f t="shared" si="41"/>
        <v>200895.21</v>
      </c>
      <c r="Z62" s="189">
        <f t="shared" si="41"/>
        <v>196035.65</v>
      </c>
      <c r="AA62" s="189">
        <f t="shared" si="41"/>
        <v>171199.03999999998</v>
      </c>
      <c r="AB62" s="254">
        <f t="shared" si="41"/>
        <v>175842.08000000002</v>
      </c>
      <c r="AC62" s="254">
        <f t="shared" si="41"/>
        <v>255141.91</v>
      </c>
      <c r="AD62" s="254">
        <f t="shared" si="41"/>
        <v>226340.87</v>
      </c>
      <c r="AE62" s="254">
        <f t="shared" si="41"/>
        <v>217577.46</v>
      </c>
      <c r="AF62" s="254">
        <f t="shared" si="41"/>
        <v>212824.22999999998</v>
      </c>
      <c r="AG62" s="335">
        <f t="shared" si="41"/>
        <v>218273.3</v>
      </c>
      <c r="AH62" s="335">
        <f t="shared" ref="AH62:BC62" si="42">SUM(AH41+AH48+AH55)</f>
        <v>238123.88</v>
      </c>
      <c r="AI62" s="335">
        <f t="shared" si="42"/>
        <v>189328.91</v>
      </c>
      <c r="AJ62" s="335">
        <f t="shared" si="42"/>
        <v>180205.22</v>
      </c>
      <c r="AK62" s="335">
        <f t="shared" si="42"/>
        <v>195852.07</v>
      </c>
      <c r="AL62" s="335">
        <f t="shared" si="42"/>
        <v>228317.53999999998</v>
      </c>
      <c r="AM62" s="335">
        <f t="shared" si="42"/>
        <v>255902.5</v>
      </c>
      <c r="AN62" s="335">
        <f t="shared" si="42"/>
        <v>235935.64</v>
      </c>
      <c r="AO62" s="335">
        <f t="shared" si="42"/>
        <v>254732.85</v>
      </c>
      <c r="AP62" s="335">
        <f t="shared" si="42"/>
        <v>330136.56</v>
      </c>
      <c r="AQ62" s="335">
        <f t="shared" si="42"/>
        <v>311762.62</v>
      </c>
      <c r="AR62" s="335">
        <f t="shared" si="42"/>
        <v>383229.27</v>
      </c>
      <c r="AS62" s="335">
        <f t="shared" si="42"/>
        <v>319648.45999999996</v>
      </c>
      <c r="AT62" s="335">
        <f t="shared" si="42"/>
        <v>425089.29</v>
      </c>
      <c r="AU62" s="335">
        <f t="shared" si="42"/>
        <v>448625.29</v>
      </c>
      <c r="AV62" s="335">
        <f t="shared" si="42"/>
        <v>608522.18000000005</v>
      </c>
      <c r="AW62" s="335">
        <f t="shared" si="42"/>
        <v>614495.75</v>
      </c>
      <c r="AX62" s="335">
        <f t="shared" si="42"/>
        <v>372226.37999999995</v>
      </c>
      <c r="AY62" s="335">
        <f t="shared" si="42"/>
        <v>360029.16</v>
      </c>
      <c r="AZ62" s="335">
        <f t="shared" si="42"/>
        <v>468074.44</v>
      </c>
      <c r="BA62" s="335">
        <f t="shared" si="42"/>
        <v>330526.40999999997</v>
      </c>
      <c r="BB62" s="335">
        <f t="shared" si="42"/>
        <v>351078.97</v>
      </c>
      <c r="BC62" s="335">
        <f t="shared" si="42"/>
        <v>378560.93</v>
      </c>
      <c r="BD62" s="335">
        <f t="shared" ref="BD62:BV62" si="43">SUM(BD41+BD48+BD55)</f>
        <v>419901.07</v>
      </c>
      <c r="BE62" s="335">
        <f t="shared" si="43"/>
        <v>431688.91</v>
      </c>
      <c r="BF62" s="335">
        <f t="shared" si="43"/>
        <v>409389.22</v>
      </c>
      <c r="BG62" s="335">
        <f t="shared" si="43"/>
        <v>0</v>
      </c>
      <c r="BH62" s="335">
        <f t="shared" si="43"/>
        <v>0</v>
      </c>
      <c r="BI62" s="335">
        <f t="shared" si="43"/>
        <v>0</v>
      </c>
      <c r="BJ62" s="335">
        <f t="shared" si="43"/>
        <v>350087.12</v>
      </c>
      <c r="BK62" s="335">
        <f t="shared" si="43"/>
        <v>406857.5</v>
      </c>
      <c r="BL62" s="335">
        <f t="shared" si="43"/>
        <v>434545.72000000003</v>
      </c>
      <c r="BM62" s="335">
        <f t="shared" si="43"/>
        <v>422806.33</v>
      </c>
      <c r="BN62" s="335">
        <f t="shared" si="43"/>
        <v>384465.79000000004</v>
      </c>
      <c r="BO62" s="335">
        <f t="shared" si="43"/>
        <v>277364.08</v>
      </c>
      <c r="BP62" s="335">
        <f t="shared" si="43"/>
        <v>217512.82</v>
      </c>
      <c r="BQ62" s="335">
        <f t="shared" si="43"/>
        <v>204691.89</v>
      </c>
      <c r="BR62" s="335">
        <f t="shared" si="43"/>
        <v>197869.97</v>
      </c>
      <c r="BS62" s="335">
        <f t="shared" si="43"/>
        <v>172968.57</v>
      </c>
      <c r="BT62" s="335">
        <f t="shared" si="43"/>
        <v>203006.46</v>
      </c>
      <c r="BU62" s="335">
        <f t="shared" si="43"/>
        <v>195445.61</v>
      </c>
      <c r="BV62" s="335">
        <f t="shared" si="43"/>
        <v>195532.39</v>
      </c>
    </row>
    <row r="63" spans="1:74" x14ac:dyDescent="0.25">
      <c r="A63" s="4"/>
      <c r="B63" s="35" t="s">
        <v>40</v>
      </c>
      <c r="C63" s="227">
        <f>SUM(C42+C49+C56)</f>
        <v>88361.5</v>
      </c>
      <c r="D63" s="77">
        <f t="shared" si="34"/>
        <v>63980.44</v>
      </c>
      <c r="E63" s="77">
        <f t="shared" si="34"/>
        <v>63980.44</v>
      </c>
      <c r="F63" s="77">
        <f t="shared" si="34"/>
        <v>90088.459999999992</v>
      </c>
      <c r="G63" s="77">
        <f t="shared" si="34"/>
        <v>116428.91999999998</v>
      </c>
      <c r="H63" s="77">
        <f t="shared" si="34"/>
        <v>102723.92</v>
      </c>
      <c r="I63" s="77">
        <f t="shared" si="34"/>
        <v>180095.77</v>
      </c>
      <c r="J63" s="77">
        <f t="shared" si="34"/>
        <v>214517.12</v>
      </c>
      <c r="K63" s="77">
        <f t="shared" si="34"/>
        <v>215435.61999999997</v>
      </c>
      <c r="L63" s="109">
        <f t="shared" si="34"/>
        <v>204666.65</v>
      </c>
      <c r="M63" s="108">
        <f t="shared" si="34"/>
        <v>201164.17</v>
      </c>
      <c r="N63" s="77">
        <f t="shared" si="34"/>
        <v>192968.34</v>
      </c>
      <c r="O63" s="77">
        <f t="shared" si="34"/>
        <v>161336.90999999997</v>
      </c>
      <c r="P63" s="77">
        <f t="shared" si="34"/>
        <v>145762.66</v>
      </c>
      <c r="Q63" s="77">
        <f t="shared" si="34"/>
        <v>145762.66</v>
      </c>
      <c r="R63" s="77">
        <f t="shared" si="34"/>
        <v>144647.99</v>
      </c>
      <c r="S63" s="77">
        <f t="shared" si="34"/>
        <v>188765.73</v>
      </c>
      <c r="T63" s="77">
        <f t="shared" si="34"/>
        <v>129147.7</v>
      </c>
      <c r="U63" s="189">
        <f>SUM(U42+U49+U56)</f>
        <v>87200.89</v>
      </c>
      <c r="V63" s="189">
        <f>SUM(V42+V49+V56)</f>
        <v>87200.89</v>
      </c>
      <c r="W63" s="189">
        <f t="shared" ref="W63:AG63" si="44">SUM(W42+W49+W56)</f>
        <v>38886.83</v>
      </c>
      <c r="X63" s="189">
        <f t="shared" si="44"/>
        <v>67148.72</v>
      </c>
      <c r="Y63" s="189">
        <f t="shared" si="44"/>
        <v>52049.89</v>
      </c>
      <c r="Z63" s="189">
        <f t="shared" si="44"/>
        <v>46142.880000000005</v>
      </c>
      <c r="AA63" s="189">
        <f t="shared" si="44"/>
        <v>11399.349999999999</v>
      </c>
      <c r="AB63" s="254">
        <f t="shared" si="44"/>
        <v>48227.05</v>
      </c>
      <c r="AC63" s="254">
        <f t="shared" si="44"/>
        <v>53907.62</v>
      </c>
      <c r="AD63" s="254">
        <f t="shared" si="44"/>
        <v>23932.02</v>
      </c>
      <c r="AE63" s="254">
        <f t="shared" si="44"/>
        <v>3175.7700000000004</v>
      </c>
      <c r="AF63" s="254">
        <f t="shared" si="44"/>
        <v>44293.89</v>
      </c>
      <c r="AG63" s="335">
        <f t="shared" si="44"/>
        <v>59395.5</v>
      </c>
      <c r="AH63" s="335">
        <f t="shared" ref="AH63:BC63" si="45">SUM(AH42+AH49+AH56)</f>
        <v>19230.810000000001</v>
      </c>
      <c r="AI63" s="335">
        <f t="shared" si="45"/>
        <v>43230.84</v>
      </c>
      <c r="AJ63" s="335">
        <f t="shared" si="45"/>
        <v>70736.2</v>
      </c>
      <c r="AK63" s="335">
        <f t="shared" si="45"/>
        <v>105977.16</v>
      </c>
      <c r="AL63" s="335">
        <f t="shared" si="45"/>
        <v>44172.63</v>
      </c>
      <c r="AM63" s="335">
        <f t="shared" si="45"/>
        <v>22297.25</v>
      </c>
      <c r="AN63" s="335">
        <f t="shared" si="45"/>
        <v>16426.810000000001</v>
      </c>
      <c r="AO63" s="335">
        <f t="shared" si="45"/>
        <v>71844.44</v>
      </c>
      <c r="AP63" s="335">
        <f t="shared" si="45"/>
        <v>123237.89</v>
      </c>
      <c r="AQ63" s="335">
        <f t="shared" si="45"/>
        <v>69829.47</v>
      </c>
      <c r="AR63" s="335">
        <f t="shared" si="45"/>
        <v>49980.83</v>
      </c>
      <c r="AS63" s="335">
        <f t="shared" si="45"/>
        <v>74991.739999999991</v>
      </c>
      <c r="AT63" s="335">
        <f t="shared" si="45"/>
        <v>110663.34</v>
      </c>
      <c r="AU63" s="335">
        <f t="shared" si="45"/>
        <v>95814.399999999994</v>
      </c>
      <c r="AV63" s="335">
        <f t="shared" si="45"/>
        <v>95814.399999999994</v>
      </c>
      <c r="AW63" s="335">
        <f t="shared" si="45"/>
        <v>146962.74</v>
      </c>
      <c r="AX63" s="335">
        <f t="shared" si="45"/>
        <v>78339.7</v>
      </c>
      <c r="AY63" s="335">
        <f t="shared" si="45"/>
        <v>54974.63</v>
      </c>
      <c r="AZ63" s="335">
        <f t="shared" si="45"/>
        <v>54974.63</v>
      </c>
      <c r="BA63" s="335">
        <f t="shared" si="45"/>
        <v>446.98</v>
      </c>
      <c r="BB63" s="335">
        <f t="shared" si="45"/>
        <v>49422.51</v>
      </c>
      <c r="BC63" s="335">
        <f t="shared" si="45"/>
        <v>69714.81</v>
      </c>
      <c r="BD63" s="335">
        <f t="shared" ref="BD63:BV63" si="46">SUM(BD42+BD49+BD56)</f>
        <v>53577.47</v>
      </c>
      <c r="BE63" s="335">
        <f t="shared" si="46"/>
        <v>9549.75</v>
      </c>
      <c r="BF63" s="335">
        <f t="shared" si="46"/>
        <v>20739.28</v>
      </c>
      <c r="BG63" s="335">
        <f t="shared" si="46"/>
        <v>0</v>
      </c>
      <c r="BH63" s="335">
        <f t="shared" si="46"/>
        <v>0</v>
      </c>
      <c r="BI63" s="335">
        <f t="shared" si="46"/>
        <v>0</v>
      </c>
      <c r="BJ63" s="335">
        <f t="shared" si="46"/>
        <v>32004.699999999997</v>
      </c>
      <c r="BK63" s="335">
        <f t="shared" si="46"/>
        <v>55265.93</v>
      </c>
      <c r="BL63" s="335">
        <f t="shared" si="46"/>
        <v>32004.699999999997</v>
      </c>
      <c r="BM63" s="335">
        <f t="shared" si="46"/>
        <v>32004.699999999997</v>
      </c>
      <c r="BN63" s="335">
        <f t="shared" si="46"/>
        <v>22670.16</v>
      </c>
      <c r="BO63" s="335">
        <f t="shared" si="46"/>
        <v>36719.050000000003</v>
      </c>
      <c r="BP63" s="335">
        <f t="shared" si="46"/>
        <v>34775.68</v>
      </c>
      <c r="BQ63" s="335">
        <f t="shared" si="46"/>
        <v>34775.68</v>
      </c>
      <c r="BR63" s="335">
        <f t="shared" si="46"/>
        <v>36137.620000000003</v>
      </c>
      <c r="BS63" s="335">
        <f t="shared" si="46"/>
        <v>50134.933000000005</v>
      </c>
      <c r="BT63" s="335">
        <f t="shared" si="46"/>
        <v>25222.720000000001</v>
      </c>
      <c r="BU63" s="335">
        <f t="shared" si="46"/>
        <v>24304.204999999998</v>
      </c>
      <c r="BV63" s="335">
        <f t="shared" si="46"/>
        <v>24304.22</v>
      </c>
    </row>
    <row r="64" spans="1:74" ht="15.75" thickBot="1" x14ac:dyDescent="0.3">
      <c r="A64" s="4"/>
      <c r="B64" s="37" t="s">
        <v>41</v>
      </c>
      <c r="C64" s="100">
        <f>SUM(C59:C63)</f>
        <v>6366991.7799999993</v>
      </c>
      <c r="D64" s="81">
        <f>SUM(D59:D63)</f>
        <v>6355403.7700000005</v>
      </c>
      <c r="E64" s="81">
        <f t="shared" ref="E64:V64" si="47">SUM(E59:E63)</f>
        <v>6434829.1500000004</v>
      </c>
      <c r="F64" s="81">
        <f t="shared" si="47"/>
        <v>6288331.8899999997</v>
      </c>
      <c r="G64" s="81">
        <f t="shared" si="47"/>
        <v>6318908.2800000003</v>
      </c>
      <c r="H64" s="81">
        <f t="shared" si="47"/>
        <v>6438386.3800000008</v>
      </c>
      <c r="I64" s="81">
        <f t="shared" si="47"/>
        <v>6857573.54</v>
      </c>
      <c r="J64" s="81">
        <f t="shared" si="47"/>
        <v>6735136.1200000001</v>
      </c>
      <c r="K64" s="81">
        <f t="shared" si="47"/>
        <v>6528791.3399999999</v>
      </c>
      <c r="L64" s="160">
        <f t="shared" si="47"/>
        <v>6492523.2800000012</v>
      </c>
      <c r="M64" s="81">
        <f t="shared" si="47"/>
        <v>6136291.120000001</v>
      </c>
      <c r="N64" s="81">
        <f t="shared" si="47"/>
        <v>5952335.459999999</v>
      </c>
      <c r="O64" s="81">
        <f t="shared" si="47"/>
        <v>5625318.3000000007</v>
      </c>
      <c r="P64" s="81">
        <f t="shared" si="47"/>
        <v>5533023.2599999998</v>
      </c>
      <c r="Q64" s="81">
        <f t="shared" si="47"/>
        <v>5396143</v>
      </c>
      <c r="R64" s="81">
        <f t="shared" si="47"/>
        <v>5169039.0500000007</v>
      </c>
      <c r="S64" s="81">
        <f t="shared" si="47"/>
        <v>5005080.120000001</v>
      </c>
      <c r="T64" s="81">
        <f t="shared" si="47"/>
        <v>4942409.04</v>
      </c>
      <c r="U64" s="176">
        <f t="shared" si="47"/>
        <v>4821074.169999999</v>
      </c>
      <c r="V64" s="176">
        <f t="shared" si="47"/>
        <v>4966696.9899999993</v>
      </c>
      <c r="W64" s="189">
        <f>SUM(W43+W50+W57)</f>
        <v>4727355.6999999993</v>
      </c>
      <c r="X64" s="189">
        <f>SUM(X43+X50+X57)</f>
        <v>4926753.8</v>
      </c>
      <c r="Y64" s="189">
        <f>SUM(Y43+Y50+Y57)</f>
        <v>4800489.49</v>
      </c>
      <c r="Z64" s="189">
        <f>SUM(Z43+Z50+Z57)</f>
        <v>4736688.51</v>
      </c>
      <c r="AA64" s="292">
        <f t="shared" ref="AA64:AG64" si="48">SUM(AA43+AA50+AA57)</f>
        <v>4695139.3400000008</v>
      </c>
      <c r="AB64" s="263">
        <f t="shared" si="48"/>
        <v>4677068.6999999993</v>
      </c>
      <c r="AC64" s="263">
        <f t="shared" si="48"/>
        <v>4831000.34</v>
      </c>
      <c r="AD64" s="263">
        <f t="shared" si="48"/>
        <v>4765326.1499999994</v>
      </c>
      <c r="AE64" s="263">
        <f t="shared" si="48"/>
        <v>4625359.75</v>
      </c>
      <c r="AF64" s="263">
        <f t="shared" si="48"/>
        <v>4518692.53</v>
      </c>
      <c r="AG64" s="336">
        <f t="shared" si="48"/>
        <v>4486943.3600000003</v>
      </c>
      <c r="AH64" s="336">
        <f t="shared" ref="AH64:BC64" si="49">SUM(AH43+AH50+AH57)</f>
        <v>4511582.540000001</v>
      </c>
      <c r="AI64" s="336">
        <f t="shared" si="49"/>
        <v>4769742.5299999993</v>
      </c>
      <c r="AJ64" s="336">
        <f t="shared" si="49"/>
        <v>4732861.74</v>
      </c>
      <c r="AK64" s="336">
        <f t="shared" si="49"/>
        <v>4866937.1999999993</v>
      </c>
      <c r="AL64" s="336">
        <f t="shared" si="49"/>
        <v>4969036.3900000006</v>
      </c>
      <c r="AM64" s="336">
        <f t="shared" si="49"/>
        <v>5105384.2200000007</v>
      </c>
      <c r="AN64" s="336">
        <f t="shared" si="49"/>
        <v>5207053.97</v>
      </c>
      <c r="AO64" s="336">
        <f t="shared" si="49"/>
        <v>5412996.1799999997</v>
      </c>
      <c r="AP64" s="336">
        <f t="shared" si="49"/>
        <v>5852595.8100000005</v>
      </c>
      <c r="AQ64" s="336">
        <f t="shared" si="49"/>
        <v>5968216.7999999989</v>
      </c>
      <c r="AR64" s="336">
        <f t="shared" si="49"/>
        <v>6571975.8699999992</v>
      </c>
      <c r="AS64" s="336">
        <f t="shared" si="49"/>
        <v>6479077.1099999994</v>
      </c>
      <c r="AT64" s="336">
        <f t="shared" si="49"/>
        <v>7668928.9900000002</v>
      </c>
      <c r="AU64" s="336">
        <f t="shared" si="49"/>
        <v>7740500.4400000004</v>
      </c>
      <c r="AV64" s="336">
        <f t="shared" si="49"/>
        <v>8498531.5899999999</v>
      </c>
      <c r="AW64" s="336">
        <f t="shared" si="49"/>
        <v>8912179.790000001</v>
      </c>
      <c r="AX64" s="336">
        <f t="shared" si="49"/>
        <v>8633664.040000001</v>
      </c>
      <c r="AY64" s="336">
        <f t="shared" si="49"/>
        <v>7673817.7699999996</v>
      </c>
      <c r="AZ64" s="336">
        <f t="shared" si="49"/>
        <v>9426095.0700000003</v>
      </c>
      <c r="BA64" s="336">
        <f t="shared" si="49"/>
        <v>9325049.5700000003</v>
      </c>
      <c r="BB64" s="336">
        <f t="shared" si="49"/>
        <v>9584231.5</v>
      </c>
      <c r="BC64" s="336">
        <f t="shared" si="49"/>
        <v>9551464.0899999999</v>
      </c>
      <c r="BD64" s="336">
        <f>SUM(BD43+BD50+BD57)</f>
        <v>10035241.41</v>
      </c>
      <c r="BE64" s="336">
        <f t="shared" ref="BE64:BJ64" si="50">SUM(BE43+BE50+BE57)</f>
        <v>10408886.67</v>
      </c>
      <c r="BF64" s="336">
        <f t="shared" si="50"/>
        <v>9981217.120000001</v>
      </c>
      <c r="BG64" s="336">
        <f t="shared" si="50"/>
        <v>0</v>
      </c>
      <c r="BH64" s="336">
        <f t="shared" si="50"/>
        <v>8985874.5199999996</v>
      </c>
      <c r="BI64" s="336">
        <f t="shared" si="50"/>
        <v>8120507</v>
      </c>
      <c r="BJ64" s="336">
        <f t="shared" si="50"/>
        <v>8711706.9100000001</v>
      </c>
      <c r="BK64" s="336">
        <f t="shared" ref="BK64:BV64" si="51">SUM(BK43+BK50+BK57)</f>
        <v>8889387.6099999994</v>
      </c>
      <c r="BL64" s="336">
        <f t="shared" si="51"/>
        <v>9121622.0299999993</v>
      </c>
      <c r="BM64" s="336">
        <f t="shared" si="51"/>
        <v>8798067.1099999994</v>
      </c>
      <c r="BN64" s="336">
        <f t="shared" si="51"/>
        <v>9190196.1500000004</v>
      </c>
      <c r="BO64" s="336">
        <f t="shared" si="51"/>
        <v>9389867.5699999984</v>
      </c>
      <c r="BP64" s="336">
        <f t="shared" si="51"/>
        <v>9044346.2499999981</v>
      </c>
      <c r="BQ64" s="336">
        <f t="shared" si="51"/>
        <v>8879793.2899999991</v>
      </c>
      <c r="BR64" s="336">
        <f t="shared" si="51"/>
        <v>8372850.2199999988</v>
      </c>
      <c r="BS64" s="336">
        <f t="shared" si="51"/>
        <v>8456104.6129999999</v>
      </c>
      <c r="BT64" s="336">
        <f t="shared" si="51"/>
        <v>8371615.6699999999</v>
      </c>
      <c r="BU64" s="336">
        <f t="shared" si="51"/>
        <v>8238551.4349999996</v>
      </c>
      <c r="BV64" s="336">
        <f t="shared" si="51"/>
        <v>8149886</v>
      </c>
    </row>
    <row r="65" spans="1:74" x14ac:dyDescent="0.25">
      <c r="A65" s="4">
        <f>+A58+1</f>
        <v>9</v>
      </c>
      <c r="B65" s="494"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445"/>
      <c r="BF65" s="446"/>
      <c r="BG65" s="446"/>
      <c r="BH65" s="446"/>
      <c r="BI65" s="446"/>
      <c r="BJ65" s="446"/>
      <c r="BK65" s="446"/>
      <c r="BL65" s="446"/>
      <c r="BM65" s="446"/>
      <c r="BN65" s="446"/>
      <c r="BO65" s="446"/>
      <c r="BP65" s="446"/>
      <c r="BQ65" s="446"/>
      <c r="BR65" s="446"/>
      <c r="BS65" s="446"/>
      <c r="BT65" s="446"/>
      <c r="BU65" s="446"/>
      <c r="BV65" s="446"/>
    </row>
    <row r="66" spans="1:74" x14ac:dyDescent="0.25">
      <c r="A66" s="4"/>
      <c r="B66" s="49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c r="AP66" s="4">
        <f>164.48+120080.067+5299.5+895469.892+570.54+65370.52+11250.431+533046.153</f>
        <v>1631251.5830000001</v>
      </c>
      <c r="AQ66" s="4">
        <f>875.856+151519.907+9782.443+1303743.5+8280.54+11073.616-8.224+404</f>
        <v>1485671.638</v>
      </c>
      <c r="AR66" s="4">
        <f>225.132+320.736+121728.405+8445.22+1154422.021+381.388+14343.684+222.048+1.028+235.637</f>
        <v>1300325.2989999999</v>
      </c>
      <c r="AS66" s="4">
        <f>120.276+14802.639+7189.832+1003533.171+266.252</f>
        <v>1025912.1699999999</v>
      </c>
      <c r="AT66" s="4">
        <f>194.481+125879.415+5803.929+1031521.838+4651.08+452.76+58148.79+8703.282+470546.535</f>
        <v>1705902.1099999999</v>
      </c>
      <c r="AU66" s="4">
        <f>749.112+135845.493+7567.219+1126460.236+7289.436+4924.794-6.174+86.436</f>
        <v>1282916.5519999999</v>
      </c>
      <c r="AV66" s="4">
        <f>236.67+273.714+153705.846+9429.756+1409216.719+306.642+14031.444-71.001</f>
        <v>1587129.79</v>
      </c>
      <c r="AW66" s="451">
        <f>116.277+144569.355+6477.555+930881.001+320.019+7.203-53.523-109.074+292.236</f>
        <v>1082501.0490000001</v>
      </c>
      <c r="AX66" s="450">
        <f>148.176+111537.635+4512.165+840285.516+430.122+57570.492+8967.735+473504.64</f>
        <v>1496956.4809999999</v>
      </c>
      <c r="AY66" s="436">
        <f>118.335-342.657+633.864+107119.929+6802.719+955189.83+7393.365+9381.393</f>
        <v>1086296.7779999999</v>
      </c>
      <c r="AZ66" s="436">
        <f>204.771+303.555+117793.746+6490.932+971641.482+3341.163+1.029+19.551</f>
        <v>1099796.2290000001</v>
      </c>
      <c r="BA66" s="436">
        <f>121.422+38915.751+6153.42+502580.016+289.149+8973.909+45.276+347.802</f>
        <v>557426.74499999988</v>
      </c>
      <c r="BB66" s="436">
        <f>127.596+144501.194+5195.214+899087.334+261.366+169.785</f>
        <v>1049342.4889999998</v>
      </c>
      <c r="BC66" s="436">
        <f>174.76+79427.458+5380.558+680700.604+5435.036+6986.288+468.768+44493.896+9082.385+366219.108</f>
        <v>1198368.861</v>
      </c>
      <c r="BD66" s="436">
        <f>639.416+70195.999+6246.156+574941.738+1.028</f>
        <v>652024.33700000006</v>
      </c>
      <c r="BE66" s="178">
        <f>142.892+209.712+62958.832+7697.664+596879.467+152.144+8491.28+5.14</f>
        <v>676537.13099999994</v>
      </c>
      <c r="BF66" s="447">
        <v>-149.06</v>
      </c>
      <c r="BG66" s="447"/>
      <c r="BH66" s="447">
        <v>2005540.77</v>
      </c>
      <c r="BI66" s="447">
        <v>434041.93800000002</v>
      </c>
      <c r="BJ66" s="447">
        <v>314733.49599999998</v>
      </c>
      <c r="BK66" s="447">
        <f>10.27+6293.23+7382.25+274241.39+4545.5</f>
        <v>292472.64</v>
      </c>
      <c r="BL66" s="447">
        <f>6711.41+3590.39+241197.64+4073.08</f>
        <v>255572.52</v>
      </c>
      <c r="BM66" s="447">
        <v>98866.240000000005</v>
      </c>
      <c r="BN66" s="447">
        <f>2.05+2980.35+7120.19+205743.58+3.08</f>
        <v>215849.24999999997</v>
      </c>
      <c r="BO66" s="447">
        <v>90467</v>
      </c>
      <c r="BP66" s="447">
        <v>121438.01</v>
      </c>
      <c r="BQ66" s="447">
        <v>135623.45000000001</v>
      </c>
      <c r="BR66" s="447">
        <v>121039.06</v>
      </c>
      <c r="BS66" s="447">
        <v>189720.35</v>
      </c>
      <c r="BT66" s="447">
        <v>230534.78</v>
      </c>
      <c r="BU66" s="447">
        <v>209734.54</v>
      </c>
      <c r="BV66" s="447">
        <v>41299.61</v>
      </c>
    </row>
    <row r="67" spans="1:74" x14ac:dyDescent="0.25">
      <c r="A67" s="4"/>
      <c r="B67" s="49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c r="AP67" s="224">
        <f>224.104+17518.148+451.311+152166.222+2077.588+762.776+24813.863</f>
        <v>198014.01200000002</v>
      </c>
      <c r="AQ67" s="224">
        <f>75.044+28115.919+2151.617+378679.205+2.056</f>
        <v>409023.84100000001</v>
      </c>
      <c r="AR67" s="224">
        <f>113.08+34427.487+2078.616+434454.943-320.736</f>
        <v>470753.39000000007</v>
      </c>
      <c r="AS67" s="224">
        <f>39.064+18835.016+982.768+201083.247</f>
        <v>220940.095</v>
      </c>
      <c r="AT67" s="224">
        <f>226.38+23213.103+515.529+232032.289+23.667+1559.964+1055.754+23013.534</f>
        <v>281640.21999999997</v>
      </c>
      <c r="AU67" s="224">
        <f>50.421+22216.11+1945.839+283176.576+232.554+91.581</f>
        <v>307713.08100000001</v>
      </c>
      <c r="AV67" s="224">
        <f>99.813+42110.796+2090.928+515809.87</f>
        <v>560111.40700000001</v>
      </c>
      <c r="AW67" s="224">
        <f>26.754+14021.154+451.731+146395.078</f>
        <v>160894.717</v>
      </c>
      <c r="AX67" s="436">
        <f>28.812+17058.762+409.542+146564.586+20.58+1750.329+1011.507+24235.008+1393.266</f>
        <v>192472.39200000002</v>
      </c>
      <c r="AY67" s="436">
        <f>59.682+23667+1694.763+276002.496</f>
        <v>301423.94099999999</v>
      </c>
      <c r="AZ67" s="436">
        <f>88.494+27349.791+1374.744+322126.392</f>
        <v>350939.42099999997</v>
      </c>
      <c r="BA67" s="436">
        <f>45.276+13981.023+925.071+234809.568</f>
        <v>249760.93799999999</v>
      </c>
      <c r="BB67" s="436">
        <f>12.348+13693.831+393.078+77342.042+16.464</f>
        <v>91457.763000000006</v>
      </c>
      <c r="BC67" s="436">
        <f>78.128+15953.532+1040.347+192873.582+23.644+1228.46+972.488+19202.038</f>
        <v>231372.21900000001</v>
      </c>
      <c r="BD67" s="436">
        <f>28.784+14326.348+1338.456+166077.897-60.103</f>
        <v>181711.38199999998</v>
      </c>
      <c r="BE67" s="448">
        <f>94.576+17795.708+1078.372+231137.576</f>
        <v>250106.23199999999</v>
      </c>
      <c r="BF67" s="449">
        <v>0</v>
      </c>
      <c r="BG67" s="449"/>
      <c r="BH67" s="449">
        <v>459998.26</v>
      </c>
      <c r="BI67" s="449">
        <v>30891.839</v>
      </c>
      <c r="BJ67" s="449">
        <v>34749.444000000003</v>
      </c>
      <c r="BK67" s="449">
        <f>617.19+381.02+68170.92</f>
        <v>69169.13</v>
      </c>
      <c r="BL67" s="449">
        <f>786.68+335.83+69079.91</f>
        <v>70202.42</v>
      </c>
      <c r="BM67" s="449">
        <v>24729.34</v>
      </c>
      <c r="BN67" s="449">
        <f>114+388.21+14519.69</f>
        <v>15021.9</v>
      </c>
      <c r="BO67" s="449">
        <v>4831</v>
      </c>
      <c r="BP67" s="449">
        <v>32973.79</v>
      </c>
      <c r="BQ67" s="449">
        <v>39601.1</v>
      </c>
      <c r="BR67" s="449">
        <v>7916.11</v>
      </c>
      <c r="BS67" s="449">
        <v>43979.22</v>
      </c>
      <c r="BT67" s="449">
        <v>52197.24</v>
      </c>
      <c r="BU67" s="449">
        <v>61243.08</v>
      </c>
      <c r="BV67" s="449">
        <v>16847.87</v>
      </c>
    </row>
    <row r="68" spans="1:74" x14ac:dyDescent="0.25">
      <c r="A68" s="4"/>
      <c r="B68" s="49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c r="AP68" s="224">
        <f>6177.252+1527.608+134655.308+20130.288+7164.132+1260.328+1966.564+1331.26+204459.74+31826.131+8199.328+1823.672</f>
        <v>420521.61100000003</v>
      </c>
      <c r="AQ68" s="224">
        <f>7251.512+971.46+244603.674+41908.839+39803.132+6951.472-1.028</f>
        <v>341489.06099999999</v>
      </c>
      <c r="AR68" s="224">
        <f>6616.208+61.68+193186.519+29101.194+37945.536+8176.712+20.56</f>
        <v>275108.40899999999</v>
      </c>
      <c r="AS68" s="224">
        <f>417.368+182.984+1642.744+85566.608+15934.646+13157.372+1092.764</f>
        <v>117994.486</v>
      </c>
      <c r="AT68" s="224">
        <f>6004.215+1264.641+182295.952+26484.408+10523.466+1276.989+1735.923+1219.365+186045.917+28105.579+7976.808+1595.979</f>
        <v>454529.24199999997</v>
      </c>
      <c r="AU68" s="224">
        <f>8673.441+836.557+217240.4+39924.663+37030.623+3223.857+2189.712</f>
        <v>309119.25300000003</v>
      </c>
      <c r="AV68" s="224">
        <f>7878.024+69.972+257797.602+34662.894+43618.281+8640.513</f>
        <v>352667.28599999996</v>
      </c>
      <c r="AW68" s="224">
        <f>432.18+297.381+1253.322+76406.548+10384.668+5610.108+1192.611+37.044</f>
        <v>95613.861999999994</v>
      </c>
      <c r="AX68" s="436">
        <f>5463.99+1336.671+141671.691+20158.11+7292.523+1026.942+1781.199+1261.554+201751.82+27609.21+8481.018</f>
        <v>417834.728</v>
      </c>
      <c r="AY68" s="436">
        <f>-11.319-4.116+5942.475+792.33+192985.863+28710.372+33713.127+4619.181</f>
        <v>266747.913</v>
      </c>
      <c r="AZ68" s="436">
        <f>4839.387+72.03+161635.988+23801.799+27180.006+4905.243</f>
        <v>222434.45299999998</v>
      </c>
      <c r="BA68" s="436">
        <f>2516.934+79918.314+14064.372+13188.693+2391.396</f>
        <v>112079.70899999999</v>
      </c>
      <c r="BB68" s="436">
        <f>530.964+713.097+2465.484+93085.36+16193.323+7015.722+1628.907</f>
        <v>121632.857</v>
      </c>
      <c r="BC68" s="436">
        <f>2613.176+1036.224+86375.646+15118.796+9444.236+1218.18+1294.252+1139.024+131572.747+29138.799+6802.276+1007.44</f>
        <v>286760.79599999997</v>
      </c>
      <c r="BD68" s="436">
        <f>4684.596+788.476+86900.952+27376.216+31344.748+7705.888</f>
        <v>158800.87600000002</v>
      </c>
      <c r="BE68" s="178">
        <f>3006.9+132.612+82085.342+23177.288+11100.344+1699.284</f>
        <v>121201.77</v>
      </c>
      <c r="BF68" s="447">
        <v>0</v>
      </c>
      <c r="BG68" s="447"/>
      <c r="BH68" s="447">
        <v>377540.72</v>
      </c>
      <c r="BI68" s="447">
        <v>16179.856</v>
      </c>
      <c r="BJ68" s="447">
        <v>49615.428999999996</v>
      </c>
      <c r="BK68" s="447">
        <f>28518.02+29943.13+5108.23+2076.59</f>
        <v>65645.97</v>
      </c>
      <c r="BL68" s="447">
        <f>18442.07+19977.97+9499.75+3608.88</f>
        <v>51528.67</v>
      </c>
      <c r="BM68" s="447">
        <v>12362.08</v>
      </c>
      <c r="BN68" s="447">
        <f>4315.45+6166.06+204.37+1189.27</f>
        <v>11875.150000000001</v>
      </c>
      <c r="BO68" s="447">
        <v>40079</v>
      </c>
      <c r="BP68" s="447">
        <v>40004.452139000001</v>
      </c>
      <c r="BQ68" s="447">
        <v>21968.14</v>
      </c>
      <c r="BR68" s="447">
        <v>8234.34</v>
      </c>
      <c r="BS68" s="447">
        <v>28657.27</v>
      </c>
      <c r="BT68" s="447">
        <v>59279.6</v>
      </c>
      <c r="BU68" s="447">
        <v>34856.769999999997</v>
      </c>
      <c r="BV68" s="447">
        <v>9147.44</v>
      </c>
    </row>
    <row r="69" spans="1:74" x14ac:dyDescent="0.25">
      <c r="A69" s="4"/>
      <c r="B69" s="49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c r="AP69" s="224">
        <f>131705.083+37153.123+104252.255+29805.832+149851.56+53564.333+49538.292+45946.46</f>
        <v>601816.93799999997</v>
      </c>
      <c r="AQ69" s="224">
        <f>4778.144+238935.649+56124.374+272012.543+64884.276</f>
        <v>636734.98599999992</v>
      </c>
      <c r="AR69" s="224">
        <f>11924.8+166112.464+44532.96+177468.78+62186.804</f>
        <v>462225.80799999996</v>
      </c>
      <c r="AS69" s="224">
        <f>30723.71+22548.152+124614.078+5856.516</f>
        <v>183742.45600000001</v>
      </c>
      <c r="AT69" s="224">
        <f>138593.543+56655.711+107881.007+32456.718+141304.338+45420.89+38114.16+40802.937</f>
        <v>601229.304</v>
      </c>
      <c r="AU69" s="224">
        <f>4413.381+204071.469+26100.585+228558.393+60941.496</f>
        <v>524085.32399999996</v>
      </c>
      <c r="AV69" s="224">
        <f>15537.9+186360.261+41003.194+203614.404+41460.129</f>
        <v>487975.88799999998</v>
      </c>
      <c r="AW69" s="224">
        <f>41898.694+15805.44+104379.434+6040.23+2052.855</f>
        <v>170176.65300000002</v>
      </c>
      <c r="AX69" s="436">
        <f>127914.218+38455.788+97269.732+26215.833+142548.399+46599.653+39759.531+43693.398</f>
        <v>562456.55200000003</v>
      </c>
      <c r="AY69" s="436">
        <f>4066.608+181965.153+42873.285+222694.122+77659.659</f>
        <v>529258.82700000005</v>
      </c>
      <c r="AZ69" s="436">
        <f>10742.76+125757.177+28505.358+134430.618+26692.26</f>
        <v>326128.17300000001</v>
      </c>
      <c r="BA69" s="436">
        <f>62568.345+31994.697+74066.009+6211.044</f>
        <v>174840.095</v>
      </c>
      <c r="BB69" s="436">
        <f>80911.642+29324.5+136906.097+18726.771</f>
        <v>265869.01</v>
      </c>
      <c r="BC69" s="436">
        <f>80172.872+404.33+38342.344+81533.764+30058.72+98615.012+45359.818+28510.552+40138.26</f>
        <v>443135.67200000002</v>
      </c>
      <c r="BD69" s="436">
        <f>3316.328+115962.222+15333.648+139375.212+65347.904</f>
        <v>339335.31399999995</v>
      </c>
      <c r="BE69" s="178">
        <f>4564.32+69889.608+48967.752+117713.849+16079.976</f>
        <v>257215.50499999998</v>
      </c>
      <c r="BF69" s="447">
        <v>0</v>
      </c>
      <c r="BG69" s="447"/>
      <c r="BH69" s="447">
        <v>768401.46</v>
      </c>
      <c r="BI69" s="447">
        <v>37119.267</v>
      </c>
      <c r="BJ69" s="447">
        <v>105311.895</v>
      </c>
      <c r="BK69" s="447">
        <f>29896.5+49560.94+50029.82+55631.56</f>
        <v>185118.82</v>
      </c>
      <c r="BL69" s="447">
        <f>18159.41+31590.52+45122.8+22580.65</f>
        <v>117453.38</v>
      </c>
      <c r="BM69" s="447">
        <v>18283.13</v>
      </c>
      <c r="BN69" s="447">
        <f>4907.01+12333.01+8008.67+3119</f>
        <v>28367.690000000002</v>
      </c>
      <c r="BO69" s="447">
        <v>54164</v>
      </c>
      <c r="BP69" s="447">
        <v>104112.125</v>
      </c>
      <c r="BQ69" s="447">
        <v>65906.899999999994</v>
      </c>
      <c r="BR69" s="447">
        <v>11566.72</v>
      </c>
      <c r="BS69" s="447">
        <v>64231.09</v>
      </c>
      <c r="BT69" s="447">
        <v>121122.2</v>
      </c>
      <c r="BU69" s="447">
        <v>77204.92</v>
      </c>
      <c r="BV69" s="447">
        <v>40481.26</v>
      </c>
    </row>
    <row r="70" spans="1:74" x14ac:dyDescent="0.25">
      <c r="A70" s="4"/>
      <c r="B70" s="49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c r="AP70" s="224">
        <f>59449.24+66936.989</f>
        <v>126386.22899999999</v>
      </c>
      <c r="AQ70" s="224">
        <f>36041.68+26748.56+54228.028</f>
        <v>117018.26800000001</v>
      </c>
      <c r="AR70" s="224">
        <f>58554.88+59079.16</f>
        <v>117634.04000000001</v>
      </c>
      <c r="AS70" s="224">
        <f>41962.62+431696.37</f>
        <v>473658.99</v>
      </c>
      <c r="AT70" s="224">
        <f>45811.08+65609.143</f>
        <v>111420.223</v>
      </c>
      <c r="AU70" s="224">
        <f>67049.64+27381.69+18789.54</f>
        <v>113220.87</v>
      </c>
      <c r="AV70" s="224">
        <f>26898.06+53363.94</f>
        <v>80262</v>
      </c>
      <c r="AW70" s="224">
        <f>-52551.03+37239.51+383981.64</f>
        <v>368670.12</v>
      </c>
      <c r="AX70" s="436">
        <f>58560.39+60695.449</f>
        <v>119255.83900000001</v>
      </c>
      <c r="AY70" s="436">
        <f>41921.46+29933.61+19458.39</f>
        <v>91313.46</v>
      </c>
      <c r="AZ70" s="436">
        <f>29285.34+37332.12-19921.44-9569.7</f>
        <v>37126.320000000007</v>
      </c>
      <c r="BA70" s="436">
        <v>0</v>
      </c>
      <c r="BB70" s="436">
        <f>63695.1+33771.78+383302.5</f>
        <v>480769.38</v>
      </c>
      <c r="BC70" s="436">
        <f>10608.96+58655.877</f>
        <v>69264.837</v>
      </c>
      <c r="BD70" s="436">
        <f>33944.56+42178.84+10310.84+17321.8</f>
        <v>103756.04</v>
      </c>
      <c r="BE70" s="178">
        <v>0</v>
      </c>
      <c r="BF70" s="447">
        <v>0</v>
      </c>
      <c r="BG70" s="447"/>
      <c r="BH70" s="447">
        <v>477721.75</v>
      </c>
      <c r="BI70" s="447">
        <v>454578.58</v>
      </c>
      <c r="BJ70" s="447">
        <v>59535.254999999997</v>
      </c>
      <c r="BK70" s="447">
        <f>11594.83+718.9+18140.75</f>
        <v>30454.48</v>
      </c>
      <c r="BL70" s="447">
        <f>431.34+33942.35</f>
        <v>34373.689999999995</v>
      </c>
      <c r="BM70" s="447">
        <v>0</v>
      </c>
      <c r="BN70" s="447">
        <f>277.9+308555.2</f>
        <v>308833.10000000003</v>
      </c>
      <c r="BO70" s="447">
        <v>11726</v>
      </c>
      <c r="BP70" s="447">
        <v>14306.11</v>
      </c>
      <c r="BQ70" s="447">
        <v>5730.66</v>
      </c>
      <c r="BR70" s="447">
        <v>369034.07</v>
      </c>
      <c r="BS70" s="447">
        <v>38348.18</v>
      </c>
      <c r="BT70" s="447">
        <v>23580.66</v>
      </c>
      <c r="BU70" s="447">
        <v>20.54</v>
      </c>
      <c r="BV70" s="447">
        <v>0</v>
      </c>
    </row>
    <row r="71" spans="1:74" x14ac:dyDescent="0.25">
      <c r="A71" s="4"/>
      <c r="B71" s="495" t="s">
        <v>41</v>
      </c>
      <c r="C71" s="156">
        <f>SUM(C66:C70)</f>
        <v>4433807.21</v>
      </c>
      <c r="D71" s="83">
        <f>SUM(D66:D70)</f>
        <v>1358805.149</v>
      </c>
      <c r="E71" s="83">
        <f t="shared" ref="E71:Z71" si="52">SUM(E66:E70)</f>
        <v>1351111.514</v>
      </c>
      <c r="F71" s="83">
        <f t="shared" si="52"/>
        <v>1443879.7340000002</v>
      </c>
      <c r="G71" s="83">
        <f t="shared" si="52"/>
        <v>1141703.1230000001</v>
      </c>
      <c r="H71" s="83">
        <f t="shared" si="52"/>
        <v>1537399.4010000001</v>
      </c>
      <c r="I71" s="83">
        <f>SUM(I66:I70)</f>
        <v>1175296.0120000001</v>
      </c>
      <c r="J71" s="83">
        <f t="shared" si="52"/>
        <v>887962.98100000003</v>
      </c>
      <c r="K71" s="83">
        <f t="shared" si="52"/>
        <v>759250.16</v>
      </c>
      <c r="L71" s="166">
        <f t="shared" si="52"/>
        <v>442343.25400000002</v>
      </c>
      <c r="M71" s="83">
        <f t="shared" si="52"/>
        <v>349924.75699999998</v>
      </c>
      <c r="N71" s="83">
        <f t="shared" si="52"/>
        <v>283743.93399999995</v>
      </c>
      <c r="O71" s="83">
        <f t="shared" si="52"/>
        <v>692413.77199999988</v>
      </c>
      <c r="P71" s="83">
        <f t="shared" si="52"/>
        <v>376979.23599999998</v>
      </c>
      <c r="Q71" s="83">
        <f t="shared" si="52"/>
        <v>456168.88800000004</v>
      </c>
      <c r="R71" s="83">
        <f t="shared" si="52"/>
        <v>194920.49900000001</v>
      </c>
      <c r="S71" s="83">
        <f t="shared" si="52"/>
        <v>479726.17900000006</v>
      </c>
      <c r="T71" s="83">
        <f t="shared" si="52"/>
        <v>494261.56799999997</v>
      </c>
      <c r="U71" s="178">
        <f t="shared" si="52"/>
        <v>237655.76399999997</v>
      </c>
      <c r="V71" s="178">
        <f t="shared" si="52"/>
        <v>466772.48600000003</v>
      </c>
      <c r="W71" s="178">
        <f t="shared" si="52"/>
        <v>441280.91200000001</v>
      </c>
      <c r="X71" s="178">
        <f t="shared" si="52"/>
        <v>379110.36400000006</v>
      </c>
      <c r="Y71" s="178">
        <f t="shared" si="52"/>
        <v>322301.424</v>
      </c>
      <c r="Z71" s="178">
        <f t="shared" si="52"/>
        <v>410886.22500000003</v>
      </c>
      <c r="AA71" s="178">
        <f t="shared" ref="AA71:AG71" si="53">SUM(AA66:AA70)</f>
        <v>210031.84100000001</v>
      </c>
      <c r="AB71" s="257">
        <f t="shared" si="53"/>
        <v>674024.1669999999</v>
      </c>
      <c r="AC71" s="257">
        <f t="shared" si="53"/>
        <v>456800.538</v>
      </c>
      <c r="AD71" s="257">
        <f t="shared" si="53"/>
        <v>416353.74749999994</v>
      </c>
      <c r="AE71" s="257">
        <f t="shared" si="53"/>
        <v>560714.50800000003</v>
      </c>
      <c r="AF71" s="257">
        <f t="shared" si="53"/>
        <v>667361.54</v>
      </c>
      <c r="AG71" s="257">
        <f t="shared" si="53"/>
        <v>1086149.4010000001</v>
      </c>
      <c r="AH71" s="257">
        <f>SUM(AH66:AH70)</f>
        <v>961258.05199999991</v>
      </c>
      <c r="AI71" s="257">
        <f>SUM(AI66:AI70)</f>
        <v>1163364.557</v>
      </c>
      <c r="AJ71" s="257">
        <f>SUM(AJ66:AJ70)</f>
        <v>846517.90699999989</v>
      </c>
      <c r="AK71" s="257">
        <f t="shared" ref="AK71:AQ71" si="54">SUM(AK66:AK70)</f>
        <v>1501625.2219999998</v>
      </c>
      <c r="AL71" s="257">
        <f t="shared" si="54"/>
        <v>1335855.6640000001</v>
      </c>
      <c r="AM71" s="257">
        <f t="shared" si="54"/>
        <v>1699268.7030000004</v>
      </c>
      <c r="AN71" s="257">
        <f t="shared" si="54"/>
        <v>988365.12599999993</v>
      </c>
      <c r="AO71" s="257">
        <f t="shared" si="54"/>
        <v>1523048.6670000001</v>
      </c>
      <c r="AP71" s="257">
        <f t="shared" si="54"/>
        <v>2977990.3730000001</v>
      </c>
      <c r="AQ71" s="257">
        <f t="shared" si="54"/>
        <v>2989937.7940000002</v>
      </c>
      <c r="AR71" s="257">
        <f t="shared" ref="AR71:BC71" si="55">SUM(AR66:AR70)</f>
        <v>2626046.946</v>
      </c>
      <c r="AS71" s="257">
        <f t="shared" si="55"/>
        <v>2022248.1969999999</v>
      </c>
      <c r="AT71" s="257">
        <f t="shared" si="55"/>
        <v>3154721.0989999995</v>
      </c>
      <c r="AU71" s="257">
        <f t="shared" si="55"/>
        <v>2537055.08</v>
      </c>
      <c r="AV71" s="257">
        <f t="shared" si="55"/>
        <v>3068146.3709999998</v>
      </c>
      <c r="AW71" s="257">
        <f t="shared" si="55"/>
        <v>1877856.4010000001</v>
      </c>
      <c r="AX71" s="257">
        <f t="shared" si="55"/>
        <v>2788975.9920000001</v>
      </c>
      <c r="AY71" s="257">
        <f t="shared" si="55"/>
        <v>2275040.9189999998</v>
      </c>
      <c r="AZ71" s="257">
        <f t="shared" si="55"/>
        <v>2036424.5959999999</v>
      </c>
      <c r="BA71" s="257">
        <f t="shared" si="55"/>
        <v>1094107.487</v>
      </c>
      <c r="BB71" s="257">
        <f t="shared" si="55"/>
        <v>2009071.4989999998</v>
      </c>
      <c r="BC71" s="257">
        <f t="shared" si="55"/>
        <v>2228902.3850000002</v>
      </c>
      <c r="BD71" s="257">
        <f>SUM(BD66:BD70)</f>
        <v>1435627.949</v>
      </c>
      <c r="BE71" s="257">
        <f t="shared" ref="BE71:BK71" si="56">SUM(BE66:BE70)</f>
        <v>1305060.6379999998</v>
      </c>
      <c r="BF71" s="257">
        <f t="shared" si="56"/>
        <v>-149.06</v>
      </c>
      <c r="BG71" s="257">
        <f t="shared" si="56"/>
        <v>0</v>
      </c>
      <c r="BH71" s="257">
        <f t="shared" si="56"/>
        <v>4089202.96</v>
      </c>
      <c r="BI71" s="257">
        <f t="shared" si="56"/>
        <v>972811.48</v>
      </c>
      <c r="BJ71" s="257">
        <f t="shared" si="56"/>
        <v>563945.51899999997</v>
      </c>
      <c r="BK71" s="257">
        <f t="shared" si="56"/>
        <v>642861.04</v>
      </c>
      <c r="BL71" s="257">
        <f t="shared" ref="BL71:BV71" si="57">SUM(BL66:BL70)</f>
        <v>529130.67999999993</v>
      </c>
      <c r="BM71" s="257">
        <f t="shared" si="57"/>
        <v>154240.79</v>
      </c>
      <c r="BN71" s="257">
        <f t="shared" si="57"/>
        <v>579947.09000000008</v>
      </c>
      <c r="BO71" s="257">
        <f t="shared" si="57"/>
        <v>201267</v>
      </c>
      <c r="BP71" s="257">
        <f t="shared" si="57"/>
        <v>312834.48713899998</v>
      </c>
      <c r="BQ71" s="257">
        <f t="shared" si="57"/>
        <v>268830.24999999994</v>
      </c>
      <c r="BR71" s="257">
        <f t="shared" si="57"/>
        <v>517790.30000000005</v>
      </c>
      <c r="BS71" s="257">
        <f t="shared" si="57"/>
        <v>364936.11000000004</v>
      </c>
      <c r="BT71" s="257">
        <f t="shared" si="57"/>
        <v>486714.48</v>
      </c>
      <c r="BU71" s="257">
        <f t="shared" si="57"/>
        <v>383059.85</v>
      </c>
      <c r="BV71" s="257">
        <f t="shared" si="57"/>
        <v>107776.18</v>
      </c>
    </row>
    <row r="72" spans="1:74" x14ac:dyDescent="0.25">
      <c r="A72" s="4">
        <f>+A65+1</f>
        <v>10</v>
      </c>
      <c r="B72" s="496"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c r="AP72" s="224"/>
      <c r="AQ72" s="224"/>
      <c r="AR72" s="224"/>
      <c r="AS72" s="224"/>
      <c r="AT72" s="224"/>
      <c r="AU72" s="224"/>
      <c r="AV72" s="224"/>
      <c r="AW72" s="224"/>
      <c r="AX72" s="224"/>
      <c r="AY72" s="224"/>
      <c r="AZ72" s="224"/>
      <c r="BA72" s="224"/>
      <c r="BB72" s="224"/>
      <c r="BC72" s="224"/>
      <c r="BD72" s="224"/>
    </row>
    <row r="73" spans="1:74" x14ac:dyDescent="0.25">
      <c r="A73" s="4"/>
      <c r="B73" s="49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c r="AP73" s="301">
        <v>2641169.85</v>
      </c>
      <c r="AQ73" s="301">
        <v>2357128.11</v>
      </c>
      <c r="AR73" s="301">
        <v>2039224.34</v>
      </c>
      <c r="AS73" s="301">
        <v>1689201.47</v>
      </c>
      <c r="AT73" s="301">
        <v>2648247.52</v>
      </c>
      <c r="AU73" s="301">
        <v>1979192.79</v>
      </c>
      <c r="AV73" s="301">
        <v>2263155.36</v>
      </c>
      <c r="AW73" s="301">
        <v>1551861.59</v>
      </c>
      <c r="AX73" s="301">
        <v>2149804.56</v>
      </c>
      <c r="AY73" s="301">
        <v>1464887.15</v>
      </c>
      <c r="AZ73" s="301">
        <v>1417851.68</v>
      </c>
      <c r="BA73" s="301">
        <v>806264.63</v>
      </c>
      <c r="BB73" s="301">
        <v>1512251.25</v>
      </c>
      <c r="BC73" s="301">
        <v>1766480.29</v>
      </c>
      <c r="BD73" s="301">
        <v>980213.32</v>
      </c>
      <c r="BE73" s="452">
        <v>1035054.45</v>
      </c>
      <c r="BF73" s="452">
        <v>-1019.45</v>
      </c>
      <c r="BG73" s="452">
        <f>28077.02+1406856.54+163.69</f>
        <v>1435097.25</v>
      </c>
      <c r="BH73" s="452">
        <v>1210016.22</v>
      </c>
      <c r="BI73" s="452">
        <v>291527.2</v>
      </c>
      <c r="BJ73" s="452">
        <v>445496.39</v>
      </c>
      <c r="BK73" s="452">
        <f>10329.67+2967.37+1422.33+239231.25+133476.66+63993.85+5208.81</f>
        <v>456629.94</v>
      </c>
      <c r="BL73" s="452">
        <f>10717.15+3210.1+1523.66+214608.76+117295.06+56119.38+2691.73+1953.12</f>
        <v>408118.95999999996</v>
      </c>
      <c r="BM73" s="452">
        <v>59265.95</v>
      </c>
      <c r="BN73" s="452">
        <f>6779.79+1431.28+687.13+167929.18+101675.93+48979.01+14.35</f>
        <v>327496.67</v>
      </c>
      <c r="BO73" s="452">
        <v>251218.01</v>
      </c>
      <c r="BP73" s="452">
        <v>213567.76</v>
      </c>
      <c r="BQ73" s="452">
        <v>297924.01</v>
      </c>
      <c r="BR73" s="452">
        <v>201494.97</v>
      </c>
      <c r="BS73" s="452">
        <v>303080.71000000002</v>
      </c>
      <c r="BT73" s="452">
        <v>395398.96</v>
      </c>
      <c r="BU73" s="452">
        <v>346896.43</v>
      </c>
      <c r="BV73" s="452">
        <v>78580.63</v>
      </c>
    </row>
    <row r="74" spans="1:74" x14ac:dyDescent="0.25">
      <c r="A74" s="4"/>
      <c r="B74" s="49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c r="AP74" s="301">
        <v>476782.07</v>
      </c>
      <c r="AQ74" s="301">
        <v>720602.41</v>
      </c>
      <c r="AR74" s="301">
        <v>709330.02</v>
      </c>
      <c r="AS74" s="301">
        <v>291075.62</v>
      </c>
      <c r="AT74" s="301">
        <v>557198.16</v>
      </c>
      <c r="AU74" s="301">
        <v>424997.57</v>
      </c>
      <c r="AV74" s="301">
        <v>591147.26</v>
      </c>
      <c r="AW74" s="301">
        <v>208157.39</v>
      </c>
      <c r="AX74" s="301">
        <v>197635.29</v>
      </c>
      <c r="AY74" s="301">
        <v>403632.18</v>
      </c>
      <c r="AZ74" s="301">
        <v>380571.87</v>
      </c>
      <c r="BA74" s="301">
        <v>267141.12</v>
      </c>
      <c r="BB74" s="301">
        <v>94083.19</v>
      </c>
      <c r="BC74" s="301">
        <v>245527.46</v>
      </c>
      <c r="BD74" s="301">
        <v>268887.94</v>
      </c>
      <c r="BE74" s="452">
        <v>279771.88</v>
      </c>
      <c r="BF74" s="452">
        <v>-2073.31</v>
      </c>
      <c r="BG74" s="452">
        <f>1927.57+98307.23</f>
        <v>100234.8</v>
      </c>
      <c r="BH74" s="452">
        <v>319607.5</v>
      </c>
      <c r="BI74" s="452">
        <v>11804.68</v>
      </c>
      <c r="BJ74" s="452">
        <v>37248.18</v>
      </c>
      <c r="BK74" s="452">
        <f>618.49+295.98+142+32429.78+32833.8+15766.59</f>
        <v>82086.64</v>
      </c>
      <c r="BL74" s="452">
        <f>760.07+377.34+180.96+33951.93+33278.5+15987.49</f>
        <v>84536.290000000008</v>
      </c>
      <c r="BM74" s="452">
        <v>20077.7</v>
      </c>
      <c r="BN74" s="452">
        <f>227.09+54.71+26.22+7217.55+7119.64+3420.97</f>
        <v>18066.18</v>
      </c>
      <c r="BO74" s="452">
        <v>153375.54</v>
      </c>
      <c r="BP74" s="452">
        <v>42544.28</v>
      </c>
      <c r="BQ74" s="452">
        <v>62365.89</v>
      </c>
      <c r="BR74" s="452">
        <v>10644.34</v>
      </c>
      <c r="BS74" s="452">
        <v>53439.39</v>
      </c>
      <c r="BT74" s="452">
        <v>68615.17</v>
      </c>
      <c r="BU74" s="452">
        <v>84348.95</v>
      </c>
      <c r="BV74" s="452">
        <v>24156.41</v>
      </c>
    </row>
    <row r="75" spans="1:74" x14ac:dyDescent="0.25">
      <c r="A75" s="4"/>
      <c r="B75" s="49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c r="AP75" s="301">
        <v>374558.81</v>
      </c>
      <c r="AQ75" s="301">
        <v>273158.78000000003</v>
      </c>
      <c r="AR75" s="301">
        <v>217192.84</v>
      </c>
      <c r="AS75" s="301">
        <v>140045.82999999999</v>
      </c>
      <c r="AT75" s="301">
        <v>368914.21</v>
      </c>
      <c r="AU75" s="301">
        <v>233529.04</v>
      </c>
      <c r="AV75" s="301">
        <v>423189.41</v>
      </c>
      <c r="AW75" s="301">
        <v>112949.72</v>
      </c>
      <c r="AX75" s="301">
        <v>525748.61</v>
      </c>
      <c r="AY75" s="301">
        <v>323017.95</v>
      </c>
      <c r="AZ75" s="301">
        <v>224592.73</v>
      </c>
      <c r="BA75" s="301">
        <v>137082.67000000001</v>
      </c>
      <c r="BB75" s="301">
        <v>155057.97</v>
      </c>
      <c r="BC75" s="301">
        <v>367485.59</v>
      </c>
      <c r="BD75" s="301">
        <v>188673.73</v>
      </c>
      <c r="BE75" s="452">
        <v>161653.65</v>
      </c>
      <c r="BF75" s="452">
        <v>0</v>
      </c>
      <c r="BG75" s="452">
        <f>140183.04+37875.14+6424.8+1922.56</f>
        <v>186405.53999999998</v>
      </c>
      <c r="BH75" s="452">
        <f>162982.58+55051.11+21625.53+4302.27</f>
        <v>243961.49</v>
      </c>
      <c r="BI75" s="452">
        <v>20405.650000000001</v>
      </c>
      <c r="BJ75" s="452">
        <v>64357.93</v>
      </c>
      <c r="BK75" s="452">
        <f>45195.12+26605.43+4278.91+1277.72</f>
        <v>77357.180000000008</v>
      </c>
      <c r="BL75" s="452">
        <f>38021.73+18291.1+7659.89+2105.74</f>
        <v>66078.460000000006</v>
      </c>
      <c r="BM75" s="452">
        <v>9048.68</v>
      </c>
      <c r="BN75" s="452">
        <f>10711.89+4856.99+545.57+738.91</f>
        <v>16853.36</v>
      </c>
      <c r="BO75" s="452">
        <v>61482.8</v>
      </c>
      <c r="BP75" s="452">
        <v>50314.91</v>
      </c>
      <c r="BQ75" s="452">
        <v>44498.33</v>
      </c>
      <c r="BR75" s="452">
        <v>13298.06</v>
      </c>
      <c r="BS75" s="452">
        <v>41480.160000000003</v>
      </c>
      <c r="BT75" s="452">
        <v>83093.17</v>
      </c>
      <c r="BU75" s="452">
        <v>50350.89</v>
      </c>
      <c r="BV75" s="452">
        <v>10747.75</v>
      </c>
    </row>
    <row r="76" spans="1:74" x14ac:dyDescent="0.25">
      <c r="A76" s="4"/>
      <c r="B76" s="49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c r="AP76" s="301">
        <v>366795.83</v>
      </c>
      <c r="AQ76" s="301">
        <v>335521.65000000002</v>
      </c>
      <c r="AR76" s="301">
        <v>243616.35</v>
      </c>
      <c r="AS76" s="301">
        <v>100018.92</v>
      </c>
      <c r="AT76" s="301">
        <v>339496.49</v>
      </c>
      <c r="AU76" s="301">
        <v>383363.08</v>
      </c>
      <c r="AV76" s="301">
        <v>462928.04</v>
      </c>
      <c r="AW76" s="301">
        <v>102203.13</v>
      </c>
      <c r="AX76" s="301">
        <v>555761.44999999995</v>
      </c>
      <c r="AY76" s="301">
        <v>482033.64</v>
      </c>
      <c r="AZ76" s="301">
        <v>222197.31</v>
      </c>
      <c r="BA76" s="301">
        <v>168210.21</v>
      </c>
      <c r="BB76" s="301">
        <v>240843.31</v>
      </c>
      <c r="BC76" s="301">
        <v>430696.6</v>
      </c>
      <c r="BD76" s="301">
        <v>304679.15000000002</v>
      </c>
      <c r="BE76" s="452">
        <v>241426.47</v>
      </c>
      <c r="BF76" s="452">
        <v>0</v>
      </c>
      <c r="BG76" s="452">
        <f>95957.13+35285.44+70343.04+21387.1</f>
        <v>222972.71</v>
      </c>
      <c r="BH76" s="452">
        <f>135077.7+74930.44+112068.53+59361.76</f>
        <v>381438.43000000005</v>
      </c>
      <c r="BI76" s="452">
        <v>27709.61</v>
      </c>
      <c r="BJ76" s="452">
        <v>79950.399999999994</v>
      </c>
      <c r="BK76" s="452">
        <f>28459.97+35092.86+33742.37+30998.22</f>
        <v>128293.42000000001</v>
      </c>
      <c r="BL76" s="452">
        <f>17557.45+25383.75+30497.72+12764.37</f>
        <v>86203.29</v>
      </c>
      <c r="BM76" s="452">
        <v>23918.080000000002</v>
      </c>
      <c r="BN76" s="452">
        <f>4805.08+11466.94+5820.45+1833.56</f>
        <v>23926.030000000002</v>
      </c>
      <c r="BO76" s="452">
        <v>55700.22</v>
      </c>
      <c r="BP76" s="452">
        <v>75975.759999999995</v>
      </c>
      <c r="BQ76" s="452">
        <v>52671.59</v>
      </c>
      <c r="BR76" s="452">
        <v>9305.8799999999992</v>
      </c>
      <c r="BS76" s="452">
        <v>44497.4</v>
      </c>
      <c r="BT76" s="452">
        <v>86972.27</v>
      </c>
      <c r="BU76" s="452">
        <v>57444.2</v>
      </c>
      <c r="BV76" s="452">
        <v>31691.54</v>
      </c>
    </row>
    <row r="77" spans="1:74" x14ac:dyDescent="0.25">
      <c r="A77" s="4"/>
      <c r="B77" s="49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c r="AP77" s="301">
        <v>85223.95</v>
      </c>
      <c r="AQ77" s="301">
        <v>56805.9</v>
      </c>
      <c r="AR77" s="301">
        <v>96740.97</v>
      </c>
      <c r="AS77" s="301">
        <v>175208.35</v>
      </c>
      <c r="AT77" s="301">
        <v>70238.7</v>
      </c>
      <c r="AU77" s="301">
        <v>69392.710000000006</v>
      </c>
      <c r="AV77" s="301">
        <v>69591.12</v>
      </c>
      <c r="AW77" s="301">
        <v>128314.98</v>
      </c>
      <c r="AX77" s="301">
        <v>77729.08</v>
      </c>
      <c r="AY77" s="301">
        <v>68908.479999999996</v>
      </c>
      <c r="AZ77" s="301">
        <v>44681.120000000003</v>
      </c>
      <c r="BA77" s="301">
        <v>0</v>
      </c>
      <c r="BB77" s="301">
        <v>214152.14</v>
      </c>
      <c r="BC77" s="301">
        <v>48352.9</v>
      </c>
      <c r="BD77" s="301">
        <v>85359.94</v>
      </c>
      <c r="BE77" s="453">
        <v>0</v>
      </c>
      <c r="BF77" s="453">
        <v>0</v>
      </c>
      <c r="BG77" s="453">
        <f>10873.93+34062.2</f>
        <v>44936.13</v>
      </c>
      <c r="BH77" s="453">
        <v>42440.65</v>
      </c>
      <c r="BI77" s="453">
        <v>216326.72</v>
      </c>
      <c r="BJ77" s="453">
        <v>30903.91</v>
      </c>
      <c r="BK77" s="453">
        <f>10353.43+1810.6+2199.69+9252.72</f>
        <v>23616.440000000002</v>
      </c>
      <c r="BL77" s="453">
        <f>1235.34+20606.1</f>
        <v>21841.439999999999</v>
      </c>
      <c r="BM77" s="453">
        <v>0</v>
      </c>
      <c r="BN77" s="453">
        <f>1058.7+137545.04</f>
        <v>138603.74000000002</v>
      </c>
      <c r="BO77" s="453">
        <v>25634.44</v>
      </c>
      <c r="BP77" s="453">
        <v>16613.38</v>
      </c>
      <c r="BQ77" s="453">
        <v>7558.18</v>
      </c>
      <c r="BR77" s="453">
        <v>182389.05</v>
      </c>
      <c r="BS77" s="453">
        <v>19811.849999999999</v>
      </c>
      <c r="BT77" s="453">
        <v>17996.02</v>
      </c>
      <c r="BU77" s="453">
        <v>5841.35</v>
      </c>
      <c r="BV77" s="453">
        <v>0</v>
      </c>
    </row>
    <row r="78" spans="1:74" ht="15.75" thickBot="1" x14ac:dyDescent="0.3">
      <c r="A78" s="4"/>
      <c r="B78" s="495" t="s">
        <v>41</v>
      </c>
      <c r="C78" s="97">
        <f t="shared" ref="C78:AG78" si="58">SUM(C73:C77)</f>
        <v>5045903.04</v>
      </c>
      <c r="D78" s="89">
        <f t="shared" si="58"/>
        <v>1651372.6400000001</v>
      </c>
      <c r="E78" s="89">
        <f t="shared" si="58"/>
        <v>1722982.33</v>
      </c>
      <c r="F78" s="89">
        <f t="shared" si="58"/>
        <v>1617259.6699999997</v>
      </c>
      <c r="G78" s="89">
        <f t="shared" si="58"/>
        <v>1422728.48</v>
      </c>
      <c r="H78" s="89">
        <f t="shared" si="58"/>
        <v>1654529.2099999997</v>
      </c>
      <c r="I78" s="89">
        <f t="shared" si="58"/>
        <v>1235386.1600000001</v>
      </c>
      <c r="J78" s="89">
        <f t="shared" si="58"/>
        <v>739441.38000000012</v>
      </c>
      <c r="K78" s="89">
        <f t="shared" si="58"/>
        <v>761924.95000000019</v>
      </c>
      <c r="L78" s="99">
        <f t="shared" si="58"/>
        <v>479189.21</v>
      </c>
      <c r="M78" s="89">
        <f t="shared" si="58"/>
        <v>387443.99</v>
      </c>
      <c r="N78" s="89">
        <f t="shared" si="58"/>
        <v>349715.89</v>
      </c>
      <c r="O78" s="89">
        <f t="shared" si="58"/>
        <v>565234.46</v>
      </c>
      <c r="P78" s="89">
        <f t="shared" si="58"/>
        <v>468470.42000000004</v>
      </c>
      <c r="Q78" s="89">
        <f t="shared" si="58"/>
        <v>498982.56999999995</v>
      </c>
      <c r="R78" s="89">
        <f t="shared" si="58"/>
        <v>274812.79999999999</v>
      </c>
      <c r="S78" s="89">
        <f t="shared" si="58"/>
        <v>345999.62</v>
      </c>
      <c r="T78" s="89">
        <f t="shared" si="58"/>
        <v>535237.6</v>
      </c>
      <c r="U78" s="180">
        <f t="shared" si="58"/>
        <v>339710.55000000005</v>
      </c>
      <c r="V78" s="180">
        <f t="shared" si="58"/>
        <v>546898.67000000004</v>
      </c>
      <c r="W78" s="180">
        <f t="shared" si="58"/>
        <v>333882.75</v>
      </c>
      <c r="X78" s="180">
        <f t="shared" si="58"/>
        <v>714123.95000000007</v>
      </c>
      <c r="Y78" s="180">
        <f t="shared" si="58"/>
        <v>379650.98</v>
      </c>
      <c r="Z78" s="180">
        <f t="shared" si="58"/>
        <v>476963.69</v>
      </c>
      <c r="AA78" s="292">
        <f t="shared" si="58"/>
        <v>247641.37000000002</v>
      </c>
      <c r="AB78" s="159">
        <f t="shared" si="58"/>
        <v>486503.08000000007</v>
      </c>
      <c r="AC78" s="302">
        <f t="shared" si="58"/>
        <v>530086.86999999988</v>
      </c>
      <c r="AD78" s="302">
        <f t="shared" si="58"/>
        <v>929851.04</v>
      </c>
      <c r="AE78" s="302">
        <f t="shared" si="58"/>
        <v>594675.06000000006</v>
      </c>
      <c r="AF78" s="302">
        <f t="shared" si="58"/>
        <v>447406.37</v>
      </c>
      <c r="AG78" s="302">
        <f t="shared" si="58"/>
        <v>1142873.6599999999</v>
      </c>
      <c r="AH78" s="302">
        <f t="shared" ref="AH78:BC78" si="59">SUM(AH73:AH77)</f>
        <v>1094575.8399999999</v>
      </c>
      <c r="AI78" s="302">
        <f t="shared" si="59"/>
        <v>1461773.3199999998</v>
      </c>
      <c r="AJ78" s="302">
        <f t="shared" si="59"/>
        <v>831268.29</v>
      </c>
      <c r="AK78" s="302">
        <f t="shared" si="59"/>
        <v>2126301.37</v>
      </c>
      <c r="AL78" s="302">
        <f t="shared" si="59"/>
        <v>1904879.08</v>
      </c>
      <c r="AM78" s="302">
        <f t="shared" si="59"/>
        <v>2306360.1100000003</v>
      </c>
      <c r="AN78" s="302">
        <f t="shared" si="59"/>
        <v>1344423.29</v>
      </c>
      <c r="AO78" s="302">
        <f t="shared" si="59"/>
        <v>1717621.97</v>
      </c>
      <c r="AP78" s="302">
        <f t="shared" si="59"/>
        <v>3944530.5100000002</v>
      </c>
      <c r="AQ78" s="302">
        <f t="shared" si="59"/>
        <v>3743216.8499999996</v>
      </c>
      <c r="AR78" s="302">
        <f t="shared" si="59"/>
        <v>3306104.5200000005</v>
      </c>
      <c r="AS78" s="302">
        <f t="shared" si="59"/>
        <v>2395550.19</v>
      </c>
      <c r="AT78" s="302">
        <f t="shared" si="59"/>
        <v>3984095.08</v>
      </c>
      <c r="AU78" s="302">
        <f t="shared" si="59"/>
        <v>3090475.19</v>
      </c>
      <c r="AV78" s="302">
        <f t="shared" si="59"/>
        <v>3810011.1900000004</v>
      </c>
      <c r="AW78" s="302">
        <f t="shared" si="59"/>
        <v>2103486.81</v>
      </c>
      <c r="AX78" s="302">
        <f t="shared" si="59"/>
        <v>3506678.99</v>
      </c>
      <c r="AY78" s="302">
        <f t="shared" si="59"/>
        <v>2742479.4</v>
      </c>
      <c r="AZ78" s="302">
        <f t="shared" si="59"/>
        <v>2289894.71</v>
      </c>
      <c r="BA78" s="302">
        <f t="shared" si="59"/>
        <v>1378698.63</v>
      </c>
      <c r="BB78" s="302">
        <f t="shared" si="59"/>
        <v>2216387.86</v>
      </c>
      <c r="BC78" s="302">
        <f t="shared" si="59"/>
        <v>2858542.84</v>
      </c>
      <c r="BD78" s="302">
        <f>SUM(BD73:BD77)</f>
        <v>1827814.08</v>
      </c>
      <c r="BE78" s="443">
        <f t="shared" ref="BE78:BK78" si="60">SUM(BE73:BE77)</f>
        <v>1717906.45</v>
      </c>
      <c r="BF78" s="443">
        <f t="shared" si="60"/>
        <v>-3092.76</v>
      </c>
      <c r="BG78" s="443">
        <f t="shared" si="60"/>
        <v>1989646.43</v>
      </c>
      <c r="BH78" s="443">
        <f t="shared" si="60"/>
        <v>2197464.29</v>
      </c>
      <c r="BI78" s="443">
        <f t="shared" si="60"/>
        <v>567773.86</v>
      </c>
      <c r="BJ78" s="443">
        <f t="shared" si="60"/>
        <v>657956.81000000006</v>
      </c>
      <c r="BK78" s="443">
        <f t="shared" si="60"/>
        <v>767983.62000000011</v>
      </c>
      <c r="BL78" s="443">
        <f t="shared" ref="BL78:BV78" si="61">SUM(BL73:BL77)</f>
        <v>666778.43999999994</v>
      </c>
      <c r="BM78" s="443">
        <f t="shared" si="61"/>
        <v>112310.40999999999</v>
      </c>
      <c r="BN78" s="443">
        <f t="shared" si="61"/>
        <v>524945.98</v>
      </c>
      <c r="BO78" s="443">
        <f t="shared" si="61"/>
        <v>547411.01</v>
      </c>
      <c r="BP78" s="443">
        <f t="shared" si="61"/>
        <v>399016.09</v>
      </c>
      <c r="BQ78" s="443">
        <f t="shared" si="61"/>
        <v>465018.00000000006</v>
      </c>
      <c r="BR78" s="443">
        <f t="shared" si="61"/>
        <v>417132.3</v>
      </c>
      <c r="BS78" s="443">
        <f t="shared" si="61"/>
        <v>462309.51</v>
      </c>
      <c r="BT78" s="443">
        <f t="shared" si="61"/>
        <v>652075.59000000008</v>
      </c>
      <c r="BU78" s="443">
        <f t="shared" si="61"/>
        <v>544881.81999999995</v>
      </c>
      <c r="BV78" s="443">
        <f t="shared" si="61"/>
        <v>145176.33000000002</v>
      </c>
    </row>
    <row r="79" spans="1:74"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454"/>
      <c r="BF79" s="457"/>
      <c r="BG79" s="457"/>
      <c r="BH79" s="457"/>
      <c r="BI79" s="457"/>
      <c r="BJ79" s="457"/>
      <c r="BK79" s="457"/>
      <c r="BL79" s="457"/>
      <c r="BM79" s="457"/>
      <c r="BN79" s="457"/>
      <c r="BO79" s="457"/>
      <c r="BP79" s="457"/>
      <c r="BQ79" s="457"/>
      <c r="BR79" s="457"/>
      <c r="BS79" s="457"/>
      <c r="BT79" s="457"/>
      <c r="BU79" s="457"/>
      <c r="BV79" s="457"/>
    </row>
    <row r="80" spans="1:74"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c r="AP80" s="333">
        <v>1010877.64</v>
      </c>
      <c r="AQ80" s="333">
        <v>857072.1</v>
      </c>
      <c r="AR80" s="333">
        <v>1069155.67</v>
      </c>
      <c r="AS80" s="333">
        <v>1751394.53</v>
      </c>
      <c r="AT80" s="333">
        <v>1596337.4</v>
      </c>
      <c r="AU80" s="333">
        <v>963222.88</v>
      </c>
      <c r="AV80" s="333">
        <v>1058284.44</v>
      </c>
      <c r="AW80" s="333">
        <v>2427704.06</v>
      </c>
      <c r="AX80" s="333">
        <v>1976131.15</v>
      </c>
      <c r="AY80" s="333">
        <v>1683534.65</v>
      </c>
      <c r="AZ80" s="333">
        <v>1654018.46</v>
      </c>
      <c r="BA80" s="333">
        <v>1469916.95</v>
      </c>
      <c r="BB80" s="333">
        <v>1442446.57</v>
      </c>
      <c r="BC80" s="333">
        <v>1238173.58</v>
      </c>
      <c r="BD80" s="333">
        <v>1181009.93</v>
      </c>
      <c r="BE80" s="455">
        <v>1299216.42</v>
      </c>
      <c r="BF80" s="455">
        <v>1439525.51</v>
      </c>
      <c r="BG80" s="455">
        <v>915273.69</v>
      </c>
      <c r="BH80" s="455">
        <v>1891898.3</v>
      </c>
      <c r="BI80" s="455">
        <v>1372665.52</v>
      </c>
      <c r="BJ80" s="455">
        <v>1869063.67</v>
      </c>
      <c r="BK80" s="455">
        <v>1104696.43</v>
      </c>
      <c r="BL80" s="455">
        <v>963089.71</v>
      </c>
      <c r="BM80" s="455">
        <v>827803.72</v>
      </c>
      <c r="BN80" s="455">
        <v>855355.95</v>
      </c>
      <c r="BO80" s="455">
        <v>109876.16</v>
      </c>
      <c r="BP80" s="455">
        <v>590706.5</v>
      </c>
      <c r="BQ80" s="455">
        <v>626960.04</v>
      </c>
      <c r="BR80" s="455">
        <v>1159555.6399999999</v>
      </c>
      <c r="BS80" s="455">
        <v>704904.9</v>
      </c>
      <c r="BT80" s="455">
        <v>616075.31000000006</v>
      </c>
      <c r="BU80" s="455">
        <v>622435.89</v>
      </c>
      <c r="BV80" s="455">
        <v>543177.97</v>
      </c>
    </row>
    <row r="81" spans="1:74"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c r="AP81" s="333">
        <v>712162.86</v>
      </c>
      <c r="AQ81" s="333">
        <v>53489.43</v>
      </c>
      <c r="AR81" s="333">
        <v>53782</v>
      </c>
      <c r="AS81" s="333">
        <v>164094.96</v>
      </c>
      <c r="AT81" s="333">
        <v>527870.51</v>
      </c>
      <c r="AU81" s="333">
        <v>55464.95</v>
      </c>
      <c r="AV81" s="333">
        <v>64864.02</v>
      </c>
      <c r="AW81" s="333">
        <v>398602.63</v>
      </c>
      <c r="AX81" s="333">
        <v>372815.49</v>
      </c>
      <c r="AY81" s="333">
        <v>448513.3</v>
      </c>
      <c r="AZ81" s="333">
        <v>190244.72</v>
      </c>
      <c r="BA81" s="333">
        <v>198319.01</v>
      </c>
      <c r="BB81" s="333">
        <v>101979.86</v>
      </c>
      <c r="BC81" s="333">
        <v>902502.09</v>
      </c>
      <c r="BD81" s="333">
        <v>71754.710000000006</v>
      </c>
      <c r="BE81" s="455">
        <v>79213.919999999998</v>
      </c>
      <c r="BF81" s="455">
        <v>672633.06</v>
      </c>
      <c r="BG81" s="455"/>
      <c r="BH81" s="455"/>
      <c r="BI81" s="455"/>
      <c r="BJ81" s="455"/>
      <c r="BK81" s="455"/>
      <c r="BL81" s="455"/>
      <c r="BM81" s="455"/>
      <c r="BN81" s="455"/>
      <c r="BO81" s="455"/>
      <c r="BP81" s="455"/>
      <c r="BQ81" s="455"/>
      <c r="BR81" s="455"/>
      <c r="BS81" s="455"/>
      <c r="BT81" s="455"/>
      <c r="BU81" s="455"/>
      <c r="BV81" s="455"/>
    </row>
    <row r="82" spans="1:74"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c r="AP82" s="333">
        <v>193336.4</v>
      </c>
      <c r="AQ82" s="333">
        <v>191362.76</v>
      </c>
      <c r="AR82" s="333">
        <v>165771.97</v>
      </c>
      <c r="AS82" s="333">
        <v>409010.15</v>
      </c>
      <c r="AT82" s="333">
        <v>401617.39</v>
      </c>
      <c r="AU82" s="333">
        <v>193603.15</v>
      </c>
      <c r="AV82" s="333">
        <v>172772.69</v>
      </c>
      <c r="AW82" s="333">
        <v>502310.58</v>
      </c>
      <c r="AX82" s="333">
        <v>483844.05</v>
      </c>
      <c r="AY82" s="333">
        <v>400878.48</v>
      </c>
      <c r="AZ82" s="333">
        <v>298269.15999999997</v>
      </c>
      <c r="BA82" s="333">
        <v>329950.17</v>
      </c>
      <c r="BB82" s="333">
        <v>370761.59</v>
      </c>
      <c r="BC82" s="333">
        <v>288000.02</v>
      </c>
      <c r="BD82" s="333">
        <v>232480.23</v>
      </c>
      <c r="BE82" s="455">
        <v>264866.3</v>
      </c>
      <c r="BF82" s="455">
        <v>322192.12</v>
      </c>
      <c r="BG82" s="455"/>
      <c r="BH82" s="455"/>
      <c r="BI82" s="455"/>
      <c r="BJ82" s="455"/>
      <c r="BK82" s="455"/>
      <c r="BL82" s="455"/>
      <c r="BM82" s="455"/>
      <c r="BN82" s="455"/>
      <c r="BO82" s="455"/>
      <c r="BP82" s="455"/>
      <c r="BQ82" s="455"/>
      <c r="BR82" s="455"/>
      <c r="BS82" s="455"/>
      <c r="BT82" s="455"/>
      <c r="BU82" s="455"/>
      <c r="BV82" s="455"/>
    </row>
    <row r="83" spans="1:74"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c r="AP83" s="333">
        <v>235940.65</v>
      </c>
      <c r="AQ83" s="333">
        <v>234621.44</v>
      </c>
      <c r="AR83" s="333">
        <v>133796.14000000001</v>
      </c>
      <c r="AS83" s="333">
        <v>503223.61</v>
      </c>
      <c r="AT83" s="333">
        <v>538222.56999999995</v>
      </c>
      <c r="AU83" s="333">
        <v>183180.73</v>
      </c>
      <c r="AV83" s="333">
        <v>153748.82999999999</v>
      </c>
      <c r="AW83" s="333">
        <v>521177.31</v>
      </c>
      <c r="AX83" s="333">
        <v>691166.39</v>
      </c>
      <c r="AY83" s="333">
        <v>460113.97</v>
      </c>
      <c r="AZ83" s="333">
        <v>359514.35</v>
      </c>
      <c r="BA83" s="333">
        <v>498663.52</v>
      </c>
      <c r="BB83" s="333">
        <v>313516.13</v>
      </c>
      <c r="BC83" s="333">
        <v>276561.69</v>
      </c>
      <c r="BD83" s="333">
        <v>272555.96999999997</v>
      </c>
      <c r="BE83" s="455">
        <v>288522.28000000003</v>
      </c>
      <c r="BF83" s="455">
        <v>491116.35</v>
      </c>
      <c r="BG83" s="455"/>
      <c r="BH83" s="455"/>
      <c r="BI83" s="455"/>
      <c r="BJ83" s="455"/>
      <c r="BK83" s="455"/>
      <c r="BL83" s="455"/>
      <c r="BM83" s="455"/>
      <c r="BN83" s="455"/>
      <c r="BO83" s="455"/>
      <c r="BP83" s="455"/>
      <c r="BQ83" s="455"/>
      <c r="BR83" s="455"/>
      <c r="BS83" s="455"/>
      <c r="BT83" s="455"/>
      <c r="BU83" s="455"/>
      <c r="BV83" s="455"/>
    </row>
    <row r="84" spans="1:74"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c r="AP84" s="333">
        <v>151542.47</v>
      </c>
      <c r="AQ84" s="333">
        <v>3170.96</v>
      </c>
      <c r="AR84" s="333">
        <v>123747.49</v>
      </c>
      <c r="AS84" s="333">
        <v>147351.79</v>
      </c>
      <c r="AT84" s="333">
        <v>213120.38</v>
      </c>
      <c r="AU84" s="333">
        <v>53375.5</v>
      </c>
      <c r="AV84" s="333">
        <v>30683.87</v>
      </c>
      <c r="AW84" s="333">
        <v>267817.59000000003</v>
      </c>
      <c r="AX84" s="333">
        <v>210285.14</v>
      </c>
      <c r="AY84" s="333">
        <v>249155.76</v>
      </c>
      <c r="AZ84" s="333">
        <v>148795.51</v>
      </c>
      <c r="BA84" s="333">
        <v>213981.49</v>
      </c>
      <c r="BB84" s="333">
        <v>34459.300000000003</v>
      </c>
      <c r="BC84" s="333">
        <v>65029.52</v>
      </c>
      <c r="BD84" s="333">
        <v>150113.72</v>
      </c>
      <c r="BE84" s="456">
        <v>308615.08</v>
      </c>
      <c r="BF84" s="456">
        <v>35749.22</v>
      </c>
      <c r="BG84" s="456"/>
      <c r="BH84" s="456"/>
      <c r="BI84" s="456"/>
      <c r="BJ84" s="456"/>
      <c r="BK84" s="456"/>
      <c r="BL84" s="456"/>
      <c r="BM84" s="456"/>
      <c r="BN84" s="456"/>
      <c r="BO84" s="456"/>
      <c r="BP84" s="456"/>
      <c r="BQ84" s="456"/>
      <c r="BR84" s="456"/>
      <c r="BS84" s="456"/>
      <c r="BT84" s="456"/>
      <c r="BU84" s="456"/>
      <c r="BV84" s="456"/>
    </row>
    <row r="85" spans="1:74" x14ac:dyDescent="0.25">
      <c r="A85" s="4"/>
      <c r="B85" s="35" t="s">
        <v>41</v>
      </c>
      <c r="C85" s="108">
        <f>SUM(C80:C84)</f>
        <v>3737993.2099999995</v>
      </c>
      <c r="D85" s="79">
        <f t="shared" ref="D85:AG85" si="62">SUM(D80:D84)</f>
        <v>2392480.5499999998</v>
      </c>
      <c r="E85" s="109">
        <f t="shared" si="62"/>
        <v>1823717.35</v>
      </c>
      <c r="F85" s="109">
        <f t="shared" si="62"/>
        <v>1970070.05</v>
      </c>
      <c r="G85" s="79">
        <f t="shared" si="62"/>
        <v>2144761.98</v>
      </c>
      <c r="H85" s="109">
        <f t="shared" si="62"/>
        <v>1396077.3800000001</v>
      </c>
      <c r="I85" s="109">
        <f t="shared" si="62"/>
        <v>1059769.42</v>
      </c>
      <c r="J85" s="109">
        <f t="shared" si="62"/>
        <v>994192.85</v>
      </c>
      <c r="K85" s="109">
        <f t="shared" si="62"/>
        <v>1568293.0599999998</v>
      </c>
      <c r="L85" s="110">
        <f t="shared" si="62"/>
        <v>1370383.0299999998</v>
      </c>
      <c r="M85" s="79">
        <f t="shared" si="62"/>
        <v>1022191.11</v>
      </c>
      <c r="N85" s="89">
        <f t="shared" si="62"/>
        <v>1042908.94</v>
      </c>
      <c r="O85" s="109">
        <f t="shared" si="62"/>
        <v>785518.01</v>
      </c>
      <c r="P85" s="98">
        <f t="shared" si="62"/>
        <v>745401.44000000006</v>
      </c>
      <c r="Q85" s="109">
        <f t="shared" si="62"/>
        <v>694325.04999999993</v>
      </c>
      <c r="R85" s="98">
        <f t="shared" si="62"/>
        <v>615160.6</v>
      </c>
      <c r="S85" s="109">
        <f t="shared" si="62"/>
        <v>663184.99</v>
      </c>
      <c r="T85" s="79">
        <f t="shared" si="62"/>
        <v>582541.73</v>
      </c>
      <c r="U85" s="180">
        <f t="shared" si="62"/>
        <v>603713.13</v>
      </c>
      <c r="V85" s="180">
        <f t="shared" si="62"/>
        <v>440941.84</v>
      </c>
      <c r="W85" s="180">
        <f t="shared" si="62"/>
        <v>673463.78999999992</v>
      </c>
      <c r="X85" s="180">
        <f t="shared" si="62"/>
        <v>542921.97000000009</v>
      </c>
      <c r="Y85" s="180">
        <f t="shared" si="62"/>
        <v>445817.01</v>
      </c>
      <c r="Z85" s="180">
        <f t="shared" si="62"/>
        <v>556682.45000000007</v>
      </c>
      <c r="AA85" s="180">
        <f t="shared" si="62"/>
        <v>533736.41</v>
      </c>
      <c r="AB85" s="98">
        <f t="shared" si="62"/>
        <v>534970.11</v>
      </c>
      <c r="AC85" s="98">
        <f t="shared" si="62"/>
        <v>420819.51</v>
      </c>
      <c r="AD85" s="98">
        <f t="shared" si="62"/>
        <v>572596.81000000006</v>
      </c>
      <c r="AE85" s="98">
        <f t="shared" si="62"/>
        <v>709809.61</v>
      </c>
      <c r="AF85" s="98">
        <f t="shared" si="62"/>
        <v>628026.49</v>
      </c>
      <c r="AG85" s="98">
        <f t="shared" si="62"/>
        <v>495845.53000000009</v>
      </c>
      <c r="AH85" s="98">
        <f t="shared" ref="AH85:BC85" si="63">SUM(AH80:AH84)</f>
        <v>764192.59</v>
      </c>
      <c r="AI85" s="98">
        <f t="shared" si="63"/>
        <v>652998.79</v>
      </c>
      <c r="AJ85" s="98">
        <f t="shared" si="63"/>
        <v>623519.77</v>
      </c>
      <c r="AK85" s="98">
        <f t="shared" si="63"/>
        <v>1023375.53</v>
      </c>
      <c r="AL85" s="98">
        <f t="shared" si="63"/>
        <v>1126637.92</v>
      </c>
      <c r="AM85" s="98">
        <f t="shared" si="63"/>
        <v>1111969.9099999999</v>
      </c>
      <c r="AN85" s="98">
        <f t="shared" si="63"/>
        <v>1229518.1999999997</v>
      </c>
      <c r="AO85" s="98">
        <f t="shared" si="63"/>
        <v>1671147.4600000002</v>
      </c>
      <c r="AP85" s="98">
        <f t="shared" si="63"/>
        <v>2303860.02</v>
      </c>
      <c r="AQ85" s="98">
        <f t="shared" si="63"/>
        <v>1339716.69</v>
      </c>
      <c r="AR85" s="98">
        <f t="shared" si="63"/>
        <v>1546253.2699999998</v>
      </c>
      <c r="AS85" s="98">
        <f t="shared" si="63"/>
        <v>2975075.04</v>
      </c>
      <c r="AT85" s="98">
        <f t="shared" si="63"/>
        <v>3277168.25</v>
      </c>
      <c r="AU85" s="98">
        <f t="shared" si="63"/>
        <v>1448847.21</v>
      </c>
      <c r="AV85" s="98">
        <f t="shared" si="63"/>
        <v>1480353.85</v>
      </c>
      <c r="AW85" s="98">
        <f t="shared" si="63"/>
        <v>4117612.17</v>
      </c>
      <c r="AX85" s="98">
        <f t="shared" si="63"/>
        <v>3734242.2199999997</v>
      </c>
      <c r="AY85" s="98">
        <f t="shared" si="63"/>
        <v>3242196.1599999992</v>
      </c>
      <c r="AZ85" s="98">
        <f t="shared" si="63"/>
        <v>2650842.2000000002</v>
      </c>
      <c r="BA85" s="98">
        <f t="shared" si="63"/>
        <v>2710831.1399999997</v>
      </c>
      <c r="BB85" s="98">
        <f t="shared" si="63"/>
        <v>2263163.4500000002</v>
      </c>
      <c r="BC85" s="98">
        <f t="shared" si="63"/>
        <v>2770266.9</v>
      </c>
      <c r="BD85" s="98">
        <f>SUM(BD80:BD84)</f>
        <v>1907914.5599999998</v>
      </c>
      <c r="BE85" s="79">
        <f t="shared" ref="BE85:BK85" si="64">SUM(BE80:BE84)</f>
        <v>2240434</v>
      </c>
      <c r="BF85" s="109">
        <f t="shared" si="64"/>
        <v>2961216.2600000007</v>
      </c>
      <c r="BG85" s="109">
        <f t="shared" si="64"/>
        <v>915273.69</v>
      </c>
      <c r="BH85" s="109">
        <f t="shared" si="64"/>
        <v>1891898.3</v>
      </c>
      <c r="BI85" s="109">
        <f t="shared" si="64"/>
        <v>1372665.52</v>
      </c>
      <c r="BJ85" s="109">
        <f t="shared" si="64"/>
        <v>1869063.67</v>
      </c>
      <c r="BK85" s="109">
        <f t="shared" si="64"/>
        <v>1104696.43</v>
      </c>
      <c r="BL85" s="109">
        <f t="shared" ref="BL85:BV85" si="65">SUM(BL80:BL84)</f>
        <v>963089.71</v>
      </c>
      <c r="BM85" s="109">
        <f t="shared" si="65"/>
        <v>827803.72</v>
      </c>
      <c r="BN85" s="109">
        <f t="shared" si="65"/>
        <v>855355.95</v>
      </c>
      <c r="BO85" s="109">
        <f t="shared" si="65"/>
        <v>109876.16</v>
      </c>
      <c r="BP85" s="109">
        <f t="shared" si="65"/>
        <v>590706.5</v>
      </c>
      <c r="BQ85" s="109">
        <f t="shared" si="65"/>
        <v>626960.04</v>
      </c>
      <c r="BR85" s="109">
        <f t="shared" si="65"/>
        <v>1159555.6399999999</v>
      </c>
      <c r="BS85" s="109">
        <f t="shared" si="65"/>
        <v>704904.9</v>
      </c>
      <c r="BT85" s="109">
        <f t="shared" si="65"/>
        <v>616075.31000000006</v>
      </c>
      <c r="BU85" s="109">
        <f t="shared" si="65"/>
        <v>622435.89</v>
      </c>
      <c r="BV85" s="109">
        <f t="shared" si="65"/>
        <v>543177.97</v>
      </c>
    </row>
    <row r="86" spans="1:74"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c r="AP86" s="224"/>
      <c r="AQ86" s="224"/>
      <c r="AR86" s="224"/>
      <c r="AS86" s="224"/>
      <c r="AT86" s="224"/>
      <c r="AU86" s="224"/>
      <c r="AV86" s="224"/>
      <c r="AW86" s="224"/>
      <c r="AX86" s="224"/>
      <c r="AY86" s="224"/>
      <c r="AZ86" s="224"/>
      <c r="BA86" s="224"/>
      <c r="BB86" s="224"/>
      <c r="BC86" s="224"/>
      <c r="BD86" s="224"/>
      <c r="BE86" s="461"/>
      <c r="BF86" s="461"/>
      <c r="BG86" s="461"/>
      <c r="BH86" s="461"/>
      <c r="BI86" s="461"/>
      <c r="BJ86" s="461"/>
      <c r="BK86" s="461"/>
      <c r="BL86" s="461"/>
      <c r="BM86" s="461"/>
      <c r="BN86" s="461"/>
      <c r="BO86" s="461"/>
      <c r="BP86" s="461"/>
      <c r="BQ86" s="461"/>
      <c r="BR86" s="461"/>
      <c r="BS86" s="461"/>
      <c r="BT86" s="461"/>
      <c r="BU86" s="461"/>
      <c r="BV86" s="461"/>
    </row>
    <row r="87" spans="1:74"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c r="AP87" s="224">
        <v>6604</v>
      </c>
      <c r="AQ87" s="224">
        <v>5066</v>
      </c>
      <c r="AR87" s="224">
        <v>6011</v>
      </c>
      <c r="AS87" s="224">
        <v>9043</v>
      </c>
      <c r="AT87" s="224">
        <v>8485</v>
      </c>
      <c r="AU87" s="224">
        <v>4990</v>
      </c>
      <c r="AV87" s="224">
        <v>5680</v>
      </c>
      <c r="AW87" s="224">
        <v>12507</v>
      </c>
      <c r="AX87" s="224">
        <v>10233</v>
      </c>
      <c r="AY87" s="224">
        <v>8255</v>
      </c>
      <c r="AZ87" s="224">
        <v>8035</v>
      </c>
      <c r="BA87" s="224">
        <v>7429</v>
      </c>
      <c r="BB87" s="224">
        <v>7829</v>
      </c>
      <c r="BC87" s="224">
        <v>6637</v>
      </c>
      <c r="BD87" s="224">
        <v>6663</v>
      </c>
      <c r="BE87" s="462">
        <v>8115</v>
      </c>
      <c r="BF87" s="462">
        <v>9598</v>
      </c>
      <c r="BG87" s="462">
        <v>5140</v>
      </c>
      <c r="BH87" s="462">
        <v>13112</v>
      </c>
      <c r="BI87" s="462">
        <v>8635</v>
      </c>
      <c r="BJ87" s="462">
        <v>14258</v>
      </c>
      <c r="BK87" s="462">
        <v>9594</v>
      </c>
      <c r="BL87" s="462">
        <v>7591</v>
      </c>
      <c r="BM87" s="462">
        <v>7512</v>
      </c>
      <c r="BN87" s="462">
        <v>9677</v>
      </c>
      <c r="BO87" s="462">
        <v>9117</v>
      </c>
      <c r="BP87" s="462">
        <v>7266</v>
      </c>
      <c r="BQ87" s="462">
        <v>6214</v>
      </c>
      <c r="BR87" s="462">
        <v>12473</v>
      </c>
      <c r="BS87" s="462">
        <v>10386</v>
      </c>
      <c r="BT87" s="462">
        <v>8073</v>
      </c>
      <c r="BU87" s="462">
        <v>7370</v>
      </c>
      <c r="BV87" s="462">
        <v>8190</v>
      </c>
    </row>
    <row r="88" spans="1:74"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c r="AP88" s="224">
        <v>4988</v>
      </c>
      <c r="AQ88" s="224">
        <v>461</v>
      </c>
      <c r="AR88" s="224">
        <v>447</v>
      </c>
      <c r="AS88" s="224">
        <v>1097</v>
      </c>
      <c r="AT88" s="224">
        <v>3271</v>
      </c>
      <c r="AU88" s="224">
        <v>480</v>
      </c>
      <c r="AV88" s="224">
        <v>491</v>
      </c>
      <c r="AW88" s="224">
        <v>2444</v>
      </c>
      <c r="AX88" s="224">
        <v>2115</v>
      </c>
      <c r="AY88" s="224">
        <v>2790</v>
      </c>
      <c r="AZ88" s="224">
        <v>1202</v>
      </c>
      <c r="BA88" s="224">
        <v>1127</v>
      </c>
      <c r="BB88" s="224">
        <v>793</v>
      </c>
      <c r="BC88" s="224">
        <v>4154</v>
      </c>
      <c r="BD88" s="224">
        <v>562</v>
      </c>
      <c r="BE88" s="462">
        <v>690</v>
      </c>
      <c r="BF88" s="462">
        <v>4104</v>
      </c>
      <c r="BG88" s="462"/>
      <c r="BH88" s="462"/>
      <c r="BI88" s="462"/>
      <c r="BJ88" s="462"/>
      <c r="BK88" s="462"/>
      <c r="BL88" s="462"/>
      <c r="BM88" s="462"/>
      <c r="BN88" s="462"/>
      <c r="BO88" s="462"/>
      <c r="BP88" s="462"/>
      <c r="BQ88" s="462"/>
      <c r="BR88" s="462"/>
      <c r="BS88" s="462"/>
      <c r="BT88" s="462"/>
      <c r="BU88" s="462"/>
      <c r="BV88" s="462"/>
    </row>
    <row r="89" spans="1:74"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c r="AP89" s="224">
        <v>607</v>
      </c>
      <c r="AQ89" s="224">
        <v>625</v>
      </c>
      <c r="AR89" s="224">
        <v>502</v>
      </c>
      <c r="AS89" s="224">
        <v>985</v>
      </c>
      <c r="AT89" s="224">
        <v>949</v>
      </c>
      <c r="AU89" s="224">
        <v>491</v>
      </c>
      <c r="AV89" s="224">
        <v>432</v>
      </c>
      <c r="AW89" s="224">
        <v>1230</v>
      </c>
      <c r="AX89" s="224">
        <v>1146</v>
      </c>
      <c r="AY89" s="224">
        <v>882</v>
      </c>
      <c r="AZ89" s="224">
        <v>724</v>
      </c>
      <c r="BA89" s="224">
        <v>831</v>
      </c>
      <c r="BB89" s="224">
        <v>849</v>
      </c>
      <c r="BC89" s="224">
        <v>744</v>
      </c>
      <c r="BD89" s="224">
        <v>634</v>
      </c>
      <c r="BE89" s="462">
        <v>872</v>
      </c>
      <c r="BF89" s="462">
        <v>1075</v>
      </c>
      <c r="BG89" s="462"/>
      <c r="BH89" s="462"/>
      <c r="BI89" s="462"/>
      <c r="BJ89" s="462"/>
      <c r="BK89" s="462"/>
      <c r="BL89" s="462"/>
      <c r="BM89" s="462"/>
      <c r="BN89" s="462"/>
      <c r="BO89" s="462"/>
      <c r="BP89" s="462"/>
      <c r="BQ89" s="462"/>
      <c r="BR89" s="462"/>
      <c r="BS89" s="462"/>
      <c r="BT89" s="462"/>
      <c r="BU89" s="462"/>
      <c r="BV89" s="462"/>
    </row>
    <row r="90" spans="1:74"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c r="AP90" s="224">
        <v>94</v>
      </c>
      <c r="AQ90" s="224">
        <v>111</v>
      </c>
      <c r="AR90" s="224">
        <v>61</v>
      </c>
      <c r="AS90" s="224">
        <v>154</v>
      </c>
      <c r="AT90" s="224">
        <v>165</v>
      </c>
      <c r="AU90" s="224">
        <v>46</v>
      </c>
      <c r="AV90" s="224">
        <v>50</v>
      </c>
      <c r="AW90" s="224">
        <v>162</v>
      </c>
      <c r="AX90" s="224">
        <v>206</v>
      </c>
      <c r="AY90" s="224">
        <v>144</v>
      </c>
      <c r="AZ90" s="224">
        <v>114</v>
      </c>
      <c r="BA90" s="224">
        <v>173</v>
      </c>
      <c r="BB90" s="224">
        <v>111</v>
      </c>
      <c r="BC90" s="224">
        <v>82</v>
      </c>
      <c r="BD90" s="224">
        <v>95</v>
      </c>
      <c r="BE90" s="462">
        <v>111</v>
      </c>
      <c r="BF90" s="462">
        <v>203</v>
      </c>
      <c r="BG90" s="462"/>
      <c r="BH90" s="462"/>
      <c r="BI90" s="462"/>
      <c r="BJ90" s="462"/>
      <c r="BK90" s="462"/>
      <c r="BL90" s="462"/>
      <c r="BM90" s="462"/>
      <c r="BN90" s="462"/>
      <c r="BO90" s="462"/>
      <c r="BP90" s="462"/>
      <c r="BQ90" s="462"/>
      <c r="BR90" s="462"/>
      <c r="BS90" s="462"/>
      <c r="BT90" s="462"/>
      <c r="BU90" s="462"/>
      <c r="BV90" s="462"/>
    </row>
    <row r="91" spans="1:74"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c r="AP91" s="224">
        <v>8</v>
      </c>
      <c r="AQ91" s="224">
        <v>3</v>
      </c>
      <c r="AR91" s="224">
        <v>5</v>
      </c>
      <c r="AS91" s="224">
        <v>9</v>
      </c>
      <c r="AT91" s="224">
        <v>10</v>
      </c>
      <c r="AU91" s="224">
        <v>3</v>
      </c>
      <c r="AV91" s="224">
        <v>1</v>
      </c>
      <c r="AW91" s="224">
        <v>13</v>
      </c>
      <c r="AX91" s="224">
        <v>13</v>
      </c>
      <c r="AY91" s="224">
        <v>12</v>
      </c>
      <c r="AZ91" s="224">
        <v>5</v>
      </c>
      <c r="BA91" s="224">
        <v>11</v>
      </c>
      <c r="BB91" s="224">
        <v>5</v>
      </c>
      <c r="BC91" s="224">
        <v>4</v>
      </c>
      <c r="BD91" s="224">
        <v>5</v>
      </c>
      <c r="BE91" s="388">
        <v>10</v>
      </c>
      <c r="BF91" s="388">
        <v>6</v>
      </c>
      <c r="BG91" s="388"/>
      <c r="BH91" s="388"/>
      <c r="BI91" s="388"/>
      <c r="BJ91" s="388"/>
      <c r="BK91" s="388"/>
      <c r="BL91" s="388"/>
      <c r="BM91" s="388"/>
      <c r="BN91" s="388"/>
      <c r="BO91" s="388"/>
      <c r="BP91" s="388"/>
      <c r="BQ91" s="388"/>
      <c r="BR91" s="388"/>
      <c r="BS91" s="388"/>
      <c r="BT91" s="388"/>
      <c r="BU91" s="388"/>
      <c r="BV91" s="388"/>
    </row>
    <row r="92" spans="1:74" ht="15.75" thickBot="1" x14ac:dyDescent="0.3">
      <c r="A92" s="4"/>
      <c r="B92" s="37" t="s">
        <v>41</v>
      </c>
      <c r="C92" s="122">
        <f>SUM(C87:C91)</f>
        <v>18160</v>
      </c>
      <c r="D92" s="60">
        <f>SUM(D87:D91)</f>
        <v>13454</v>
      </c>
      <c r="E92" s="60">
        <f t="shared" ref="E92:AG92" si="66">SUM(E87:E91)</f>
        <v>8828</v>
      </c>
      <c r="F92" s="60">
        <f t="shared" si="66"/>
        <v>11204</v>
      </c>
      <c r="G92" s="60">
        <f t="shared" si="66"/>
        <v>13414</v>
      </c>
      <c r="H92" s="60">
        <f t="shared" si="66"/>
        <v>7704</v>
      </c>
      <c r="I92" s="60">
        <f t="shared" si="66"/>
        <v>6709</v>
      </c>
      <c r="J92" s="60">
        <f t="shared" si="66"/>
        <v>6630</v>
      </c>
      <c r="K92" s="60">
        <f t="shared" si="66"/>
        <v>12064</v>
      </c>
      <c r="L92" s="163">
        <f t="shared" si="66"/>
        <v>11487</v>
      </c>
      <c r="M92" s="60">
        <f t="shared" si="66"/>
        <v>9979</v>
      </c>
      <c r="N92" s="60">
        <f t="shared" si="66"/>
        <v>9687</v>
      </c>
      <c r="O92" s="60">
        <f t="shared" si="66"/>
        <v>8678</v>
      </c>
      <c r="P92" s="60">
        <f t="shared" si="66"/>
        <v>7954</v>
      </c>
      <c r="Q92" s="60">
        <f t="shared" si="66"/>
        <v>9698</v>
      </c>
      <c r="R92" s="60">
        <f t="shared" si="66"/>
        <v>7760</v>
      </c>
      <c r="S92" s="60">
        <f t="shared" si="66"/>
        <v>10452</v>
      </c>
      <c r="T92" s="60">
        <f t="shared" si="66"/>
        <v>8111</v>
      </c>
      <c r="U92" s="187">
        <f t="shared" si="66"/>
        <v>8400</v>
      </c>
      <c r="V92" s="187">
        <f t="shared" si="66"/>
        <v>7581</v>
      </c>
      <c r="W92" s="187">
        <f t="shared" si="66"/>
        <v>8757</v>
      </c>
      <c r="X92" s="187">
        <f t="shared" si="66"/>
        <v>10461</v>
      </c>
      <c r="Y92" s="187">
        <f t="shared" si="66"/>
        <v>8116</v>
      </c>
      <c r="Z92" s="187">
        <f t="shared" si="66"/>
        <v>8974</v>
      </c>
      <c r="AA92" s="295">
        <f t="shared" si="66"/>
        <v>8476</v>
      </c>
      <c r="AB92" s="262">
        <f t="shared" si="66"/>
        <v>9988</v>
      </c>
      <c r="AC92" s="262">
        <f t="shared" si="66"/>
        <v>7362</v>
      </c>
      <c r="AD92" s="262">
        <f t="shared" si="66"/>
        <v>8896</v>
      </c>
      <c r="AE92" s="262">
        <f t="shared" si="66"/>
        <v>8504</v>
      </c>
      <c r="AF92" s="262">
        <f t="shared" si="66"/>
        <v>9536</v>
      </c>
      <c r="AG92" s="262">
        <f t="shared" si="66"/>
        <v>8153</v>
      </c>
      <c r="AH92" s="262">
        <f>SUM(AH87:AH91)</f>
        <v>9363</v>
      </c>
      <c r="AI92" s="262">
        <f>SUM(AI87:AI91)</f>
        <v>8403</v>
      </c>
      <c r="AJ92" s="262">
        <f>SUM(AJ87:AJ91)</f>
        <v>6856</v>
      </c>
      <c r="AK92" s="262">
        <f>SUM(AK87:AK91)</f>
        <v>12118</v>
      </c>
      <c r="AL92" s="262">
        <f t="shared" ref="AL92:AQ92" si="67">SUM(AL87:AL91)</f>
        <v>8744</v>
      </c>
      <c r="AM92" s="262">
        <f t="shared" si="67"/>
        <v>9418</v>
      </c>
      <c r="AN92" s="262">
        <f t="shared" si="67"/>
        <v>8446</v>
      </c>
      <c r="AO92" s="262">
        <f t="shared" si="67"/>
        <v>10621</v>
      </c>
      <c r="AP92" s="262">
        <f t="shared" si="67"/>
        <v>12301</v>
      </c>
      <c r="AQ92" s="262">
        <f t="shared" si="67"/>
        <v>6266</v>
      </c>
      <c r="AR92" s="262">
        <f t="shared" ref="AR92:BC92" si="68">SUM(AR87:AR91)</f>
        <v>7026</v>
      </c>
      <c r="AS92" s="262">
        <f t="shared" si="68"/>
        <v>11288</v>
      </c>
      <c r="AT92" s="262">
        <f t="shared" si="68"/>
        <v>12880</v>
      </c>
      <c r="AU92" s="262">
        <f t="shared" si="68"/>
        <v>6010</v>
      </c>
      <c r="AV92" s="262">
        <f t="shared" si="68"/>
        <v>6654</v>
      </c>
      <c r="AW92" s="262">
        <f t="shared" si="68"/>
        <v>16356</v>
      </c>
      <c r="AX92" s="262">
        <f t="shared" si="68"/>
        <v>13713</v>
      </c>
      <c r="AY92" s="262">
        <f t="shared" si="68"/>
        <v>12083</v>
      </c>
      <c r="AZ92" s="262">
        <f t="shared" si="68"/>
        <v>10080</v>
      </c>
      <c r="BA92" s="262">
        <f t="shared" si="68"/>
        <v>9571</v>
      </c>
      <c r="BB92" s="262">
        <f t="shared" si="68"/>
        <v>9587</v>
      </c>
      <c r="BC92" s="262">
        <f t="shared" si="68"/>
        <v>11621</v>
      </c>
      <c r="BD92" s="262">
        <f>SUM(BD87:BD91)</f>
        <v>7959</v>
      </c>
      <c r="BE92" s="60">
        <f t="shared" ref="BE92:BK92" si="69">SUM(BE87:BE91)</f>
        <v>9798</v>
      </c>
      <c r="BF92" s="60">
        <f t="shared" si="69"/>
        <v>14986</v>
      </c>
      <c r="BG92" s="60">
        <f t="shared" si="69"/>
        <v>5140</v>
      </c>
      <c r="BH92" s="60">
        <f t="shared" si="69"/>
        <v>13112</v>
      </c>
      <c r="BI92" s="60">
        <f t="shared" si="69"/>
        <v>8635</v>
      </c>
      <c r="BJ92" s="60">
        <f t="shared" si="69"/>
        <v>14258</v>
      </c>
      <c r="BK92" s="60">
        <f t="shared" si="69"/>
        <v>9594</v>
      </c>
      <c r="BL92" s="60">
        <f t="shared" ref="BL92:BV92" si="70">SUM(BL87:BL91)</f>
        <v>7591</v>
      </c>
      <c r="BM92" s="60">
        <f t="shared" si="70"/>
        <v>7512</v>
      </c>
      <c r="BN92" s="60">
        <f t="shared" si="70"/>
        <v>9677</v>
      </c>
      <c r="BO92" s="60">
        <f t="shared" si="70"/>
        <v>9117</v>
      </c>
      <c r="BP92" s="60">
        <f t="shared" si="70"/>
        <v>7266</v>
      </c>
      <c r="BQ92" s="60">
        <f t="shared" si="70"/>
        <v>6214</v>
      </c>
      <c r="BR92" s="60">
        <f t="shared" si="70"/>
        <v>12473</v>
      </c>
      <c r="BS92" s="60">
        <f t="shared" si="70"/>
        <v>10386</v>
      </c>
      <c r="BT92" s="60">
        <f t="shared" si="70"/>
        <v>8073</v>
      </c>
      <c r="BU92" s="60">
        <f t="shared" si="70"/>
        <v>7370</v>
      </c>
      <c r="BV92" s="60">
        <f t="shared" si="70"/>
        <v>8190</v>
      </c>
    </row>
    <row r="93" spans="1:74"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row>
    <row r="94" spans="1:74" x14ac:dyDescent="0.25">
      <c r="A94" s="4"/>
      <c r="B94" s="35" t="s">
        <v>36</v>
      </c>
      <c r="C94" s="97">
        <f t="shared" ref="C94:AB94" si="71">C73-C80</f>
        <v>842539.15000000037</v>
      </c>
      <c r="D94" s="77">
        <f t="shared" si="71"/>
        <v>-616976.49000000011</v>
      </c>
      <c r="E94" s="77">
        <f t="shared" si="71"/>
        <v>-107572.27000000002</v>
      </c>
      <c r="F94" s="77">
        <f t="shared" si="71"/>
        <v>-34604.610000000102</v>
      </c>
      <c r="G94" s="77">
        <f t="shared" si="71"/>
        <v>-105307.20000000007</v>
      </c>
      <c r="H94" s="77">
        <f t="shared" si="71"/>
        <v>86533.719999999972</v>
      </c>
      <c r="I94" s="77">
        <f t="shared" si="71"/>
        <v>-55667.189999999944</v>
      </c>
      <c r="J94" s="77">
        <f t="shared" si="71"/>
        <v>-211034.93999999994</v>
      </c>
      <c r="K94" s="77">
        <f t="shared" si="71"/>
        <v>-412199.08</v>
      </c>
      <c r="L94" s="98">
        <f t="shared" si="71"/>
        <v>-547518.36999999988</v>
      </c>
      <c r="M94" s="97">
        <f t="shared" si="71"/>
        <v>-356116.83999999997</v>
      </c>
      <c r="N94" s="97">
        <f t="shared" si="71"/>
        <v>-361364.05999999994</v>
      </c>
      <c r="O94" s="97">
        <f t="shared" si="71"/>
        <v>-98081.489999999991</v>
      </c>
      <c r="P94" s="97">
        <f t="shared" si="71"/>
        <v>-130037.01999999996</v>
      </c>
      <c r="Q94" s="97">
        <f t="shared" si="71"/>
        <v>-147257.78000000003</v>
      </c>
      <c r="R94" s="97">
        <f t="shared" si="71"/>
        <v>-144530.80000000002</v>
      </c>
      <c r="S94" s="97">
        <f t="shared" si="71"/>
        <v>-217032.11</v>
      </c>
      <c r="T94" s="97">
        <f t="shared" si="71"/>
        <v>4700.8400000000256</v>
      </c>
      <c r="U94" s="97">
        <f t="shared" si="71"/>
        <v>-98657.979999999981</v>
      </c>
      <c r="V94" s="97">
        <f t="shared" si="71"/>
        <v>53859.070000000007</v>
      </c>
      <c r="W94" s="97">
        <f t="shared" si="71"/>
        <v>-156278.43999999997</v>
      </c>
      <c r="X94" s="97">
        <f t="shared" si="71"/>
        <v>9819.679999999993</v>
      </c>
      <c r="Y94" s="97">
        <f t="shared" si="71"/>
        <v>-68399.700000000012</v>
      </c>
      <c r="Z94" s="97">
        <f t="shared" si="71"/>
        <v>-25709.840000000026</v>
      </c>
      <c r="AA94" s="97">
        <f t="shared" si="71"/>
        <v>-144714.99000000002</v>
      </c>
      <c r="AB94" s="97">
        <f t="shared" si="71"/>
        <v>-50962.419999999984</v>
      </c>
      <c r="AC94" s="97">
        <f t="shared" ref="AC94:AH94" si="72">AC73-AC80</f>
        <v>63891.02999999997</v>
      </c>
      <c r="AD94" s="97">
        <f t="shared" si="72"/>
        <v>231537.52000000002</v>
      </c>
      <c r="AE94" s="97">
        <f t="shared" si="72"/>
        <v>15976.600000000035</v>
      </c>
      <c r="AF94" s="97">
        <f t="shared" si="72"/>
        <v>-201370.18000000002</v>
      </c>
      <c r="AG94" s="97">
        <f t="shared" si="72"/>
        <v>407603.72000000003</v>
      </c>
      <c r="AH94" s="97">
        <f t="shared" si="72"/>
        <v>191286.94</v>
      </c>
      <c r="AI94" s="97">
        <f t="shared" ref="AI94:BC94" si="73">AI73-AI80</f>
        <v>512462.07999999996</v>
      </c>
      <c r="AJ94" s="97">
        <f t="shared" si="73"/>
        <v>140264.26</v>
      </c>
      <c r="AK94" s="97">
        <f t="shared" si="73"/>
        <v>778174.6</v>
      </c>
      <c r="AL94" s="97">
        <f t="shared" si="73"/>
        <v>573567.18000000005</v>
      </c>
      <c r="AM94" s="97">
        <f t="shared" si="73"/>
        <v>799702.00999999989</v>
      </c>
      <c r="AN94" s="97">
        <f t="shared" si="73"/>
        <v>108301.01000000001</v>
      </c>
      <c r="AO94" s="97">
        <f t="shared" si="73"/>
        <v>340131.77</v>
      </c>
      <c r="AP94" s="97">
        <f t="shared" si="73"/>
        <v>1630292.21</v>
      </c>
      <c r="AQ94" s="97">
        <f t="shared" si="73"/>
        <v>1500056.0099999998</v>
      </c>
      <c r="AR94" s="97">
        <f t="shared" si="73"/>
        <v>970068.67000000016</v>
      </c>
      <c r="AS94" s="97">
        <f t="shared" si="73"/>
        <v>-62193.060000000056</v>
      </c>
      <c r="AT94" s="97">
        <f t="shared" si="73"/>
        <v>1051910.1200000001</v>
      </c>
      <c r="AU94" s="97">
        <f t="shared" si="73"/>
        <v>1015969.91</v>
      </c>
      <c r="AV94" s="97">
        <f t="shared" si="73"/>
        <v>1204870.92</v>
      </c>
      <c r="AW94" s="97">
        <f t="shared" si="73"/>
        <v>-875842.47</v>
      </c>
      <c r="AX94" s="97">
        <f t="shared" si="73"/>
        <v>173673.41000000015</v>
      </c>
      <c r="AY94" s="97">
        <f t="shared" si="73"/>
        <v>-218647.5</v>
      </c>
      <c r="AZ94" s="97">
        <f t="shared" si="73"/>
        <v>-236166.78000000003</v>
      </c>
      <c r="BA94" s="97">
        <f t="shared" si="73"/>
        <v>-663652.31999999995</v>
      </c>
      <c r="BB94" s="97">
        <f t="shared" si="73"/>
        <v>69804.679999999935</v>
      </c>
      <c r="BC94" s="97">
        <f t="shared" si="73"/>
        <v>528306.71</v>
      </c>
      <c r="BD94" s="97">
        <f t="shared" ref="BD94:BV94" si="74">BD73-BD80</f>
        <v>-200796.61</v>
      </c>
      <c r="BE94" s="97">
        <f t="shared" si="74"/>
        <v>-264161.96999999997</v>
      </c>
      <c r="BF94" s="459">
        <f t="shared" si="74"/>
        <v>-1440544.96</v>
      </c>
      <c r="BG94" s="459">
        <f t="shared" si="74"/>
        <v>519823.56000000006</v>
      </c>
      <c r="BH94" s="459">
        <f t="shared" si="74"/>
        <v>-681882.08000000007</v>
      </c>
      <c r="BI94" s="459">
        <f t="shared" si="74"/>
        <v>-1081138.32</v>
      </c>
      <c r="BJ94" s="459">
        <f t="shared" si="74"/>
        <v>-1423567.2799999998</v>
      </c>
      <c r="BK94" s="459">
        <f t="shared" si="74"/>
        <v>-648066.49</v>
      </c>
      <c r="BL94" s="459">
        <f t="shared" si="74"/>
        <v>-554970.75</v>
      </c>
      <c r="BM94" s="459">
        <f t="shared" si="74"/>
        <v>-768537.77</v>
      </c>
      <c r="BN94" s="459">
        <f t="shared" si="74"/>
        <v>-527859.28</v>
      </c>
      <c r="BO94" s="459">
        <f t="shared" si="74"/>
        <v>141341.85</v>
      </c>
      <c r="BP94" s="459">
        <f t="shared" si="74"/>
        <v>-377138.74</v>
      </c>
      <c r="BQ94" s="459">
        <f t="shared" si="74"/>
        <v>-329036.03000000003</v>
      </c>
      <c r="BR94" s="459">
        <f t="shared" si="74"/>
        <v>-958060.66999999993</v>
      </c>
      <c r="BS94" s="459">
        <f t="shared" si="74"/>
        <v>-401824.19</v>
      </c>
      <c r="BT94" s="459">
        <f t="shared" si="74"/>
        <v>-220676.35000000003</v>
      </c>
      <c r="BU94" s="459">
        <f t="shared" si="74"/>
        <v>-275539.46000000002</v>
      </c>
      <c r="BV94" s="459">
        <f t="shared" si="74"/>
        <v>-464597.33999999997</v>
      </c>
    </row>
    <row r="95" spans="1:74" x14ac:dyDescent="0.25">
      <c r="A95" s="4"/>
      <c r="B95" s="35" t="s">
        <v>37</v>
      </c>
      <c r="C95" s="97">
        <f t="shared" ref="C95:R98" si="75">C74-C81</f>
        <v>260812</v>
      </c>
      <c r="D95" s="77">
        <f t="shared" si="75"/>
        <v>-99438.43</v>
      </c>
      <c r="E95" s="77">
        <f t="shared" si="75"/>
        <v>226936.43000000002</v>
      </c>
      <c r="F95" s="77">
        <f t="shared" si="75"/>
        <v>-98309.68</v>
      </c>
      <c r="G95" s="77">
        <f t="shared" si="75"/>
        <v>-398531.74</v>
      </c>
      <c r="H95" s="77">
        <f t="shared" si="75"/>
        <v>180714.41</v>
      </c>
      <c r="I95" s="77">
        <f t="shared" si="75"/>
        <v>156846.70000000001</v>
      </c>
      <c r="J95" s="77">
        <f t="shared" si="75"/>
        <v>2693.8999999999942</v>
      </c>
      <c r="K95" s="77">
        <f t="shared" si="75"/>
        <v>-144632.85999999999</v>
      </c>
      <c r="L95" s="98">
        <f t="shared" si="75"/>
        <v>-64494.26</v>
      </c>
      <c r="M95" s="97">
        <f t="shared" si="75"/>
        <v>-23432.869999999995</v>
      </c>
      <c r="N95" s="97">
        <f t="shared" si="75"/>
        <v>23360.899999999994</v>
      </c>
      <c r="O95" s="97">
        <f t="shared" si="75"/>
        <v>-35043.040000000001</v>
      </c>
      <c r="P95" s="97">
        <f t="shared" si="75"/>
        <v>-2114.9900000000052</v>
      </c>
      <c r="Q95" s="97">
        <f t="shared" si="75"/>
        <v>-45350.170000000013</v>
      </c>
      <c r="R95" s="97">
        <f t="shared" si="75"/>
        <v>-3053.5499999999956</v>
      </c>
      <c r="S95" s="97">
        <f t="shared" ref="S95:Z98" si="76">S74-S81</f>
        <v>-55244.62</v>
      </c>
      <c r="T95" s="97">
        <f t="shared" si="76"/>
        <v>19476.400000000001</v>
      </c>
      <c r="U95" s="97">
        <f t="shared" si="76"/>
        <v>10785.230000000003</v>
      </c>
      <c r="V95" s="97">
        <f t="shared" si="76"/>
        <v>59115.849999999991</v>
      </c>
      <c r="W95" s="97">
        <f t="shared" si="76"/>
        <v>-11023.280000000002</v>
      </c>
      <c r="X95" s="97">
        <f t="shared" si="76"/>
        <v>225506.19000000003</v>
      </c>
      <c r="Y95" s="97">
        <f t="shared" si="76"/>
        <v>33045.320000000007</v>
      </c>
      <c r="Z95" s="97">
        <f t="shared" si="76"/>
        <v>36253.18</v>
      </c>
      <c r="AA95" s="97">
        <f t="shared" ref="AA95:AG95" si="77">AA74-AA81</f>
        <v>26552.49</v>
      </c>
      <c r="AB95" s="97">
        <f t="shared" si="77"/>
        <v>-18640.039999999997</v>
      </c>
      <c r="AC95" s="97">
        <f t="shared" si="77"/>
        <v>31388.000000000004</v>
      </c>
      <c r="AD95" s="97">
        <f t="shared" si="77"/>
        <v>107972.05000000002</v>
      </c>
      <c r="AE95" s="97">
        <f t="shared" si="77"/>
        <v>83885.51999999999</v>
      </c>
      <c r="AF95" s="97">
        <f t="shared" si="77"/>
        <v>8009.4099999999962</v>
      </c>
      <c r="AG95" s="97">
        <f t="shared" si="77"/>
        <v>22458.25</v>
      </c>
      <c r="AH95" s="97">
        <f>AH74-AH81</f>
        <v>95905.2</v>
      </c>
      <c r="AI95" s="97">
        <f t="shared" ref="AI95:BC95" si="78">AI74-AI81</f>
        <v>242518.92</v>
      </c>
      <c r="AJ95" s="97">
        <f t="shared" si="78"/>
        <v>57949.7</v>
      </c>
      <c r="AK95" s="97">
        <f t="shared" si="78"/>
        <v>167765.73000000001</v>
      </c>
      <c r="AL95" s="97">
        <f t="shared" si="78"/>
        <v>260446.74000000002</v>
      </c>
      <c r="AM95" s="97">
        <f t="shared" si="78"/>
        <v>319690.01</v>
      </c>
      <c r="AN95" s="97">
        <f t="shared" si="78"/>
        <v>283868.72000000003</v>
      </c>
      <c r="AO95" s="97">
        <f t="shared" si="78"/>
        <v>-22184.47</v>
      </c>
      <c r="AP95" s="97">
        <f t="shared" si="78"/>
        <v>-235380.78999999998</v>
      </c>
      <c r="AQ95" s="97">
        <f t="shared" si="78"/>
        <v>667112.98</v>
      </c>
      <c r="AR95" s="97">
        <f t="shared" si="78"/>
        <v>655548.02</v>
      </c>
      <c r="AS95" s="97">
        <f t="shared" si="78"/>
        <v>126980.66</v>
      </c>
      <c r="AT95" s="97">
        <f t="shared" si="78"/>
        <v>29327.650000000023</v>
      </c>
      <c r="AU95" s="97">
        <f t="shared" si="78"/>
        <v>369532.62</v>
      </c>
      <c r="AV95" s="97">
        <f t="shared" si="78"/>
        <v>526283.24</v>
      </c>
      <c r="AW95" s="97">
        <f t="shared" si="78"/>
        <v>-190445.24</v>
      </c>
      <c r="AX95" s="97">
        <f t="shared" si="78"/>
        <v>-175180.19999999998</v>
      </c>
      <c r="AY95" s="97">
        <f t="shared" si="78"/>
        <v>-44881.119999999995</v>
      </c>
      <c r="AZ95" s="97">
        <f t="shared" si="78"/>
        <v>190327.15</v>
      </c>
      <c r="BA95" s="97">
        <f t="shared" si="78"/>
        <v>68822.109999999986</v>
      </c>
      <c r="BB95" s="97">
        <f t="shared" si="78"/>
        <v>-7896.6699999999983</v>
      </c>
      <c r="BC95" s="97">
        <f t="shared" si="78"/>
        <v>-656974.63</v>
      </c>
      <c r="BD95" s="97">
        <f t="shared" ref="BD95:BV95" si="79">BD74-BD81</f>
        <v>197133.22999999998</v>
      </c>
      <c r="BE95" s="97">
        <f t="shared" si="79"/>
        <v>200557.96000000002</v>
      </c>
      <c r="BF95" s="459">
        <f t="shared" si="79"/>
        <v>-674706.37000000011</v>
      </c>
      <c r="BG95" s="459">
        <f t="shared" si="79"/>
        <v>100234.8</v>
      </c>
      <c r="BH95" s="459">
        <f t="shared" si="79"/>
        <v>319607.5</v>
      </c>
      <c r="BI95" s="459">
        <f t="shared" si="79"/>
        <v>11804.68</v>
      </c>
      <c r="BJ95" s="459">
        <f t="shared" si="79"/>
        <v>37248.18</v>
      </c>
      <c r="BK95" s="459">
        <f t="shared" si="79"/>
        <v>82086.64</v>
      </c>
      <c r="BL95" s="459">
        <f t="shared" si="79"/>
        <v>84536.290000000008</v>
      </c>
      <c r="BM95" s="459">
        <f t="shared" si="79"/>
        <v>20077.7</v>
      </c>
      <c r="BN95" s="459">
        <f t="shared" si="79"/>
        <v>18066.18</v>
      </c>
      <c r="BO95" s="459">
        <f t="shared" si="79"/>
        <v>153375.54</v>
      </c>
      <c r="BP95" s="459">
        <f t="shared" si="79"/>
        <v>42544.28</v>
      </c>
      <c r="BQ95" s="459">
        <f t="shared" si="79"/>
        <v>62365.89</v>
      </c>
      <c r="BR95" s="459">
        <f t="shared" si="79"/>
        <v>10644.34</v>
      </c>
      <c r="BS95" s="459">
        <f t="shared" si="79"/>
        <v>53439.39</v>
      </c>
      <c r="BT95" s="459">
        <f t="shared" si="79"/>
        <v>68615.17</v>
      </c>
      <c r="BU95" s="459">
        <f t="shared" si="79"/>
        <v>84348.95</v>
      </c>
      <c r="BV95" s="459">
        <f t="shared" si="79"/>
        <v>24156.41</v>
      </c>
    </row>
    <row r="96" spans="1:74" x14ac:dyDescent="0.25">
      <c r="A96" s="4"/>
      <c r="B96" s="35" t="s">
        <v>38</v>
      </c>
      <c r="C96" s="97">
        <f t="shared" si="75"/>
        <v>-10419.950000000012</v>
      </c>
      <c r="D96" s="77">
        <f t="shared" si="75"/>
        <v>4181.8099999999977</v>
      </c>
      <c r="E96" s="77">
        <f t="shared" si="75"/>
        <v>-74425.389999999985</v>
      </c>
      <c r="F96" s="77">
        <f t="shared" si="75"/>
        <v>-113044.62000000001</v>
      </c>
      <c r="G96" s="77">
        <f t="shared" si="75"/>
        <v>-27684.25999999998</v>
      </c>
      <c r="H96" s="77">
        <f t="shared" si="75"/>
        <v>-7806.0100000000093</v>
      </c>
      <c r="I96" s="77">
        <f t="shared" si="75"/>
        <v>22200.309999999998</v>
      </c>
      <c r="J96" s="77">
        <f t="shared" si="75"/>
        <v>-74442.47</v>
      </c>
      <c r="K96" s="77">
        <f t="shared" si="75"/>
        <v>-102882.98000000001</v>
      </c>
      <c r="L96" s="98">
        <f t="shared" si="75"/>
        <v>-99450.12</v>
      </c>
      <c r="M96" s="97">
        <f t="shared" si="75"/>
        <v>-76526.290000000008</v>
      </c>
      <c r="N96" s="97">
        <f t="shared" si="75"/>
        <v>-53381.86</v>
      </c>
      <c r="O96" s="97">
        <f t="shared" si="75"/>
        <v>-16084.049999999996</v>
      </c>
      <c r="P96" s="97">
        <f t="shared" si="75"/>
        <v>-7045.6200000000026</v>
      </c>
      <c r="Q96" s="97">
        <f t="shared" si="75"/>
        <v>-22925.80999999999</v>
      </c>
      <c r="R96" s="97">
        <f t="shared" si="75"/>
        <v>-40133.600000000006</v>
      </c>
      <c r="S96" s="97">
        <f t="shared" si="76"/>
        <v>-38802.160000000003</v>
      </c>
      <c r="T96" s="97">
        <f t="shared" si="76"/>
        <v>3086.4700000000012</v>
      </c>
      <c r="U96" s="97">
        <f t="shared" si="76"/>
        <v>-23237.74</v>
      </c>
      <c r="V96" s="97">
        <f t="shared" si="76"/>
        <v>-9006.2699999999968</v>
      </c>
      <c r="W96" s="97">
        <f t="shared" si="76"/>
        <v>-51064.66</v>
      </c>
      <c r="X96" s="97">
        <f t="shared" si="76"/>
        <v>-5081.6499999999942</v>
      </c>
      <c r="Y96" s="97">
        <f t="shared" si="76"/>
        <v>-11218.960000000003</v>
      </c>
      <c r="Z96" s="97">
        <f t="shared" si="76"/>
        <v>-19356.82</v>
      </c>
      <c r="AA96" s="97">
        <f t="shared" ref="AA96:AG96" si="80">AA75-AA82</f>
        <v>-32338.429999999997</v>
      </c>
      <c r="AB96" s="97">
        <f t="shared" si="80"/>
        <v>-22548.650000000005</v>
      </c>
      <c r="AC96" s="97">
        <f t="shared" si="80"/>
        <v>10688.54</v>
      </c>
      <c r="AD96" s="97">
        <f t="shared" si="80"/>
        <v>41780.35</v>
      </c>
      <c r="AE96" s="97">
        <f t="shared" si="80"/>
        <v>2922.9599999999991</v>
      </c>
      <c r="AF96" s="97">
        <f t="shared" si="80"/>
        <v>-30734.16</v>
      </c>
      <c r="AG96" s="97">
        <f t="shared" si="80"/>
        <v>80754.34</v>
      </c>
      <c r="AH96" s="97">
        <f>AH75-AH82</f>
        <v>54753.37</v>
      </c>
      <c r="AI96" s="97">
        <f t="shared" ref="AI96:BC96" si="81">AI75-AI82</f>
        <v>63271.020000000004</v>
      </c>
      <c r="AJ96" s="97">
        <f t="shared" si="81"/>
        <v>-4092.4199999999983</v>
      </c>
      <c r="AK96" s="97">
        <f t="shared" si="81"/>
        <v>61442.37999999999</v>
      </c>
      <c r="AL96" s="97">
        <f t="shared" si="81"/>
        <v>64661.710000000006</v>
      </c>
      <c r="AM96" s="97">
        <f t="shared" si="81"/>
        <v>42182.290000000008</v>
      </c>
      <c r="AN96" s="97">
        <f t="shared" si="81"/>
        <v>-36069.699999999997</v>
      </c>
      <c r="AO96" s="97">
        <f t="shared" si="81"/>
        <v>-131916.24</v>
      </c>
      <c r="AP96" s="97">
        <f t="shared" si="81"/>
        <v>181222.41</v>
      </c>
      <c r="AQ96" s="97">
        <f t="shared" si="81"/>
        <v>81796.020000000019</v>
      </c>
      <c r="AR96" s="97">
        <f t="shared" si="81"/>
        <v>51420.869999999995</v>
      </c>
      <c r="AS96" s="97">
        <f t="shared" si="81"/>
        <v>-268964.32000000007</v>
      </c>
      <c r="AT96" s="97">
        <f t="shared" si="81"/>
        <v>-32703.179999999993</v>
      </c>
      <c r="AU96" s="97">
        <f t="shared" si="81"/>
        <v>39925.890000000014</v>
      </c>
      <c r="AV96" s="97">
        <f t="shared" si="81"/>
        <v>250416.71999999997</v>
      </c>
      <c r="AW96" s="97">
        <f t="shared" si="81"/>
        <v>-389360.86</v>
      </c>
      <c r="AX96" s="97">
        <f t="shared" si="81"/>
        <v>41904.559999999998</v>
      </c>
      <c r="AY96" s="97">
        <f t="shared" si="81"/>
        <v>-77860.52999999997</v>
      </c>
      <c r="AZ96" s="97">
        <f t="shared" si="81"/>
        <v>-73676.429999999964</v>
      </c>
      <c r="BA96" s="97">
        <f t="shared" si="81"/>
        <v>-192867.49999999997</v>
      </c>
      <c r="BB96" s="97">
        <f t="shared" si="81"/>
        <v>-215703.62000000002</v>
      </c>
      <c r="BC96" s="97">
        <f t="shared" si="81"/>
        <v>79485.570000000007</v>
      </c>
      <c r="BD96" s="97">
        <f t="shared" ref="BD96:BV96" si="82">BD75-BD82</f>
        <v>-43806.5</v>
      </c>
      <c r="BE96" s="97">
        <f t="shared" si="82"/>
        <v>-103212.65</v>
      </c>
      <c r="BF96" s="459">
        <f t="shared" si="82"/>
        <v>-322192.12</v>
      </c>
      <c r="BG96" s="459">
        <f t="shared" si="82"/>
        <v>186405.53999999998</v>
      </c>
      <c r="BH96" s="459">
        <f t="shared" si="82"/>
        <v>243961.49</v>
      </c>
      <c r="BI96" s="459">
        <f t="shared" si="82"/>
        <v>20405.650000000001</v>
      </c>
      <c r="BJ96" s="459">
        <f t="shared" si="82"/>
        <v>64357.93</v>
      </c>
      <c r="BK96" s="459">
        <f t="shared" si="82"/>
        <v>77357.180000000008</v>
      </c>
      <c r="BL96" s="459">
        <f t="shared" si="82"/>
        <v>66078.460000000006</v>
      </c>
      <c r="BM96" s="459">
        <f t="shared" si="82"/>
        <v>9048.68</v>
      </c>
      <c r="BN96" s="459">
        <f t="shared" si="82"/>
        <v>16853.36</v>
      </c>
      <c r="BO96" s="459">
        <f t="shared" si="82"/>
        <v>61482.8</v>
      </c>
      <c r="BP96" s="459">
        <f t="shared" si="82"/>
        <v>50314.91</v>
      </c>
      <c r="BQ96" s="459">
        <f t="shared" si="82"/>
        <v>44498.33</v>
      </c>
      <c r="BR96" s="459">
        <f t="shared" si="82"/>
        <v>13298.06</v>
      </c>
      <c r="BS96" s="459">
        <f t="shared" si="82"/>
        <v>41480.160000000003</v>
      </c>
      <c r="BT96" s="459">
        <f t="shared" si="82"/>
        <v>83093.17</v>
      </c>
      <c r="BU96" s="459">
        <f t="shared" si="82"/>
        <v>50350.89</v>
      </c>
      <c r="BV96" s="459">
        <f t="shared" si="82"/>
        <v>10747.75</v>
      </c>
    </row>
    <row r="97" spans="1:74" x14ac:dyDescent="0.25">
      <c r="A97" s="4"/>
      <c r="B97" s="35" t="s">
        <v>39</v>
      </c>
      <c r="C97" s="97">
        <f t="shared" si="75"/>
        <v>175993.46000000008</v>
      </c>
      <c r="D97" s="77">
        <f t="shared" si="75"/>
        <v>12008.380000000005</v>
      </c>
      <c r="E97" s="77">
        <f t="shared" si="75"/>
        <v>-188090.18999999997</v>
      </c>
      <c r="F97" s="77">
        <f t="shared" si="75"/>
        <v>-131845.35999999999</v>
      </c>
      <c r="G97" s="77">
        <f t="shared" si="75"/>
        <v>-89593.709999999992</v>
      </c>
      <c r="H97" s="77">
        <f t="shared" si="75"/>
        <v>48498.610000000015</v>
      </c>
      <c r="I97" s="77">
        <f t="shared" si="75"/>
        <v>100926.07</v>
      </c>
      <c r="J97" s="77">
        <f t="shared" si="75"/>
        <v>-71554.34</v>
      </c>
      <c r="K97" s="77">
        <f t="shared" si="75"/>
        <v>-142791.97</v>
      </c>
      <c r="L97" s="98">
        <f t="shared" si="75"/>
        <v>-92778.02</v>
      </c>
      <c r="M97" s="97">
        <f t="shared" si="75"/>
        <v>-114297.2</v>
      </c>
      <c r="N97" s="97">
        <f t="shared" si="75"/>
        <v>-77318.319999999992</v>
      </c>
      <c r="O97" s="97">
        <f t="shared" si="75"/>
        <v>-85310.28</v>
      </c>
      <c r="P97" s="97">
        <f t="shared" si="75"/>
        <v>-3995.3699999999953</v>
      </c>
      <c r="Q97" s="97">
        <f t="shared" si="75"/>
        <v>-13025.989999999991</v>
      </c>
      <c r="R97" s="97">
        <f t="shared" si="75"/>
        <v>-65983.510000000009</v>
      </c>
      <c r="S97" s="97">
        <f t="shared" si="76"/>
        <v>-54261.060000000005</v>
      </c>
      <c r="T97" s="97">
        <f t="shared" si="76"/>
        <v>3579.6700000000055</v>
      </c>
      <c r="U97" s="97">
        <f t="shared" si="76"/>
        <v>-29714.46</v>
      </c>
      <c r="V97" s="97">
        <f t="shared" si="76"/>
        <v>-2457.3000000000029</v>
      </c>
      <c r="W97" s="97">
        <f t="shared" si="76"/>
        <v>-69036.490000000005</v>
      </c>
      <c r="X97" s="97">
        <f t="shared" si="76"/>
        <v>-21057.62</v>
      </c>
      <c r="Y97" s="97">
        <f t="shared" si="76"/>
        <v>-6728.1100000000006</v>
      </c>
      <c r="Z97" s="97">
        <f t="shared" si="76"/>
        <v>-19951.150000000001</v>
      </c>
      <c r="AA97" s="97">
        <f t="shared" ref="AA97:AG97" si="83">AA76-AA83</f>
        <v>-46674.42</v>
      </c>
      <c r="AB97" s="97">
        <f t="shared" si="83"/>
        <v>-23934.07</v>
      </c>
      <c r="AC97" s="97">
        <f t="shared" si="83"/>
        <v>-2386.0099999999948</v>
      </c>
      <c r="AD97" s="97">
        <f t="shared" si="83"/>
        <v>25453.099999999991</v>
      </c>
      <c r="AE97" s="97">
        <f t="shared" si="83"/>
        <v>-17332.099999999999</v>
      </c>
      <c r="AF97" s="97">
        <f t="shared" si="83"/>
        <v>-36070.92</v>
      </c>
      <c r="AG97" s="97">
        <f t="shared" si="83"/>
        <v>108724.01000000001</v>
      </c>
      <c r="AH97" s="97">
        <f>AH76-AH83</f>
        <v>112260.42</v>
      </c>
      <c r="AI97" s="97">
        <f t="shared" ref="AI97:BC97" si="84">AI76-AI83</f>
        <v>-21423.479999999996</v>
      </c>
      <c r="AJ97" s="97">
        <f t="shared" si="84"/>
        <v>-48497.97</v>
      </c>
      <c r="AK97" s="97">
        <f t="shared" si="84"/>
        <v>33064.069999999978</v>
      </c>
      <c r="AL97" s="97">
        <f t="shared" si="84"/>
        <v>82733.45</v>
      </c>
      <c r="AM97" s="97">
        <f t="shared" si="84"/>
        <v>45598.339999999982</v>
      </c>
      <c r="AN97" s="97">
        <f t="shared" si="84"/>
        <v>-104969.15</v>
      </c>
      <c r="AO97" s="97">
        <f t="shared" si="84"/>
        <v>-180801.82</v>
      </c>
      <c r="AP97" s="97">
        <f t="shared" si="84"/>
        <v>130855.18000000002</v>
      </c>
      <c r="AQ97" s="97">
        <f t="shared" si="84"/>
        <v>100900.21000000002</v>
      </c>
      <c r="AR97" s="97">
        <f t="shared" si="84"/>
        <v>109820.20999999999</v>
      </c>
      <c r="AS97" s="97">
        <f t="shared" si="84"/>
        <v>-403204.69</v>
      </c>
      <c r="AT97" s="97">
        <f t="shared" si="84"/>
        <v>-198726.07999999996</v>
      </c>
      <c r="AU97" s="97">
        <f t="shared" si="84"/>
        <v>200182.35</v>
      </c>
      <c r="AV97" s="97">
        <f t="shared" si="84"/>
        <v>309179.20999999996</v>
      </c>
      <c r="AW97" s="97">
        <f t="shared" si="84"/>
        <v>-418974.18</v>
      </c>
      <c r="AX97" s="97">
        <f t="shared" si="84"/>
        <v>-135404.94000000006</v>
      </c>
      <c r="AY97" s="97">
        <f t="shared" si="84"/>
        <v>21919.670000000042</v>
      </c>
      <c r="AZ97" s="97">
        <f t="shared" si="84"/>
        <v>-137317.03999999998</v>
      </c>
      <c r="BA97" s="97">
        <f t="shared" si="84"/>
        <v>-330453.31000000006</v>
      </c>
      <c r="BB97" s="97">
        <f t="shared" si="84"/>
        <v>-72672.820000000007</v>
      </c>
      <c r="BC97" s="97">
        <f t="shared" si="84"/>
        <v>154134.90999999997</v>
      </c>
      <c r="BD97" s="97">
        <f t="shared" ref="BD97:BV97" si="85">BD76-BD83</f>
        <v>32123.180000000051</v>
      </c>
      <c r="BE97" s="97">
        <f t="shared" si="85"/>
        <v>-47095.810000000027</v>
      </c>
      <c r="BF97" s="459">
        <f t="shared" si="85"/>
        <v>-491116.35</v>
      </c>
      <c r="BG97" s="459">
        <f t="shared" si="85"/>
        <v>222972.71</v>
      </c>
      <c r="BH97" s="459">
        <f t="shared" si="85"/>
        <v>381438.43000000005</v>
      </c>
      <c r="BI97" s="459">
        <f t="shared" si="85"/>
        <v>27709.61</v>
      </c>
      <c r="BJ97" s="459">
        <f t="shared" si="85"/>
        <v>79950.399999999994</v>
      </c>
      <c r="BK97" s="459">
        <f t="shared" si="85"/>
        <v>128293.42000000001</v>
      </c>
      <c r="BL97" s="459">
        <f t="shared" si="85"/>
        <v>86203.29</v>
      </c>
      <c r="BM97" s="459">
        <f t="shared" si="85"/>
        <v>23918.080000000002</v>
      </c>
      <c r="BN97" s="459">
        <f t="shared" si="85"/>
        <v>23926.030000000002</v>
      </c>
      <c r="BO97" s="459">
        <f t="shared" si="85"/>
        <v>55700.22</v>
      </c>
      <c r="BP97" s="459">
        <f t="shared" si="85"/>
        <v>75975.759999999995</v>
      </c>
      <c r="BQ97" s="459">
        <f t="shared" si="85"/>
        <v>52671.59</v>
      </c>
      <c r="BR97" s="459">
        <f t="shared" si="85"/>
        <v>9305.8799999999992</v>
      </c>
      <c r="BS97" s="459">
        <f t="shared" si="85"/>
        <v>44497.4</v>
      </c>
      <c r="BT97" s="459">
        <f t="shared" si="85"/>
        <v>86972.27</v>
      </c>
      <c r="BU97" s="459">
        <f t="shared" si="85"/>
        <v>57444.2</v>
      </c>
      <c r="BV97" s="459">
        <f t="shared" si="85"/>
        <v>31691.54</v>
      </c>
    </row>
    <row r="98" spans="1:74" x14ac:dyDescent="0.25">
      <c r="A98" s="4"/>
      <c r="B98" s="35" t="s">
        <v>40</v>
      </c>
      <c r="C98" s="97">
        <f t="shared" si="75"/>
        <v>38985.170000000013</v>
      </c>
      <c r="D98" s="77">
        <f t="shared" si="75"/>
        <v>-40883.179999999993</v>
      </c>
      <c r="E98" s="77">
        <f t="shared" si="75"/>
        <v>42416.399999999994</v>
      </c>
      <c r="F98" s="77">
        <f t="shared" si="75"/>
        <v>24993.89</v>
      </c>
      <c r="G98" s="77">
        <f t="shared" si="75"/>
        <v>-100916.59</v>
      </c>
      <c r="H98" s="77">
        <f t="shared" si="75"/>
        <v>-49488.900000000009</v>
      </c>
      <c r="I98" s="77">
        <f t="shared" si="75"/>
        <v>-48689.15</v>
      </c>
      <c r="J98" s="77">
        <f t="shared" si="75"/>
        <v>99586.38</v>
      </c>
      <c r="K98" s="77">
        <f t="shared" si="75"/>
        <v>-3861.2200000000012</v>
      </c>
      <c r="L98" s="98">
        <f t="shared" si="75"/>
        <v>-86953.05</v>
      </c>
      <c r="M98" s="97">
        <f t="shared" si="75"/>
        <v>-64373.919999999998</v>
      </c>
      <c r="N98" s="97">
        <f t="shared" si="75"/>
        <v>-224489.71</v>
      </c>
      <c r="O98" s="97">
        <f t="shared" si="75"/>
        <v>14235.309999999998</v>
      </c>
      <c r="P98" s="97">
        <f t="shared" si="75"/>
        <v>-133738.01999999999</v>
      </c>
      <c r="Q98" s="97">
        <f t="shared" si="75"/>
        <v>33217.269999999997</v>
      </c>
      <c r="R98" s="97">
        <f t="shared" si="75"/>
        <v>-86646.34</v>
      </c>
      <c r="S98" s="97">
        <f t="shared" si="76"/>
        <v>48154.579999999994</v>
      </c>
      <c r="T98" s="97">
        <f t="shared" si="76"/>
        <v>-78147.510000000009</v>
      </c>
      <c r="U98" s="97">
        <f t="shared" si="76"/>
        <v>-123177.62999999999</v>
      </c>
      <c r="V98" s="97">
        <f t="shared" si="76"/>
        <v>4445.4799999999996</v>
      </c>
      <c r="W98" s="97">
        <f t="shared" si="76"/>
        <v>-52178.17</v>
      </c>
      <c r="X98" s="97">
        <f t="shared" si="76"/>
        <v>-37984.620000000003</v>
      </c>
      <c r="Y98" s="97">
        <f t="shared" si="76"/>
        <v>-12864.580000000002</v>
      </c>
      <c r="Z98" s="97">
        <f t="shared" si="76"/>
        <v>-50954.130000000005</v>
      </c>
      <c r="AA98" s="97">
        <f t="shared" ref="AA98:AG98" si="86">AA77-AA84</f>
        <v>-88919.69</v>
      </c>
      <c r="AB98" s="97">
        <f t="shared" si="86"/>
        <v>67618.150000000009</v>
      </c>
      <c r="AC98" s="97">
        <f t="shared" si="86"/>
        <v>5685.7999999999993</v>
      </c>
      <c r="AD98" s="97">
        <f t="shared" si="86"/>
        <v>-49488.79</v>
      </c>
      <c r="AE98" s="97">
        <f t="shared" si="86"/>
        <v>-200587.53</v>
      </c>
      <c r="AF98" s="97">
        <f t="shared" si="86"/>
        <v>79545.73000000001</v>
      </c>
      <c r="AG98" s="97">
        <f t="shared" si="86"/>
        <v>27487.809999999998</v>
      </c>
      <c r="AH98" s="97">
        <f>AH77-AH84</f>
        <v>-123822.68</v>
      </c>
      <c r="AI98" s="97">
        <f t="shared" ref="AI98:BC98" si="87">AI77-AI84</f>
        <v>11945.990000000002</v>
      </c>
      <c r="AJ98" s="97">
        <f t="shared" si="87"/>
        <v>62124.950000000012</v>
      </c>
      <c r="AK98" s="97">
        <f t="shared" si="87"/>
        <v>62479.06</v>
      </c>
      <c r="AL98" s="97">
        <f t="shared" si="87"/>
        <v>-203167.92</v>
      </c>
      <c r="AM98" s="97">
        <f t="shared" si="87"/>
        <v>-12782.449999999997</v>
      </c>
      <c r="AN98" s="97">
        <f t="shared" si="87"/>
        <v>-136225.78999999998</v>
      </c>
      <c r="AO98" s="97">
        <f t="shared" si="87"/>
        <v>41245.270000000004</v>
      </c>
      <c r="AP98" s="97">
        <f t="shared" si="87"/>
        <v>-66318.52</v>
      </c>
      <c r="AQ98" s="97">
        <f t="shared" si="87"/>
        <v>53634.94</v>
      </c>
      <c r="AR98" s="97">
        <f t="shared" si="87"/>
        <v>-27006.520000000004</v>
      </c>
      <c r="AS98" s="97">
        <f t="shared" si="87"/>
        <v>27856.559999999998</v>
      </c>
      <c r="AT98" s="97">
        <f t="shared" si="87"/>
        <v>-142881.68</v>
      </c>
      <c r="AU98" s="97">
        <f t="shared" si="87"/>
        <v>16017.210000000006</v>
      </c>
      <c r="AV98" s="97">
        <f t="shared" si="87"/>
        <v>38907.25</v>
      </c>
      <c r="AW98" s="97">
        <f t="shared" si="87"/>
        <v>-139502.61000000004</v>
      </c>
      <c r="AX98" s="97">
        <f t="shared" si="87"/>
        <v>-132556.06</v>
      </c>
      <c r="AY98" s="97">
        <f t="shared" si="87"/>
        <v>-180247.28000000003</v>
      </c>
      <c r="AZ98" s="97">
        <f t="shared" si="87"/>
        <v>-104114.39000000001</v>
      </c>
      <c r="BA98" s="97">
        <f t="shared" si="87"/>
        <v>-213981.49</v>
      </c>
      <c r="BB98" s="97">
        <f t="shared" si="87"/>
        <v>179692.84000000003</v>
      </c>
      <c r="BC98" s="97">
        <f t="shared" si="87"/>
        <v>-16676.619999999995</v>
      </c>
      <c r="BD98" s="97">
        <f t="shared" ref="BD98:BV98" si="88">BD77-BD84</f>
        <v>-64753.78</v>
      </c>
      <c r="BE98" s="97">
        <f t="shared" si="88"/>
        <v>-308615.08</v>
      </c>
      <c r="BF98" s="460">
        <f t="shared" si="88"/>
        <v>-35749.22</v>
      </c>
      <c r="BG98" s="460">
        <f t="shared" si="88"/>
        <v>44936.13</v>
      </c>
      <c r="BH98" s="460">
        <f t="shared" si="88"/>
        <v>42440.65</v>
      </c>
      <c r="BI98" s="460">
        <f t="shared" si="88"/>
        <v>216326.72</v>
      </c>
      <c r="BJ98" s="460">
        <f t="shared" si="88"/>
        <v>30903.91</v>
      </c>
      <c r="BK98" s="460">
        <f t="shared" si="88"/>
        <v>23616.440000000002</v>
      </c>
      <c r="BL98" s="460">
        <f t="shared" si="88"/>
        <v>21841.439999999999</v>
      </c>
      <c r="BM98" s="460">
        <f t="shared" si="88"/>
        <v>0</v>
      </c>
      <c r="BN98" s="460">
        <f t="shared" si="88"/>
        <v>138603.74000000002</v>
      </c>
      <c r="BO98" s="460">
        <f t="shared" si="88"/>
        <v>25634.44</v>
      </c>
      <c r="BP98" s="460">
        <f t="shared" si="88"/>
        <v>16613.38</v>
      </c>
      <c r="BQ98" s="460">
        <f t="shared" si="88"/>
        <v>7558.18</v>
      </c>
      <c r="BR98" s="460">
        <f t="shared" si="88"/>
        <v>182389.05</v>
      </c>
      <c r="BS98" s="460">
        <f t="shared" si="88"/>
        <v>19811.849999999999</v>
      </c>
      <c r="BT98" s="460">
        <f t="shared" si="88"/>
        <v>17996.02</v>
      </c>
      <c r="BU98" s="460">
        <f t="shared" si="88"/>
        <v>5841.35</v>
      </c>
      <c r="BV98" s="460">
        <f t="shared" si="88"/>
        <v>0</v>
      </c>
    </row>
    <row r="99" spans="1:74" ht="15.75" thickBot="1" x14ac:dyDescent="0.3">
      <c r="A99" s="4"/>
      <c r="B99" s="37" t="s">
        <v>41</v>
      </c>
      <c r="C99" s="100">
        <f>SUM(C94:C98)</f>
        <v>1307909.8300000005</v>
      </c>
      <c r="D99" s="81">
        <f>SUM(D94:D98)</f>
        <v>-741107.91000000015</v>
      </c>
      <c r="E99" s="81">
        <f t="shared" ref="E99:Y99" si="89">SUM(E94:E98)</f>
        <v>-100735.01999999996</v>
      </c>
      <c r="F99" s="81">
        <f t="shared" si="89"/>
        <v>-352810.38000000006</v>
      </c>
      <c r="G99" s="81">
        <f t="shared" si="89"/>
        <v>-722033.5</v>
      </c>
      <c r="H99" s="81">
        <f t="shared" si="89"/>
        <v>258451.82999999996</v>
      </c>
      <c r="I99" s="81">
        <f t="shared" si="89"/>
        <v>175616.74000000008</v>
      </c>
      <c r="J99" s="81">
        <f t="shared" si="89"/>
        <v>-254751.46999999997</v>
      </c>
      <c r="K99" s="81">
        <f t="shared" si="89"/>
        <v>-806368.10999999987</v>
      </c>
      <c r="L99" s="160">
        <f t="shared" si="89"/>
        <v>-891193.82</v>
      </c>
      <c r="M99" s="81">
        <f t="shared" si="89"/>
        <v>-634747.12</v>
      </c>
      <c r="N99" s="200">
        <f t="shared" si="89"/>
        <v>-693193.04999999993</v>
      </c>
      <c r="O99" s="81">
        <f t="shared" si="89"/>
        <v>-220283.55</v>
      </c>
      <c r="P99" s="81">
        <f t="shared" si="89"/>
        <v>-276931.0199999999</v>
      </c>
      <c r="Q99" s="81">
        <f t="shared" si="89"/>
        <v>-195342.48000000004</v>
      </c>
      <c r="R99" s="81">
        <f t="shared" si="89"/>
        <v>-340347.80000000005</v>
      </c>
      <c r="S99" s="81">
        <f t="shared" si="89"/>
        <v>-317185.37</v>
      </c>
      <c r="T99" s="81">
        <f t="shared" si="89"/>
        <v>-47304.129999999976</v>
      </c>
      <c r="U99" s="80">
        <f t="shared" si="89"/>
        <v>-264002.57999999996</v>
      </c>
      <c r="V99" s="80">
        <f t="shared" si="89"/>
        <v>105956.82999999999</v>
      </c>
      <c r="W99" s="80">
        <f t="shared" si="89"/>
        <v>-339581.04</v>
      </c>
      <c r="X99" s="80">
        <f t="shared" si="89"/>
        <v>171201.98000000004</v>
      </c>
      <c r="Y99" s="80">
        <f t="shared" si="89"/>
        <v>-66166.030000000013</v>
      </c>
      <c r="Z99" s="80">
        <f t="shared" ref="Z99:AG99" si="90">SUM(Z94:Z98)</f>
        <v>-79718.760000000038</v>
      </c>
      <c r="AA99" s="296">
        <f t="shared" si="90"/>
        <v>-286095.04000000004</v>
      </c>
      <c r="AB99" s="263">
        <f t="shared" si="90"/>
        <v>-48467.029999999984</v>
      </c>
      <c r="AC99" s="263">
        <f t="shared" si="90"/>
        <v>109267.35999999999</v>
      </c>
      <c r="AD99" s="263">
        <f t="shared" si="90"/>
        <v>357254.23000000004</v>
      </c>
      <c r="AE99" s="263">
        <f t="shared" si="90"/>
        <v>-115134.54999999999</v>
      </c>
      <c r="AF99" s="263">
        <f t="shared" si="90"/>
        <v>-180620.12000000002</v>
      </c>
      <c r="AG99" s="263">
        <f t="shared" si="90"/>
        <v>647028.13000000012</v>
      </c>
      <c r="AH99" s="263">
        <f t="shared" ref="AH99:BC99" si="91">SUM(AH94:AH98)</f>
        <v>330383.25</v>
      </c>
      <c r="AI99" s="263">
        <f t="shared" si="91"/>
        <v>808774.53</v>
      </c>
      <c r="AJ99" s="263">
        <f t="shared" si="91"/>
        <v>207748.52000000005</v>
      </c>
      <c r="AK99" s="263">
        <f t="shared" si="91"/>
        <v>1102925.8399999999</v>
      </c>
      <c r="AL99" s="263">
        <f t="shared" si="91"/>
        <v>778241.15999999992</v>
      </c>
      <c r="AM99" s="263">
        <f t="shared" si="91"/>
        <v>1194390.2000000002</v>
      </c>
      <c r="AN99" s="263">
        <f t="shared" si="91"/>
        <v>114905.09000000005</v>
      </c>
      <c r="AO99" s="263">
        <f t="shared" si="91"/>
        <v>46474.510000000053</v>
      </c>
      <c r="AP99" s="263">
        <f t="shared" si="91"/>
        <v>1640670.4899999998</v>
      </c>
      <c r="AQ99" s="263">
        <f t="shared" si="91"/>
        <v>2403500.1599999997</v>
      </c>
      <c r="AR99" s="263">
        <f t="shared" si="91"/>
        <v>1759851.25</v>
      </c>
      <c r="AS99" s="263">
        <f t="shared" si="91"/>
        <v>-579524.85000000009</v>
      </c>
      <c r="AT99" s="263">
        <f t="shared" si="91"/>
        <v>706926.83000000007</v>
      </c>
      <c r="AU99" s="263">
        <f t="shared" si="91"/>
        <v>1641627.98</v>
      </c>
      <c r="AV99" s="263">
        <f t="shared" si="91"/>
        <v>2329657.34</v>
      </c>
      <c r="AW99" s="263">
        <f t="shared" si="91"/>
        <v>-2014125.3599999999</v>
      </c>
      <c r="AX99" s="263">
        <f t="shared" si="91"/>
        <v>-227563.22999999989</v>
      </c>
      <c r="AY99" s="263">
        <f t="shared" si="91"/>
        <v>-499716.75999999995</v>
      </c>
      <c r="AZ99" s="263">
        <f t="shared" si="91"/>
        <v>-360947.49</v>
      </c>
      <c r="BA99" s="263">
        <f t="shared" si="91"/>
        <v>-1332132.51</v>
      </c>
      <c r="BB99" s="263">
        <f t="shared" si="91"/>
        <v>-46775.590000000084</v>
      </c>
      <c r="BC99" s="263">
        <f t="shared" si="91"/>
        <v>88275.939999999944</v>
      </c>
      <c r="BD99" s="263">
        <f t="shared" ref="BD99:BV99" si="92">SUM(BD94:BD98)</f>
        <v>-80100.479999999952</v>
      </c>
      <c r="BE99" s="263">
        <f t="shared" si="92"/>
        <v>-522527.55</v>
      </c>
      <c r="BF99" s="263">
        <f t="shared" si="92"/>
        <v>-2964309.0200000005</v>
      </c>
      <c r="BG99" s="263">
        <f t="shared" si="92"/>
        <v>1074372.74</v>
      </c>
      <c r="BH99" s="263">
        <f t="shared" si="92"/>
        <v>305565.99</v>
      </c>
      <c r="BI99" s="263">
        <f t="shared" si="92"/>
        <v>-804891.66000000027</v>
      </c>
      <c r="BJ99" s="263">
        <f t="shared" si="92"/>
        <v>-1211106.8600000001</v>
      </c>
      <c r="BK99" s="263">
        <f t="shared" si="92"/>
        <v>-336712.81</v>
      </c>
      <c r="BL99" s="263">
        <f t="shared" si="92"/>
        <v>-296311.26999999996</v>
      </c>
      <c r="BM99" s="263">
        <f t="shared" si="92"/>
        <v>-715493.31</v>
      </c>
      <c r="BN99" s="263">
        <f t="shared" si="92"/>
        <v>-330409.96999999997</v>
      </c>
      <c r="BO99" s="263">
        <f t="shared" si="92"/>
        <v>437534.85000000003</v>
      </c>
      <c r="BP99" s="263">
        <f t="shared" si="92"/>
        <v>-191690.40999999992</v>
      </c>
      <c r="BQ99" s="263">
        <f t="shared" si="92"/>
        <v>-161942.04</v>
      </c>
      <c r="BR99" s="263">
        <f t="shared" si="92"/>
        <v>-742423.33999999985</v>
      </c>
      <c r="BS99" s="263">
        <f t="shared" si="92"/>
        <v>-242595.38999999998</v>
      </c>
      <c r="BT99" s="263">
        <f t="shared" si="92"/>
        <v>36000.279999999955</v>
      </c>
      <c r="BU99" s="263">
        <f t="shared" si="92"/>
        <v>-77554.069999999992</v>
      </c>
      <c r="BV99" s="263">
        <f t="shared" si="92"/>
        <v>-398001.64</v>
      </c>
    </row>
    <row r="100" spans="1:74"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454"/>
      <c r="BF100" s="454"/>
      <c r="BG100" s="454"/>
      <c r="BH100" s="454"/>
      <c r="BI100" s="454"/>
      <c r="BJ100" s="454"/>
      <c r="BK100" s="454"/>
      <c r="BL100" s="454"/>
      <c r="BM100" s="454"/>
      <c r="BN100" s="454"/>
      <c r="BO100" s="454"/>
      <c r="BP100" s="454"/>
      <c r="BQ100" s="454"/>
      <c r="BR100" s="454"/>
      <c r="BS100" s="454"/>
      <c r="BT100" s="454"/>
      <c r="BU100" s="454"/>
      <c r="BV100" s="454"/>
    </row>
    <row r="101" spans="1:74"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c r="AP101" s="224">
        <v>36</v>
      </c>
      <c r="AQ101" s="224">
        <v>23</v>
      </c>
      <c r="AR101" s="224">
        <v>31</v>
      </c>
      <c r="AS101" s="224">
        <v>36</v>
      </c>
      <c r="AT101" s="224">
        <v>41</v>
      </c>
      <c r="AU101" s="224">
        <v>39</v>
      </c>
      <c r="AV101" s="224">
        <v>41</v>
      </c>
      <c r="AW101" s="224">
        <v>42</v>
      </c>
      <c r="AX101" s="224">
        <v>43</v>
      </c>
      <c r="AY101" s="224">
        <v>42</v>
      </c>
      <c r="AZ101" s="224">
        <v>40</v>
      </c>
      <c r="BA101" s="224">
        <v>40</v>
      </c>
      <c r="BB101" s="224">
        <v>38</v>
      </c>
      <c r="BC101" s="224">
        <v>30</v>
      </c>
      <c r="BD101" s="224">
        <v>28</v>
      </c>
      <c r="BE101" s="458">
        <v>27</v>
      </c>
      <c r="BF101" s="458">
        <v>30</v>
      </c>
      <c r="BG101" s="458"/>
      <c r="BH101" s="458"/>
      <c r="BI101" s="458">
        <v>0</v>
      </c>
      <c r="BJ101" s="458">
        <v>0</v>
      </c>
      <c r="BK101" s="458">
        <v>0</v>
      </c>
      <c r="BL101" s="458">
        <v>0</v>
      </c>
      <c r="BM101" s="458">
        <v>0</v>
      </c>
      <c r="BN101" s="458">
        <v>0</v>
      </c>
      <c r="BO101" s="458">
        <v>0</v>
      </c>
      <c r="BP101" s="458">
        <v>0</v>
      </c>
      <c r="BQ101" s="458">
        <v>0</v>
      </c>
      <c r="BR101" s="458">
        <v>0</v>
      </c>
      <c r="BS101" s="458">
        <v>0</v>
      </c>
      <c r="BT101" s="458">
        <v>0</v>
      </c>
      <c r="BU101" s="458">
        <v>0</v>
      </c>
      <c r="BV101" s="458">
        <v>0</v>
      </c>
    </row>
    <row r="102" spans="1:74"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c r="AP102" s="224">
        <v>492</v>
      </c>
      <c r="AQ102" s="224">
        <v>402</v>
      </c>
      <c r="AR102" s="224">
        <v>365</v>
      </c>
      <c r="AS102" s="224">
        <v>426</v>
      </c>
      <c r="AT102" s="224">
        <v>458</v>
      </c>
      <c r="AU102" s="224">
        <v>465</v>
      </c>
      <c r="AV102" s="224">
        <v>483</v>
      </c>
      <c r="AW102" s="224">
        <v>484</v>
      </c>
      <c r="AX102" s="224">
        <v>486</v>
      </c>
      <c r="AY102" s="224">
        <v>473</v>
      </c>
      <c r="AZ102" s="224">
        <v>449</v>
      </c>
      <c r="BA102" s="224">
        <v>438</v>
      </c>
      <c r="BB102" s="224">
        <v>433</v>
      </c>
      <c r="BC102" s="224">
        <v>410</v>
      </c>
      <c r="BD102" s="224">
        <v>389</v>
      </c>
      <c r="BE102" s="458">
        <v>357</v>
      </c>
      <c r="BF102" s="458">
        <v>362</v>
      </c>
      <c r="BG102" s="458"/>
      <c r="BH102" s="458">
        <v>179</v>
      </c>
      <c r="BI102" s="458">
        <v>186</v>
      </c>
      <c r="BJ102" s="458">
        <v>187</v>
      </c>
      <c r="BK102" s="458">
        <v>192</v>
      </c>
      <c r="BL102" s="458">
        <v>172</v>
      </c>
      <c r="BM102" s="458">
        <v>1014</v>
      </c>
      <c r="BN102" s="458">
        <v>1010</v>
      </c>
      <c r="BO102" s="458">
        <v>1012</v>
      </c>
      <c r="BP102" s="458">
        <v>1014</v>
      </c>
      <c r="BQ102" s="458">
        <v>1012</v>
      </c>
      <c r="BR102" s="458">
        <v>1190</v>
      </c>
      <c r="BS102" s="458">
        <v>1425</v>
      </c>
      <c r="BT102" s="458">
        <v>1422</v>
      </c>
      <c r="BU102" s="458">
        <v>1358</v>
      </c>
      <c r="BV102" s="458">
        <v>1281</v>
      </c>
    </row>
    <row r="103" spans="1:74"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c r="AP103" s="224">
        <v>0</v>
      </c>
      <c r="AQ103" s="224">
        <v>0</v>
      </c>
      <c r="AR103" s="224">
        <v>0</v>
      </c>
      <c r="AS103" s="224">
        <v>0</v>
      </c>
      <c r="AT103" s="224">
        <v>0</v>
      </c>
      <c r="AU103" s="224">
        <v>0</v>
      </c>
      <c r="AV103" s="224">
        <v>0</v>
      </c>
      <c r="AW103" s="224">
        <v>0</v>
      </c>
      <c r="AX103" s="224">
        <v>0</v>
      </c>
      <c r="AY103" s="224">
        <v>0</v>
      </c>
      <c r="AZ103" s="224">
        <v>0</v>
      </c>
      <c r="BA103" s="224">
        <v>0</v>
      </c>
      <c r="BB103" s="224">
        <v>0</v>
      </c>
      <c r="BC103" s="224">
        <v>0</v>
      </c>
      <c r="BD103" s="224">
        <v>0</v>
      </c>
      <c r="BE103" s="458">
        <v>0</v>
      </c>
      <c r="BF103" s="458">
        <v>0</v>
      </c>
      <c r="BG103" s="458"/>
      <c r="BH103" s="458">
        <v>0</v>
      </c>
      <c r="BI103" s="458">
        <v>0</v>
      </c>
      <c r="BJ103" s="458">
        <v>0</v>
      </c>
      <c r="BK103" s="458">
        <v>0</v>
      </c>
      <c r="BL103" s="458">
        <v>0</v>
      </c>
      <c r="BM103" s="458">
        <v>0</v>
      </c>
      <c r="BN103" s="458">
        <v>0</v>
      </c>
      <c r="BO103" s="458">
        <v>0</v>
      </c>
      <c r="BP103" s="458">
        <v>0</v>
      </c>
      <c r="BQ103" s="458">
        <v>0</v>
      </c>
      <c r="BR103" s="458">
        <v>0</v>
      </c>
      <c r="BS103" s="458">
        <v>0</v>
      </c>
      <c r="BT103" s="458">
        <v>0</v>
      </c>
      <c r="BU103" s="458">
        <v>0</v>
      </c>
      <c r="BV103" s="458">
        <v>0</v>
      </c>
    </row>
    <row r="104" spans="1:74"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c r="AP104" s="224">
        <v>0</v>
      </c>
      <c r="AQ104" s="224">
        <v>0</v>
      </c>
      <c r="AR104" s="224">
        <v>0</v>
      </c>
      <c r="AS104" s="224">
        <v>0</v>
      </c>
      <c r="AT104" s="224">
        <v>0</v>
      </c>
      <c r="AU104" s="224">
        <v>0</v>
      </c>
      <c r="AV104" s="224">
        <v>0</v>
      </c>
      <c r="AW104" s="224">
        <v>0</v>
      </c>
      <c r="AX104" s="224">
        <v>0</v>
      </c>
      <c r="AY104" s="224">
        <v>0</v>
      </c>
      <c r="AZ104" s="224">
        <v>0</v>
      </c>
      <c r="BA104" s="224">
        <v>0</v>
      </c>
      <c r="BB104" s="224">
        <v>0</v>
      </c>
      <c r="BC104" s="224">
        <v>0</v>
      </c>
      <c r="BD104" s="224">
        <v>0</v>
      </c>
      <c r="BE104" s="458">
        <v>0</v>
      </c>
      <c r="BF104" s="458">
        <v>0</v>
      </c>
      <c r="BG104" s="458"/>
      <c r="BH104" s="458">
        <v>0</v>
      </c>
      <c r="BI104" s="458">
        <v>0</v>
      </c>
      <c r="BJ104" s="458">
        <v>0</v>
      </c>
      <c r="BK104" s="458">
        <v>0</v>
      </c>
      <c r="BL104" s="458">
        <v>0</v>
      </c>
      <c r="BM104" s="458">
        <v>0</v>
      </c>
      <c r="BN104" s="458">
        <v>0</v>
      </c>
      <c r="BO104" s="458">
        <v>0</v>
      </c>
      <c r="BP104" s="458">
        <v>0</v>
      </c>
      <c r="BQ104" s="458">
        <v>0</v>
      </c>
      <c r="BR104" s="458">
        <v>0</v>
      </c>
      <c r="BS104" s="458">
        <v>0</v>
      </c>
      <c r="BT104" s="458">
        <v>0</v>
      </c>
      <c r="BU104" s="458">
        <v>0</v>
      </c>
      <c r="BV104" s="458">
        <v>0</v>
      </c>
    </row>
    <row r="105" spans="1:74"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c r="AP105" s="224">
        <v>0</v>
      </c>
      <c r="AQ105" s="224">
        <v>0</v>
      </c>
      <c r="AR105" s="224">
        <v>0</v>
      </c>
      <c r="AS105" s="224">
        <v>0</v>
      </c>
      <c r="AT105" s="224">
        <v>0</v>
      </c>
      <c r="AU105" s="224">
        <v>0</v>
      </c>
      <c r="AV105" s="224">
        <v>0</v>
      </c>
      <c r="AW105" s="224">
        <v>0</v>
      </c>
      <c r="AX105" s="224">
        <v>0</v>
      </c>
      <c r="AY105" s="224">
        <v>0</v>
      </c>
      <c r="AZ105" s="224">
        <v>0</v>
      </c>
      <c r="BA105" s="224">
        <v>0</v>
      </c>
      <c r="BB105" s="224">
        <v>0</v>
      </c>
      <c r="BC105" s="224">
        <v>0</v>
      </c>
      <c r="BD105" s="224">
        <v>0</v>
      </c>
      <c r="BE105" s="458">
        <v>0</v>
      </c>
      <c r="BF105" s="458">
        <v>0</v>
      </c>
      <c r="BG105" s="458"/>
      <c r="BH105" s="458">
        <v>0</v>
      </c>
      <c r="BI105" s="458">
        <v>0</v>
      </c>
      <c r="BJ105" s="458">
        <v>0</v>
      </c>
      <c r="BK105" s="458">
        <v>0</v>
      </c>
      <c r="BL105" s="458">
        <v>0</v>
      </c>
      <c r="BM105" s="458">
        <v>0</v>
      </c>
      <c r="BN105" s="458">
        <v>0</v>
      </c>
      <c r="BO105" s="458">
        <v>0</v>
      </c>
      <c r="BP105" s="458">
        <v>0</v>
      </c>
      <c r="BQ105" s="458">
        <v>0</v>
      </c>
      <c r="BR105" s="458">
        <v>0</v>
      </c>
      <c r="BS105" s="458">
        <v>0</v>
      </c>
      <c r="BT105" s="458">
        <v>0</v>
      </c>
      <c r="BU105" s="458">
        <v>0</v>
      </c>
      <c r="BV105" s="458">
        <v>0</v>
      </c>
    </row>
    <row r="106" spans="1:74" x14ac:dyDescent="0.25">
      <c r="A106" s="4"/>
      <c r="B106" s="35" t="s">
        <v>41</v>
      </c>
      <c r="C106" s="131">
        <f>SUM(C101:C105)</f>
        <v>57</v>
      </c>
      <c r="D106" s="58">
        <f>SUM(D101:D105)</f>
        <v>64</v>
      </c>
      <c r="E106" s="58">
        <f t="shared" ref="E106:AG106" si="93">SUM(E101:E105)</f>
        <v>78</v>
      </c>
      <c r="F106" s="58">
        <f t="shared" si="93"/>
        <v>85</v>
      </c>
      <c r="G106" s="58">
        <f t="shared" si="93"/>
        <v>92</v>
      </c>
      <c r="H106" s="58">
        <f t="shared" si="93"/>
        <v>89</v>
      </c>
      <c r="I106" s="58">
        <f t="shared" si="93"/>
        <v>88</v>
      </c>
      <c r="J106" s="58">
        <f t="shared" si="93"/>
        <v>90</v>
      </c>
      <c r="K106" s="58">
        <f t="shared" si="93"/>
        <v>181</v>
      </c>
      <c r="L106" s="130">
        <f t="shared" si="93"/>
        <v>348</v>
      </c>
      <c r="M106" s="58">
        <f t="shared" si="93"/>
        <v>575</v>
      </c>
      <c r="N106" s="58">
        <f t="shared" si="93"/>
        <v>815</v>
      </c>
      <c r="O106" s="58">
        <f t="shared" si="93"/>
        <v>964</v>
      </c>
      <c r="P106" s="58">
        <f t="shared" si="93"/>
        <v>963</v>
      </c>
      <c r="Q106" s="58">
        <f t="shared" si="93"/>
        <v>955</v>
      </c>
      <c r="R106" s="58">
        <f t="shared" si="93"/>
        <v>1213</v>
      </c>
      <c r="S106" s="58">
        <f t="shared" si="93"/>
        <v>1269</v>
      </c>
      <c r="T106" s="58">
        <f t="shared" si="93"/>
        <v>1257</v>
      </c>
      <c r="U106" s="70">
        <f t="shared" si="93"/>
        <v>1204</v>
      </c>
      <c r="V106" s="70">
        <f t="shared" si="93"/>
        <v>1113</v>
      </c>
      <c r="W106" s="70">
        <f t="shared" si="93"/>
        <v>1066</v>
      </c>
      <c r="X106" s="70">
        <f t="shared" si="93"/>
        <v>970</v>
      </c>
      <c r="Y106" s="70">
        <f t="shared" si="93"/>
        <v>894</v>
      </c>
      <c r="Z106" s="70">
        <f t="shared" si="93"/>
        <v>801</v>
      </c>
      <c r="AA106" s="70">
        <f t="shared" si="93"/>
        <v>697</v>
      </c>
      <c r="AB106" s="242">
        <f t="shared" si="93"/>
        <v>669</v>
      </c>
      <c r="AC106" s="242">
        <f t="shared" si="93"/>
        <v>582</v>
      </c>
      <c r="AD106" s="242">
        <f t="shared" si="93"/>
        <v>680</v>
      </c>
      <c r="AE106" s="242">
        <f t="shared" si="93"/>
        <v>762</v>
      </c>
      <c r="AF106" s="242">
        <f t="shared" si="93"/>
        <v>808</v>
      </c>
      <c r="AG106" s="242">
        <f t="shared" si="93"/>
        <v>781</v>
      </c>
      <c r="AH106" s="242">
        <f t="shared" ref="AH106:BC106" si="94">SUM(AH101:AH105)</f>
        <v>773</v>
      </c>
      <c r="AI106" s="242">
        <f t="shared" si="94"/>
        <v>721</v>
      </c>
      <c r="AJ106" s="242">
        <f t="shared" si="94"/>
        <v>719</v>
      </c>
      <c r="AK106" s="242">
        <f t="shared" si="94"/>
        <v>706</v>
      </c>
      <c r="AL106" s="242">
        <f t="shared" si="94"/>
        <v>711</v>
      </c>
      <c r="AM106" s="242">
        <f t="shared" si="94"/>
        <v>617</v>
      </c>
      <c r="AN106" s="242">
        <f t="shared" si="94"/>
        <v>580</v>
      </c>
      <c r="AO106" s="242">
        <f t="shared" si="94"/>
        <v>571</v>
      </c>
      <c r="AP106" s="242">
        <f t="shared" si="94"/>
        <v>528</v>
      </c>
      <c r="AQ106" s="242">
        <f t="shared" si="94"/>
        <v>425</v>
      </c>
      <c r="AR106" s="242">
        <f t="shared" si="94"/>
        <v>396</v>
      </c>
      <c r="AS106" s="242">
        <f t="shared" si="94"/>
        <v>462</v>
      </c>
      <c r="AT106" s="242">
        <f t="shared" si="94"/>
        <v>499</v>
      </c>
      <c r="AU106" s="242">
        <f t="shared" si="94"/>
        <v>504</v>
      </c>
      <c r="AV106" s="242">
        <f t="shared" si="94"/>
        <v>524</v>
      </c>
      <c r="AW106" s="242">
        <f t="shared" si="94"/>
        <v>526</v>
      </c>
      <c r="AX106" s="242">
        <f t="shared" si="94"/>
        <v>529</v>
      </c>
      <c r="AY106" s="242">
        <f t="shared" si="94"/>
        <v>515</v>
      </c>
      <c r="AZ106" s="242">
        <f t="shared" si="94"/>
        <v>489</v>
      </c>
      <c r="BA106" s="242">
        <f t="shared" si="94"/>
        <v>478</v>
      </c>
      <c r="BB106" s="242">
        <f t="shared" si="94"/>
        <v>471</v>
      </c>
      <c r="BC106" s="242">
        <f t="shared" si="94"/>
        <v>440</v>
      </c>
      <c r="BD106" s="242">
        <f>SUM(BD101:BD105)</f>
        <v>417</v>
      </c>
      <c r="BE106" s="444">
        <f t="shared" ref="BE106:BK106" si="95">SUM(BE101:BE105)</f>
        <v>384</v>
      </c>
      <c r="BF106" s="444">
        <f t="shared" si="95"/>
        <v>392</v>
      </c>
      <c r="BG106" s="444">
        <f t="shared" si="95"/>
        <v>0</v>
      </c>
      <c r="BH106" s="444">
        <f t="shared" si="95"/>
        <v>179</v>
      </c>
      <c r="BI106" s="444">
        <f t="shared" si="95"/>
        <v>186</v>
      </c>
      <c r="BJ106" s="444">
        <f t="shared" si="95"/>
        <v>187</v>
      </c>
      <c r="BK106" s="444">
        <f t="shared" si="95"/>
        <v>192</v>
      </c>
      <c r="BL106" s="444">
        <f t="shared" ref="BL106:BV106" si="96">SUM(BL101:BL105)</f>
        <v>172</v>
      </c>
      <c r="BM106" s="444">
        <f t="shared" si="96"/>
        <v>1014</v>
      </c>
      <c r="BN106" s="444">
        <f t="shared" si="96"/>
        <v>1010</v>
      </c>
      <c r="BO106" s="444">
        <f t="shared" si="96"/>
        <v>1012</v>
      </c>
      <c r="BP106" s="444">
        <f t="shared" si="96"/>
        <v>1014</v>
      </c>
      <c r="BQ106" s="444">
        <f t="shared" si="96"/>
        <v>1012</v>
      </c>
      <c r="BR106" s="444">
        <f t="shared" si="96"/>
        <v>1190</v>
      </c>
      <c r="BS106" s="444">
        <f t="shared" si="96"/>
        <v>1425</v>
      </c>
      <c r="BT106" s="444">
        <f t="shared" si="96"/>
        <v>1422</v>
      </c>
      <c r="BU106" s="444">
        <f t="shared" si="96"/>
        <v>1358</v>
      </c>
      <c r="BV106" s="444">
        <f t="shared" si="96"/>
        <v>1281</v>
      </c>
    </row>
    <row r="107" spans="1:74"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c r="AP107" s="224"/>
      <c r="AQ107" s="224"/>
      <c r="AR107" s="224"/>
      <c r="AS107" s="224"/>
      <c r="AT107" s="224"/>
      <c r="AU107" s="224"/>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row>
    <row r="108" spans="1:74"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c r="AP108" s="224">
        <v>0</v>
      </c>
      <c r="AQ108" s="224">
        <v>0</v>
      </c>
      <c r="AR108" s="224">
        <v>0</v>
      </c>
      <c r="AS108" s="224">
        <v>0</v>
      </c>
      <c r="AT108" s="224">
        <v>0</v>
      </c>
      <c r="AU108" s="224">
        <v>0</v>
      </c>
      <c r="AV108" s="224">
        <v>0</v>
      </c>
      <c r="AW108" s="224">
        <v>0</v>
      </c>
      <c r="AX108" s="224">
        <v>0</v>
      </c>
      <c r="AY108" s="224">
        <v>0</v>
      </c>
      <c r="AZ108" s="224">
        <v>0</v>
      </c>
      <c r="BA108" s="224">
        <v>0</v>
      </c>
      <c r="BB108" s="224">
        <v>0</v>
      </c>
      <c r="BC108" s="224">
        <v>0</v>
      </c>
      <c r="BD108" s="224">
        <v>0</v>
      </c>
      <c r="BE108" s="224">
        <v>0</v>
      </c>
      <c r="BF108" s="224">
        <v>0</v>
      </c>
      <c r="BG108" s="224">
        <v>0</v>
      </c>
      <c r="BH108" s="224">
        <v>0</v>
      </c>
      <c r="BI108" s="224">
        <v>0</v>
      </c>
      <c r="BJ108" s="224">
        <v>0</v>
      </c>
      <c r="BK108" s="224">
        <v>0</v>
      </c>
      <c r="BL108" s="224">
        <v>0</v>
      </c>
      <c r="BM108" s="224">
        <v>0</v>
      </c>
      <c r="BN108" s="224">
        <v>0</v>
      </c>
      <c r="BO108" s="224">
        <v>0</v>
      </c>
      <c r="BP108" s="224">
        <v>0</v>
      </c>
      <c r="BQ108" s="224">
        <v>0</v>
      </c>
      <c r="BR108" s="224">
        <v>0</v>
      </c>
      <c r="BS108" s="224">
        <v>0</v>
      </c>
      <c r="BT108" s="224">
        <v>13</v>
      </c>
      <c r="BU108" s="224">
        <v>14</v>
      </c>
      <c r="BV108" s="224">
        <v>0</v>
      </c>
    </row>
    <row r="109" spans="1:74"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c r="AP109" s="224">
        <v>0</v>
      </c>
      <c r="AQ109" s="224">
        <v>0</v>
      </c>
      <c r="AR109" s="224">
        <v>0</v>
      </c>
      <c r="AS109" s="224">
        <v>0</v>
      </c>
      <c r="AT109" s="224">
        <v>0</v>
      </c>
      <c r="AU109" s="224">
        <v>0</v>
      </c>
      <c r="AV109" s="224">
        <v>0</v>
      </c>
      <c r="AW109" s="224">
        <v>0</v>
      </c>
      <c r="AX109" s="224">
        <v>0</v>
      </c>
      <c r="AY109" s="224">
        <v>0</v>
      </c>
      <c r="AZ109" s="224">
        <v>0</v>
      </c>
      <c r="BA109" s="224">
        <v>0</v>
      </c>
      <c r="BB109" s="224">
        <v>0</v>
      </c>
      <c r="BC109" s="224">
        <v>0</v>
      </c>
      <c r="BD109" s="224">
        <v>0</v>
      </c>
      <c r="BE109" s="224">
        <v>0</v>
      </c>
      <c r="BF109" s="224">
        <v>0</v>
      </c>
      <c r="BG109" s="224">
        <v>0</v>
      </c>
      <c r="BH109" s="224">
        <v>0</v>
      </c>
      <c r="BI109" s="224">
        <v>0</v>
      </c>
      <c r="BJ109" s="224">
        <v>0</v>
      </c>
      <c r="BK109" s="224">
        <v>0</v>
      </c>
      <c r="BL109" s="224">
        <v>0</v>
      </c>
      <c r="BM109" s="224">
        <v>0</v>
      </c>
      <c r="BN109" s="224">
        <v>0</v>
      </c>
      <c r="BO109" s="224">
        <v>0</v>
      </c>
      <c r="BP109" s="224">
        <v>0</v>
      </c>
      <c r="BQ109" s="224">
        <v>0</v>
      </c>
      <c r="BR109" s="224">
        <v>0</v>
      </c>
      <c r="BS109" s="224">
        <v>0</v>
      </c>
      <c r="BT109" s="224">
        <v>3</v>
      </c>
      <c r="BU109" s="224">
        <v>3</v>
      </c>
      <c r="BV109" s="224">
        <v>0</v>
      </c>
    </row>
    <row r="110" spans="1:74"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c r="AP110" s="224">
        <v>0</v>
      </c>
      <c r="AQ110" s="224">
        <v>0</v>
      </c>
      <c r="AR110" s="224">
        <v>0</v>
      </c>
      <c r="AS110" s="224">
        <v>0</v>
      </c>
      <c r="AT110" s="224">
        <v>0</v>
      </c>
      <c r="AU110" s="224">
        <v>0</v>
      </c>
      <c r="AV110" s="224">
        <v>0</v>
      </c>
      <c r="AW110" s="224">
        <v>0</v>
      </c>
      <c r="AX110" s="224">
        <v>0</v>
      </c>
      <c r="AY110" s="224">
        <v>0</v>
      </c>
      <c r="AZ110" s="224">
        <v>2</v>
      </c>
      <c r="BA110" s="224">
        <v>0</v>
      </c>
      <c r="BB110" s="224">
        <v>0</v>
      </c>
      <c r="BC110" s="224">
        <v>0</v>
      </c>
      <c r="BD110" s="224">
        <v>0</v>
      </c>
      <c r="BE110" s="224">
        <v>0</v>
      </c>
      <c r="BF110" s="224">
        <v>0</v>
      </c>
      <c r="BG110" s="224">
        <v>0</v>
      </c>
      <c r="BH110" s="224">
        <v>0</v>
      </c>
      <c r="BI110" s="224">
        <v>0</v>
      </c>
      <c r="BJ110" s="224">
        <v>0</v>
      </c>
      <c r="BK110" s="224">
        <v>0</v>
      </c>
      <c r="BL110" s="224">
        <v>0</v>
      </c>
      <c r="BM110" s="224">
        <v>0</v>
      </c>
      <c r="BN110" s="224">
        <v>0</v>
      </c>
      <c r="BO110" s="224">
        <v>0</v>
      </c>
      <c r="BP110" s="224">
        <v>0</v>
      </c>
      <c r="BQ110" s="224">
        <v>0</v>
      </c>
      <c r="BR110" s="224">
        <v>0</v>
      </c>
      <c r="BS110" s="224">
        <v>0</v>
      </c>
      <c r="BT110" s="224">
        <v>0</v>
      </c>
      <c r="BU110" s="224">
        <v>6</v>
      </c>
      <c r="BV110" s="224">
        <v>0</v>
      </c>
    </row>
    <row r="111" spans="1:74"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c r="AP111" s="224">
        <v>0</v>
      </c>
      <c r="AQ111" s="224">
        <v>0</v>
      </c>
      <c r="AR111" s="224">
        <v>0</v>
      </c>
      <c r="AS111" s="224">
        <v>0</v>
      </c>
      <c r="AT111" s="224">
        <v>0</v>
      </c>
      <c r="AU111" s="224">
        <v>0</v>
      </c>
      <c r="AV111" s="224">
        <v>0</v>
      </c>
      <c r="AW111" s="224">
        <v>0</v>
      </c>
      <c r="AX111" s="224">
        <v>0</v>
      </c>
      <c r="AY111" s="224">
        <v>0</v>
      </c>
      <c r="AZ111" s="224">
        <v>1</v>
      </c>
      <c r="BA111" s="224">
        <v>0</v>
      </c>
      <c r="BB111" s="224">
        <v>0</v>
      </c>
      <c r="BC111" s="224">
        <v>0</v>
      </c>
      <c r="BD111" s="224">
        <v>0</v>
      </c>
      <c r="BE111" s="224">
        <v>0</v>
      </c>
      <c r="BF111" s="224">
        <v>0</v>
      </c>
      <c r="BG111" s="224">
        <v>0</v>
      </c>
      <c r="BH111" s="224">
        <v>0</v>
      </c>
      <c r="BI111" s="224">
        <v>0</v>
      </c>
      <c r="BJ111" s="224">
        <v>0</v>
      </c>
      <c r="BK111" s="224">
        <v>0</v>
      </c>
      <c r="BL111" s="224">
        <v>0</v>
      </c>
      <c r="BM111" s="224">
        <v>0</v>
      </c>
      <c r="BN111" s="224">
        <v>0</v>
      </c>
      <c r="BO111" s="224">
        <v>0</v>
      </c>
      <c r="BP111" s="224">
        <v>0</v>
      </c>
      <c r="BQ111" s="224">
        <v>0</v>
      </c>
      <c r="BR111" s="224">
        <v>0</v>
      </c>
      <c r="BS111" s="224">
        <v>0</v>
      </c>
      <c r="BT111" s="224">
        <v>0</v>
      </c>
      <c r="BU111" s="224">
        <v>0</v>
      </c>
      <c r="BV111" s="224">
        <v>0</v>
      </c>
    </row>
    <row r="112" spans="1:74"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c r="AP112" s="224">
        <v>0</v>
      </c>
      <c r="AQ112" s="224">
        <v>0</v>
      </c>
      <c r="AR112" s="224">
        <v>0</v>
      </c>
      <c r="AS112" s="224">
        <v>0</v>
      </c>
      <c r="AT112" s="224">
        <v>0</v>
      </c>
      <c r="AU112" s="224">
        <v>0</v>
      </c>
      <c r="AV112" s="224">
        <v>0</v>
      </c>
      <c r="AW112" s="224">
        <v>0</v>
      </c>
      <c r="AX112" s="224">
        <v>0</v>
      </c>
      <c r="AY112" s="224">
        <v>0</v>
      </c>
      <c r="AZ112" s="224">
        <v>0</v>
      </c>
      <c r="BA112" s="224">
        <v>0</v>
      </c>
      <c r="BB112" s="224">
        <v>0</v>
      </c>
      <c r="BC112" s="224">
        <v>0</v>
      </c>
      <c r="BD112" s="224">
        <v>0</v>
      </c>
      <c r="BE112" s="224">
        <v>0</v>
      </c>
      <c r="BF112" s="224">
        <v>0</v>
      </c>
      <c r="BG112" s="224">
        <v>0</v>
      </c>
      <c r="BH112" s="224">
        <v>0</v>
      </c>
      <c r="BI112" s="224">
        <v>0</v>
      </c>
      <c r="BJ112" s="224">
        <v>0</v>
      </c>
      <c r="BK112" s="224">
        <v>0</v>
      </c>
      <c r="BL112" s="224">
        <v>0</v>
      </c>
      <c r="BM112" s="224">
        <v>0</v>
      </c>
      <c r="BN112" s="224">
        <v>0</v>
      </c>
      <c r="BO112" s="224">
        <v>0</v>
      </c>
      <c r="BP112" s="224">
        <v>0</v>
      </c>
      <c r="BQ112" s="224">
        <v>0</v>
      </c>
      <c r="BR112" s="224">
        <v>0</v>
      </c>
      <c r="BS112" s="224">
        <v>0</v>
      </c>
      <c r="BT112" s="224">
        <v>0</v>
      </c>
      <c r="BU112" s="224">
        <v>0</v>
      </c>
      <c r="BV112" s="224">
        <v>0</v>
      </c>
    </row>
    <row r="113" spans="1:74" x14ac:dyDescent="0.25">
      <c r="A113" s="4"/>
      <c r="B113" s="35" t="s">
        <v>41</v>
      </c>
      <c r="C113" s="222">
        <f>SUM(C108:C112)</f>
        <v>0</v>
      </c>
      <c r="D113" s="73">
        <f>SUM(D108:D112)</f>
        <v>0</v>
      </c>
      <c r="E113" s="73">
        <f t="shared" ref="E113:AG113" si="97">SUM(E108:E112)</f>
        <v>0</v>
      </c>
      <c r="F113" s="73">
        <f t="shared" si="97"/>
        <v>0</v>
      </c>
      <c r="G113" s="73">
        <f t="shared" si="97"/>
        <v>0</v>
      </c>
      <c r="H113" s="73">
        <f t="shared" si="97"/>
        <v>0</v>
      </c>
      <c r="I113" s="73">
        <f t="shared" si="97"/>
        <v>0</v>
      </c>
      <c r="J113" s="73">
        <f t="shared" si="97"/>
        <v>0</v>
      </c>
      <c r="K113" s="73">
        <f t="shared" si="97"/>
        <v>0</v>
      </c>
      <c r="L113" s="74">
        <f t="shared" si="97"/>
        <v>0</v>
      </c>
      <c r="M113" s="222">
        <f t="shared" si="97"/>
        <v>0</v>
      </c>
      <c r="N113" s="73">
        <f t="shared" si="97"/>
        <v>0</v>
      </c>
      <c r="O113" s="73">
        <f t="shared" si="97"/>
        <v>0</v>
      </c>
      <c r="P113" s="73">
        <f t="shared" si="97"/>
        <v>0</v>
      </c>
      <c r="Q113" s="73">
        <f t="shared" si="97"/>
        <v>0</v>
      </c>
      <c r="R113" s="73">
        <f t="shared" si="97"/>
        <v>0</v>
      </c>
      <c r="S113" s="73">
        <f>SUM(S108:S112)</f>
        <v>0</v>
      </c>
      <c r="T113" s="73">
        <f t="shared" si="97"/>
        <v>0</v>
      </c>
      <c r="U113" s="74">
        <f t="shared" si="97"/>
        <v>0</v>
      </c>
      <c r="V113" s="74">
        <f t="shared" si="97"/>
        <v>0</v>
      </c>
      <c r="W113" s="74">
        <f t="shared" si="97"/>
        <v>13</v>
      </c>
      <c r="X113" s="74">
        <f t="shared" si="97"/>
        <v>16</v>
      </c>
      <c r="Y113" s="74">
        <f t="shared" si="97"/>
        <v>5</v>
      </c>
      <c r="Z113" s="74">
        <f t="shared" si="97"/>
        <v>9</v>
      </c>
      <c r="AA113" s="74">
        <f t="shared" si="97"/>
        <v>1</v>
      </c>
      <c r="AB113" s="250">
        <f t="shared" si="97"/>
        <v>0</v>
      </c>
      <c r="AC113" s="250">
        <f t="shared" si="97"/>
        <v>4</v>
      </c>
      <c r="AD113" s="250">
        <f t="shared" si="97"/>
        <v>4</v>
      </c>
      <c r="AE113" s="250">
        <f t="shared" si="97"/>
        <v>3</v>
      </c>
      <c r="AF113" s="250">
        <f t="shared" si="97"/>
        <v>0</v>
      </c>
      <c r="AG113" s="250">
        <f t="shared" si="97"/>
        <v>0</v>
      </c>
      <c r="AH113" s="250">
        <f t="shared" ref="AH113:BC113" si="98">SUM(AH108:AH112)</f>
        <v>0</v>
      </c>
      <c r="AI113" s="250">
        <f t="shared" si="98"/>
        <v>0</v>
      </c>
      <c r="AJ113" s="250">
        <f t="shared" si="98"/>
        <v>0</v>
      </c>
      <c r="AK113" s="250">
        <f t="shared" si="98"/>
        <v>0</v>
      </c>
      <c r="AL113" s="250">
        <f t="shared" si="98"/>
        <v>0</v>
      </c>
      <c r="AM113" s="250">
        <f t="shared" si="98"/>
        <v>0</v>
      </c>
      <c r="AN113" s="250">
        <f t="shared" si="98"/>
        <v>0</v>
      </c>
      <c r="AO113" s="250">
        <f t="shared" si="98"/>
        <v>6</v>
      </c>
      <c r="AP113" s="250">
        <f t="shared" si="98"/>
        <v>0</v>
      </c>
      <c r="AQ113" s="250">
        <f t="shared" si="98"/>
        <v>0</v>
      </c>
      <c r="AR113" s="250">
        <f t="shared" si="98"/>
        <v>0</v>
      </c>
      <c r="AS113" s="250">
        <f t="shared" si="98"/>
        <v>0</v>
      </c>
      <c r="AT113" s="250">
        <f t="shared" si="98"/>
        <v>0</v>
      </c>
      <c r="AU113" s="250">
        <f t="shared" si="98"/>
        <v>0</v>
      </c>
      <c r="AV113" s="250">
        <f t="shared" si="98"/>
        <v>0</v>
      </c>
      <c r="AW113" s="250">
        <f t="shared" si="98"/>
        <v>0</v>
      </c>
      <c r="AX113" s="250">
        <f t="shared" si="98"/>
        <v>0</v>
      </c>
      <c r="AY113" s="250">
        <f t="shared" si="98"/>
        <v>0</v>
      </c>
      <c r="AZ113" s="250">
        <f t="shared" si="98"/>
        <v>3</v>
      </c>
      <c r="BA113" s="250">
        <f t="shared" si="98"/>
        <v>0</v>
      </c>
      <c r="BB113" s="250">
        <f t="shared" si="98"/>
        <v>0</v>
      </c>
      <c r="BC113" s="250">
        <f t="shared" si="98"/>
        <v>0</v>
      </c>
      <c r="BD113" s="250">
        <f t="shared" ref="BD113:BV113" si="99">SUM(BD108:BD112)</f>
        <v>0</v>
      </c>
      <c r="BE113" s="250">
        <f t="shared" si="99"/>
        <v>0</v>
      </c>
      <c r="BF113" s="250">
        <f t="shared" si="99"/>
        <v>0</v>
      </c>
      <c r="BG113" s="250">
        <f t="shared" si="99"/>
        <v>0</v>
      </c>
      <c r="BH113" s="250">
        <f t="shared" si="99"/>
        <v>0</v>
      </c>
      <c r="BI113" s="250">
        <f t="shared" si="99"/>
        <v>0</v>
      </c>
      <c r="BJ113" s="250">
        <f t="shared" si="99"/>
        <v>0</v>
      </c>
      <c r="BK113" s="250">
        <f t="shared" si="99"/>
        <v>0</v>
      </c>
      <c r="BL113" s="250">
        <f t="shared" si="99"/>
        <v>0</v>
      </c>
      <c r="BM113" s="250">
        <f t="shared" si="99"/>
        <v>0</v>
      </c>
      <c r="BN113" s="250">
        <f t="shared" si="99"/>
        <v>0</v>
      </c>
      <c r="BO113" s="250">
        <f t="shared" si="99"/>
        <v>0</v>
      </c>
      <c r="BP113" s="250">
        <f t="shared" si="99"/>
        <v>0</v>
      </c>
      <c r="BQ113" s="250">
        <f t="shared" si="99"/>
        <v>0</v>
      </c>
      <c r="BR113" s="250">
        <f t="shared" si="99"/>
        <v>0</v>
      </c>
      <c r="BS113" s="250">
        <f t="shared" si="99"/>
        <v>0</v>
      </c>
      <c r="BT113" s="250">
        <f t="shared" si="99"/>
        <v>16</v>
      </c>
      <c r="BU113" s="250">
        <f t="shared" si="99"/>
        <v>23</v>
      </c>
      <c r="BV113" s="250">
        <f t="shared" si="99"/>
        <v>0</v>
      </c>
    </row>
    <row r="114" spans="1:74"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c r="AP114" s="224"/>
      <c r="AQ114" s="224"/>
      <c r="AR114" s="224"/>
      <c r="AS114" s="224"/>
      <c r="AT114" s="224"/>
      <c r="AU114" s="224"/>
      <c r="AV114" s="224"/>
      <c r="AW114" s="224"/>
      <c r="AX114" s="224"/>
      <c r="AY114" s="224"/>
      <c r="AZ114" s="224"/>
      <c r="BA114" s="224"/>
      <c r="BB114" s="224"/>
      <c r="BC114" s="224"/>
      <c r="BD114" s="224"/>
      <c r="BE114" s="67"/>
      <c r="BF114" s="67"/>
      <c r="BG114" s="67"/>
      <c r="BH114" s="67"/>
      <c r="BI114" s="67"/>
      <c r="BJ114" s="67"/>
      <c r="BK114" s="67"/>
      <c r="BL114" s="67"/>
      <c r="BM114" s="67"/>
      <c r="BN114" s="67"/>
      <c r="BO114" s="67"/>
      <c r="BP114" s="67"/>
      <c r="BQ114" s="67"/>
      <c r="BR114" s="67"/>
      <c r="BS114" s="67"/>
      <c r="BT114" s="67"/>
      <c r="BU114" s="67"/>
      <c r="BV114" s="67"/>
    </row>
    <row r="115" spans="1:74"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c r="AP115" s="224">
        <v>158</v>
      </c>
      <c r="AQ115" s="224">
        <v>132</v>
      </c>
      <c r="AR115" s="224">
        <v>127</v>
      </c>
      <c r="AS115" s="224">
        <v>126</v>
      </c>
      <c r="AT115" s="224">
        <v>134</v>
      </c>
      <c r="AU115" s="224">
        <v>131</v>
      </c>
      <c r="AV115" s="224">
        <v>121</v>
      </c>
      <c r="AW115" s="224">
        <v>134</v>
      </c>
      <c r="AX115" s="224">
        <v>139</v>
      </c>
      <c r="AY115" s="224">
        <v>150</v>
      </c>
      <c r="AZ115" s="224">
        <v>156</v>
      </c>
      <c r="BA115" s="224">
        <v>156</v>
      </c>
      <c r="BB115" s="224">
        <v>164</v>
      </c>
      <c r="BC115" s="224">
        <v>170</v>
      </c>
      <c r="BD115" s="224">
        <v>175</v>
      </c>
      <c r="BE115" s="224">
        <v>169</v>
      </c>
      <c r="BF115" s="224">
        <v>175</v>
      </c>
      <c r="BG115" s="224"/>
      <c r="BH115" s="224">
        <v>267</v>
      </c>
      <c r="BI115" s="224">
        <v>296</v>
      </c>
      <c r="BJ115" s="224">
        <v>245</v>
      </c>
      <c r="BK115" s="224">
        <v>359</v>
      </c>
      <c r="BL115" s="224">
        <v>397</v>
      </c>
      <c r="BM115" s="224">
        <v>505</v>
      </c>
      <c r="BN115" s="224">
        <v>366</v>
      </c>
      <c r="BO115" s="224">
        <v>277</v>
      </c>
      <c r="BP115" s="224">
        <v>284</v>
      </c>
      <c r="BQ115" s="224">
        <v>298</v>
      </c>
      <c r="BR115" s="224">
        <v>306</v>
      </c>
      <c r="BS115" s="224">
        <v>306</v>
      </c>
      <c r="BT115" s="224">
        <v>295</v>
      </c>
      <c r="BU115" s="224">
        <v>261</v>
      </c>
      <c r="BV115" s="224">
        <v>263</v>
      </c>
    </row>
    <row r="116" spans="1:74"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c r="AP116" s="224">
        <v>15</v>
      </c>
      <c r="AQ116" s="224">
        <v>19</v>
      </c>
      <c r="AR116" s="224">
        <v>22</v>
      </c>
      <c r="AS116" s="224">
        <v>20</v>
      </c>
      <c r="AT116" s="224">
        <v>24</v>
      </c>
      <c r="AU116" s="224">
        <v>23</v>
      </c>
      <c r="AV116" s="224">
        <v>16</v>
      </c>
      <c r="AW116" s="224">
        <v>13</v>
      </c>
      <c r="AX116" s="224">
        <v>13</v>
      </c>
      <c r="AY116" s="224">
        <v>13</v>
      </c>
      <c r="AZ116" s="224">
        <v>14</v>
      </c>
      <c r="BA116" s="224">
        <v>19</v>
      </c>
      <c r="BB116" s="224">
        <v>21</v>
      </c>
      <c r="BC116" s="224">
        <v>24</v>
      </c>
      <c r="BD116" s="224">
        <v>25</v>
      </c>
      <c r="BE116" s="224">
        <v>32</v>
      </c>
      <c r="BF116" s="224">
        <v>34</v>
      </c>
      <c r="BG116" s="224"/>
      <c r="BH116" s="224"/>
      <c r="BI116" s="224"/>
      <c r="BJ116" s="224"/>
      <c r="BK116" s="224"/>
      <c r="BL116" s="224"/>
      <c r="BM116" s="224"/>
      <c r="BN116" s="224"/>
      <c r="BO116" s="224">
        <v>51</v>
      </c>
      <c r="BP116" s="224">
        <v>45</v>
      </c>
      <c r="BQ116" s="224">
        <v>47</v>
      </c>
      <c r="BR116" s="224">
        <v>50</v>
      </c>
      <c r="BS116" s="224">
        <v>50</v>
      </c>
      <c r="BT116" s="224">
        <v>47</v>
      </c>
      <c r="BU116" s="224">
        <v>46</v>
      </c>
      <c r="BV116" s="224">
        <v>47</v>
      </c>
    </row>
    <row r="117" spans="1:74"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c r="AP117" s="224">
        <v>5</v>
      </c>
      <c r="AQ117" s="224">
        <v>6</v>
      </c>
      <c r="AR117" s="224">
        <v>7</v>
      </c>
      <c r="AS117" s="224">
        <v>6</v>
      </c>
      <c r="AT117" s="224">
        <v>10</v>
      </c>
      <c r="AU117" s="224">
        <v>11</v>
      </c>
      <c r="AV117" s="224">
        <v>12</v>
      </c>
      <c r="AW117" s="224">
        <v>12</v>
      </c>
      <c r="AX117" s="224">
        <v>12</v>
      </c>
      <c r="AY117" s="224">
        <v>12</v>
      </c>
      <c r="AZ117" s="224">
        <v>13</v>
      </c>
      <c r="BA117" s="224">
        <v>13</v>
      </c>
      <c r="BB117" s="224">
        <v>13</v>
      </c>
      <c r="BC117" s="224">
        <v>12</v>
      </c>
      <c r="BD117" s="224">
        <v>10</v>
      </c>
      <c r="BE117" s="224">
        <v>9</v>
      </c>
      <c r="BF117" s="224">
        <v>9</v>
      </c>
      <c r="BG117" s="224"/>
      <c r="BH117" s="224"/>
      <c r="BI117" s="224"/>
      <c r="BJ117" s="224"/>
      <c r="BK117" s="224"/>
      <c r="BL117" s="224"/>
      <c r="BM117" s="224"/>
      <c r="BN117" s="224"/>
      <c r="BO117" s="224">
        <v>4</v>
      </c>
      <c r="BP117" s="224">
        <v>4</v>
      </c>
      <c r="BQ117" s="224">
        <v>4</v>
      </c>
      <c r="BR117" s="224">
        <v>3</v>
      </c>
      <c r="BS117" s="224">
        <v>3</v>
      </c>
      <c r="BT117" s="224">
        <v>3</v>
      </c>
      <c r="BU117" s="224">
        <v>3</v>
      </c>
      <c r="BV117" s="224">
        <v>3</v>
      </c>
    </row>
    <row r="118" spans="1:74"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c r="AP118" s="224">
        <v>0</v>
      </c>
      <c r="AQ118" s="224">
        <v>1</v>
      </c>
      <c r="AR118" s="224">
        <v>4</v>
      </c>
      <c r="AS118" s="224">
        <v>3</v>
      </c>
      <c r="AT118" s="224">
        <v>3</v>
      </c>
      <c r="AU118" s="224">
        <v>3</v>
      </c>
      <c r="AV118" s="224">
        <v>2</v>
      </c>
      <c r="AW118" s="224">
        <v>0</v>
      </c>
      <c r="AX118" s="224">
        <v>0</v>
      </c>
      <c r="AY118" s="224">
        <v>0</v>
      </c>
      <c r="AZ118" s="224">
        <v>0</v>
      </c>
      <c r="BA118" s="224">
        <v>2</v>
      </c>
      <c r="BB118" s="224">
        <v>2</v>
      </c>
      <c r="BC118" s="224">
        <v>2</v>
      </c>
      <c r="BD118" s="224">
        <v>2</v>
      </c>
      <c r="BE118" s="224">
        <v>2</v>
      </c>
      <c r="BF118" s="224">
        <v>2</v>
      </c>
      <c r="BG118" s="224"/>
      <c r="BH118" s="224"/>
      <c r="BI118" s="224"/>
      <c r="BJ118" s="224"/>
      <c r="BK118" s="224"/>
      <c r="BL118" s="224"/>
      <c r="BM118" s="224"/>
      <c r="BN118" s="224"/>
      <c r="BO118" s="224">
        <v>1</v>
      </c>
      <c r="BP118" s="224">
        <v>0</v>
      </c>
      <c r="BQ118" s="224">
        <v>0</v>
      </c>
      <c r="BR118" s="224">
        <v>0</v>
      </c>
      <c r="BS118" s="224">
        <v>0</v>
      </c>
      <c r="BT118" s="224">
        <v>0</v>
      </c>
      <c r="BU118" s="224">
        <v>0</v>
      </c>
      <c r="BV118" s="224">
        <v>0</v>
      </c>
    </row>
    <row r="119" spans="1:74"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c r="AP119" s="224">
        <v>0</v>
      </c>
      <c r="AQ119" s="224">
        <v>0</v>
      </c>
      <c r="AR119" s="224">
        <v>0</v>
      </c>
      <c r="AS119" s="224">
        <v>0</v>
      </c>
      <c r="AT119" s="224">
        <v>0</v>
      </c>
      <c r="AU119" s="224">
        <v>0</v>
      </c>
      <c r="AV119" s="224">
        <v>0</v>
      </c>
      <c r="AW119" s="224">
        <v>0</v>
      </c>
      <c r="AX119" s="224">
        <v>0</v>
      </c>
      <c r="AY119" s="224">
        <v>0</v>
      </c>
      <c r="AZ119" s="224">
        <v>0</v>
      </c>
      <c r="BA119" s="224">
        <v>0</v>
      </c>
      <c r="BB119" s="224">
        <v>0</v>
      </c>
      <c r="BC119" s="224">
        <v>0</v>
      </c>
      <c r="BD119" s="224">
        <v>0</v>
      </c>
      <c r="BE119" s="224">
        <v>0</v>
      </c>
      <c r="BF119" s="224">
        <v>0</v>
      </c>
      <c r="BG119" s="224"/>
      <c r="BH119" s="224"/>
      <c r="BI119" s="224"/>
      <c r="BJ119" s="224"/>
      <c r="BK119" s="224"/>
      <c r="BL119" s="224"/>
      <c r="BM119" s="224"/>
      <c r="BN119" s="224"/>
      <c r="BO119" s="224">
        <v>0</v>
      </c>
      <c r="BP119" s="224">
        <v>0</v>
      </c>
      <c r="BQ119" s="224">
        <v>0</v>
      </c>
      <c r="BR119" s="224">
        <v>0</v>
      </c>
      <c r="BS119" s="224">
        <v>0</v>
      </c>
      <c r="BT119" s="224">
        <v>0</v>
      </c>
      <c r="BU119" s="224">
        <v>0</v>
      </c>
      <c r="BV119" s="224">
        <v>0</v>
      </c>
    </row>
    <row r="120" spans="1:74" ht="15.75" thickBot="1" x14ac:dyDescent="0.3">
      <c r="A120" s="4"/>
      <c r="B120" s="36" t="s">
        <v>41</v>
      </c>
      <c r="C120" s="151">
        <f>SUM(C115:C119)</f>
        <v>255</v>
      </c>
      <c r="D120" s="152">
        <f>SUM(D115:D119)</f>
        <v>148</v>
      </c>
      <c r="E120" s="152">
        <f t="shared" ref="E120:AG120" si="100">SUM(E115:E119)</f>
        <v>165</v>
      </c>
      <c r="F120" s="152">
        <f t="shared" si="100"/>
        <v>146</v>
      </c>
      <c r="G120" s="152">
        <f t="shared" si="100"/>
        <v>149</v>
      </c>
      <c r="H120" s="152">
        <f t="shared" si="100"/>
        <v>146</v>
      </c>
      <c r="I120" s="152">
        <f t="shared" si="100"/>
        <v>140</v>
      </c>
      <c r="J120" s="152">
        <f t="shared" si="100"/>
        <v>133</v>
      </c>
      <c r="K120" s="152">
        <f t="shared" si="100"/>
        <v>148</v>
      </c>
      <c r="L120" s="153">
        <f t="shared" si="100"/>
        <v>187</v>
      </c>
      <c r="M120" s="152">
        <f t="shared" si="100"/>
        <v>181</v>
      </c>
      <c r="N120" s="201">
        <f t="shared" si="100"/>
        <v>156</v>
      </c>
      <c r="O120" s="152">
        <f t="shared" si="100"/>
        <v>162</v>
      </c>
      <c r="P120" s="152">
        <f t="shared" si="100"/>
        <v>161</v>
      </c>
      <c r="Q120" s="152">
        <f t="shared" si="100"/>
        <v>166</v>
      </c>
      <c r="R120" s="152">
        <f t="shared" si="100"/>
        <v>144</v>
      </c>
      <c r="S120" s="152">
        <f t="shared" si="100"/>
        <v>129</v>
      </c>
      <c r="T120" s="152">
        <f t="shared" si="100"/>
        <v>138</v>
      </c>
      <c r="U120" s="153">
        <f t="shared" si="100"/>
        <v>138</v>
      </c>
      <c r="V120" s="153">
        <f t="shared" si="100"/>
        <v>121</v>
      </c>
      <c r="W120" s="153">
        <f t="shared" si="100"/>
        <v>117</v>
      </c>
      <c r="X120" s="153">
        <f t="shared" si="100"/>
        <v>110</v>
      </c>
      <c r="Y120" s="153">
        <f t="shared" si="100"/>
        <v>129</v>
      </c>
      <c r="Z120" s="153">
        <f t="shared" si="100"/>
        <v>104</v>
      </c>
      <c r="AA120" s="297">
        <f t="shared" si="100"/>
        <v>100</v>
      </c>
      <c r="AB120" s="298">
        <f t="shared" si="100"/>
        <v>91</v>
      </c>
      <c r="AC120" s="298">
        <f t="shared" si="100"/>
        <v>108</v>
      </c>
      <c r="AD120" s="298">
        <f t="shared" si="100"/>
        <v>183</v>
      </c>
      <c r="AE120" s="298">
        <f t="shared" si="100"/>
        <v>203</v>
      </c>
      <c r="AF120" s="298">
        <f t="shared" si="100"/>
        <v>319</v>
      </c>
      <c r="AG120" s="298">
        <f t="shared" si="100"/>
        <v>420</v>
      </c>
      <c r="AH120" s="298">
        <f t="shared" ref="AH120:BC120" si="101">SUM(AH115:AH119)</f>
        <v>458</v>
      </c>
      <c r="AI120" s="298">
        <f t="shared" si="101"/>
        <v>451</v>
      </c>
      <c r="AJ120" s="298">
        <f t="shared" si="101"/>
        <v>438</v>
      </c>
      <c r="AK120" s="298">
        <f t="shared" si="101"/>
        <v>424</v>
      </c>
      <c r="AL120" s="298">
        <f t="shared" si="101"/>
        <v>345</v>
      </c>
      <c r="AM120" s="298">
        <f t="shared" si="101"/>
        <v>267</v>
      </c>
      <c r="AN120" s="298">
        <f t="shared" si="101"/>
        <v>224</v>
      </c>
      <c r="AO120" s="298">
        <f t="shared" si="101"/>
        <v>208</v>
      </c>
      <c r="AP120" s="298">
        <f t="shared" si="101"/>
        <v>178</v>
      </c>
      <c r="AQ120" s="298">
        <f t="shared" si="101"/>
        <v>158</v>
      </c>
      <c r="AR120" s="298">
        <f t="shared" si="101"/>
        <v>160</v>
      </c>
      <c r="AS120" s="298">
        <f t="shared" si="101"/>
        <v>155</v>
      </c>
      <c r="AT120" s="298">
        <f t="shared" si="101"/>
        <v>171</v>
      </c>
      <c r="AU120" s="298">
        <f t="shared" si="101"/>
        <v>168</v>
      </c>
      <c r="AV120" s="298">
        <f t="shared" si="101"/>
        <v>151</v>
      </c>
      <c r="AW120" s="298">
        <f t="shared" si="101"/>
        <v>159</v>
      </c>
      <c r="AX120" s="298">
        <f t="shared" si="101"/>
        <v>164</v>
      </c>
      <c r="AY120" s="298">
        <f t="shared" si="101"/>
        <v>175</v>
      </c>
      <c r="AZ120" s="298">
        <f t="shared" si="101"/>
        <v>183</v>
      </c>
      <c r="BA120" s="298">
        <f t="shared" si="101"/>
        <v>190</v>
      </c>
      <c r="BB120" s="298">
        <f t="shared" si="101"/>
        <v>200</v>
      </c>
      <c r="BC120" s="298">
        <f t="shared" si="101"/>
        <v>208</v>
      </c>
      <c r="BD120" s="298">
        <f t="shared" ref="BD120:BV120" si="102">SUM(BD115:BD119)</f>
        <v>212</v>
      </c>
      <c r="BE120" s="464">
        <f t="shared" si="102"/>
        <v>212</v>
      </c>
      <c r="BF120" s="464">
        <f t="shared" si="102"/>
        <v>220</v>
      </c>
      <c r="BG120" s="464">
        <f t="shared" si="102"/>
        <v>0</v>
      </c>
      <c r="BH120" s="464">
        <f t="shared" si="102"/>
        <v>267</v>
      </c>
      <c r="BI120" s="464">
        <f t="shared" si="102"/>
        <v>296</v>
      </c>
      <c r="BJ120" s="464">
        <f t="shared" si="102"/>
        <v>245</v>
      </c>
      <c r="BK120" s="464">
        <f t="shared" si="102"/>
        <v>359</v>
      </c>
      <c r="BL120" s="464">
        <f t="shared" si="102"/>
        <v>397</v>
      </c>
      <c r="BM120" s="464">
        <f t="shared" si="102"/>
        <v>505</v>
      </c>
      <c r="BN120" s="464">
        <f t="shared" si="102"/>
        <v>366</v>
      </c>
      <c r="BO120" s="464">
        <f t="shared" si="102"/>
        <v>333</v>
      </c>
      <c r="BP120" s="464">
        <f t="shared" si="102"/>
        <v>333</v>
      </c>
      <c r="BQ120" s="464">
        <f t="shared" si="102"/>
        <v>349</v>
      </c>
      <c r="BR120" s="464">
        <f t="shared" si="102"/>
        <v>359</v>
      </c>
      <c r="BS120" s="464">
        <f t="shared" si="102"/>
        <v>359</v>
      </c>
      <c r="BT120" s="464">
        <f t="shared" si="102"/>
        <v>345</v>
      </c>
      <c r="BU120" s="464">
        <f t="shared" si="102"/>
        <v>310</v>
      </c>
      <c r="BV120" s="464">
        <f t="shared" si="102"/>
        <v>313</v>
      </c>
    </row>
    <row r="121" spans="1:74"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249"/>
      <c r="BE121" s="463"/>
      <c r="BF121" s="463"/>
      <c r="BG121" s="463"/>
      <c r="BH121" s="463"/>
      <c r="BI121" s="463"/>
      <c r="BJ121" s="463"/>
      <c r="BK121" s="463"/>
      <c r="BL121" s="463"/>
      <c r="BM121" s="463"/>
      <c r="BN121" s="463"/>
      <c r="BO121" s="463"/>
      <c r="BP121" s="463"/>
      <c r="BQ121" s="463"/>
      <c r="BR121" s="463"/>
      <c r="BS121" s="463"/>
      <c r="BT121" s="463"/>
      <c r="BU121" s="463"/>
      <c r="BV121" s="463"/>
    </row>
    <row r="122" spans="1:74"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c r="AP122" s="224">
        <f>37+3205</f>
        <v>3242</v>
      </c>
      <c r="AQ122" s="224">
        <f>120+3027</f>
        <v>3147</v>
      </c>
      <c r="AR122" s="224">
        <f>191+3048</f>
        <v>3239</v>
      </c>
      <c r="AS122" s="224">
        <f>305+2889</f>
        <v>3194</v>
      </c>
      <c r="AT122" s="224">
        <f>853+2665</f>
        <v>3518</v>
      </c>
      <c r="AU122" s="224">
        <f>2707+864</f>
        <v>3571</v>
      </c>
      <c r="AV122" s="224">
        <f>1390+2479</f>
        <v>3869</v>
      </c>
      <c r="AW122" s="224">
        <f>1460+2346</f>
        <v>3806</v>
      </c>
      <c r="AX122" s="224">
        <f>1840+2343</f>
        <v>4183</v>
      </c>
      <c r="AY122" s="224">
        <f>2340+2164</f>
        <v>4504</v>
      </c>
      <c r="AZ122" s="224">
        <f>2747+2290</f>
        <v>5037</v>
      </c>
      <c r="BA122" s="224">
        <f>3203+1580</f>
        <v>4783</v>
      </c>
      <c r="BB122" s="224">
        <f>3340+1577</f>
        <v>4917</v>
      </c>
      <c r="BC122" s="435">
        <f>3519+1646</f>
        <v>5165</v>
      </c>
      <c r="BD122" s="465">
        <f>3359+1855</f>
        <v>5214</v>
      </c>
      <c r="BE122" s="466">
        <f>3525+1734</f>
        <v>5259</v>
      </c>
      <c r="BF122" s="466">
        <f>3607+1750</f>
        <v>5357</v>
      </c>
      <c r="BG122" s="466"/>
      <c r="BH122" s="466"/>
      <c r="BI122" s="466"/>
      <c r="BJ122" s="466"/>
      <c r="BK122" s="466"/>
      <c r="BL122" s="466"/>
      <c r="BM122" s="466"/>
      <c r="BN122" s="466"/>
      <c r="BO122" s="466"/>
      <c r="BP122" s="466">
        <v>32158</v>
      </c>
      <c r="BQ122" s="466">
        <v>10040</v>
      </c>
      <c r="BR122" s="466">
        <v>18751</v>
      </c>
      <c r="BS122" s="466">
        <v>19152</v>
      </c>
      <c r="BT122" s="466">
        <v>18410</v>
      </c>
      <c r="BU122" s="466">
        <v>18320</v>
      </c>
      <c r="BV122" s="466">
        <v>19000</v>
      </c>
    </row>
    <row r="123" spans="1:74"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c r="AP123" s="224">
        <v>0</v>
      </c>
      <c r="AQ123" s="224">
        <v>0</v>
      </c>
      <c r="AR123" s="224">
        <v>0</v>
      </c>
      <c r="AS123" s="224">
        <v>0</v>
      </c>
      <c r="AT123" s="224">
        <v>0</v>
      </c>
      <c r="AU123" s="224">
        <v>0</v>
      </c>
      <c r="AV123" s="224">
        <v>0</v>
      </c>
      <c r="AW123" s="224">
        <v>0</v>
      </c>
      <c r="AX123" s="224">
        <v>0</v>
      </c>
      <c r="AY123" s="224">
        <v>0</v>
      </c>
      <c r="AZ123" s="224"/>
      <c r="BA123" s="224">
        <v>0</v>
      </c>
      <c r="BB123" s="224">
        <v>0</v>
      </c>
      <c r="BC123" s="435">
        <v>0</v>
      </c>
      <c r="BD123" s="467">
        <v>0</v>
      </c>
      <c r="BE123" s="467">
        <v>0</v>
      </c>
      <c r="BF123" s="467">
        <v>0</v>
      </c>
      <c r="BG123" s="467"/>
      <c r="BH123" s="467"/>
      <c r="BI123" s="467"/>
      <c r="BJ123" s="467"/>
      <c r="BK123" s="467"/>
      <c r="BL123" s="467"/>
      <c r="BM123" s="467"/>
      <c r="BN123" s="467"/>
      <c r="BO123" s="467"/>
      <c r="BP123" s="467"/>
      <c r="BQ123" s="467">
        <v>3851</v>
      </c>
      <c r="BR123" s="467">
        <v>7880</v>
      </c>
      <c r="BS123" s="467">
        <v>7922</v>
      </c>
      <c r="BT123" s="467">
        <v>7849</v>
      </c>
      <c r="BU123" s="467">
        <v>7597</v>
      </c>
      <c r="BV123" s="467">
        <v>7645</v>
      </c>
    </row>
    <row r="124" spans="1:74"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c r="AP124" s="224">
        <f>18+50</f>
        <v>68</v>
      </c>
      <c r="AQ124" s="224">
        <v>65</v>
      </c>
      <c r="AR124" s="224">
        <v>69</v>
      </c>
      <c r="AS124" s="224">
        <f>26+48</f>
        <v>74</v>
      </c>
      <c r="AT124" s="224">
        <f>63+48</f>
        <v>111</v>
      </c>
      <c r="AU124" s="224">
        <f>59+49</f>
        <v>108</v>
      </c>
      <c r="AV124" s="224">
        <f>78+46</f>
        <v>124</v>
      </c>
      <c r="AW124" s="224">
        <f>66+36</f>
        <v>102</v>
      </c>
      <c r="AX124" s="224">
        <f>57+53</f>
        <v>110</v>
      </c>
      <c r="AY124" s="224">
        <f>83+44</f>
        <v>127</v>
      </c>
      <c r="AZ124" s="224">
        <f>112+66</f>
        <v>178</v>
      </c>
      <c r="BA124" s="224">
        <f>92+41</f>
        <v>133</v>
      </c>
      <c r="BB124" s="224">
        <f>81+43</f>
        <v>124</v>
      </c>
      <c r="BC124" s="435">
        <f>91+45</f>
        <v>136</v>
      </c>
      <c r="BD124" s="467">
        <f>96+51</f>
        <v>147</v>
      </c>
      <c r="BE124" s="467">
        <v>151</v>
      </c>
      <c r="BF124" s="467">
        <f>109+46</f>
        <v>155</v>
      </c>
      <c r="BG124" s="467"/>
      <c r="BH124" s="467"/>
      <c r="BI124" s="467"/>
      <c r="BJ124" s="467"/>
      <c r="BK124" s="467"/>
      <c r="BL124" s="467"/>
      <c r="BM124" s="467"/>
      <c r="BN124" s="467"/>
      <c r="BO124" s="467"/>
      <c r="BP124" s="467">
        <v>1632</v>
      </c>
      <c r="BQ124" s="467">
        <v>482</v>
      </c>
      <c r="BR124" s="467">
        <v>205</v>
      </c>
      <c r="BS124" s="467">
        <v>201</v>
      </c>
      <c r="BT124" s="467">
        <v>190</v>
      </c>
      <c r="BU124" s="467">
        <v>182</v>
      </c>
      <c r="BV124" s="467">
        <v>190</v>
      </c>
    </row>
    <row r="125" spans="1:74"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c r="AP125" s="224">
        <f>26+3</f>
        <v>29</v>
      </c>
      <c r="AQ125" s="224">
        <v>24</v>
      </c>
      <c r="AR125" s="224">
        <v>27</v>
      </c>
      <c r="AS125" s="224">
        <f>24+2</f>
        <v>26</v>
      </c>
      <c r="AT125" s="224">
        <f>24+1</f>
        <v>25</v>
      </c>
      <c r="AU125" s="224">
        <v>27</v>
      </c>
      <c r="AV125" s="224">
        <f>29+3</f>
        <v>32</v>
      </c>
      <c r="AW125" s="224">
        <f>26+2</f>
        <v>28</v>
      </c>
      <c r="AX125" s="224">
        <f>15+4</f>
        <v>19</v>
      </c>
      <c r="AY125" s="224">
        <f>15+3</f>
        <v>18</v>
      </c>
      <c r="AZ125" s="224">
        <f>26+2</f>
        <v>28</v>
      </c>
      <c r="BA125" s="224">
        <f>22</f>
        <v>22</v>
      </c>
      <c r="BB125" s="224">
        <v>20</v>
      </c>
      <c r="BC125" s="435">
        <f>18+2</f>
        <v>20</v>
      </c>
      <c r="BD125" s="467">
        <f>23</f>
        <v>23</v>
      </c>
      <c r="BE125" s="467">
        <v>27</v>
      </c>
      <c r="BF125" s="467">
        <v>27</v>
      </c>
      <c r="BG125" s="467"/>
      <c r="BH125" s="467"/>
      <c r="BI125" s="467"/>
      <c r="BJ125" s="467"/>
      <c r="BK125" s="467"/>
      <c r="BL125" s="467"/>
      <c r="BM125" s="467"/>
      <c r="BN125" s="467"/>
      <c r="BO125" s="467"/>
      <c r="BP125" s="467"/>
      <c r="BQ125" s="467">
        <v>60</v>
      </c>
      <c r="BR125" s="467">
        <v>44</v>
      </c>
      <c r="BS125" s="467">
        <v>52</v>
      </c>
      <c r="BT125" s="467">
        <v>53</v>
      </c>
      <c r="BU125" s="467">
        <v>53</v>
      </c>
      <c r="BV125" s="467">
        <v>48</v>
      </c>
    </row>
    <row r="126" spans="1:74"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c r="AP126" s="224">
        <v>0</v>
      </c>
      <c r="AQ126" s="224">
        <v>0</v>
      </c>
      <c r="AR126" s="224">
        <v>0</v>
      </c>
      <c r="AS126" s="224">
        <v>1</v>
      </c>
      <c r="AT126" s="224">
        <v>0</v>
      </c>
      <c r="AU126" s="224">
        <v>0</v>
      </c>
      <c r="AV126" s="224">
        <v>0</v>
      </c>
      <c r="AW126" s="224">
        <v>0</v>
      </c>
      <c r="AX126" s="224">
        <v>0</v>
      </c>
      <c r="AY126" s="224">
        <v>0</v>
      </c>
      <c r="AZ126" s="224">
        <v>0</v>
      </c>
      <c r="BA126" s="224">
        <v>0</v>
      </c>
      <c r="BB126" s="224">
        <v>0</v>
      </c>
      <c r="BC126" s="435">
        <v>0</v>
      </c>
      <c r="BD126" s="468">
        <v>0</v>
      </c>
      <c r="BE126" s="469">
        <v>0</v>
      </c>
      <c r="BF126" s="469">
        <v>0</v>
      </c>
      <c r="BG126" s="469"/>
      <c r="BH126" s="469"/>
      <c r="BI126" s="469"/>
      <c r="BJ126" s="469"/>
      <c r="BK126" s="469"/>
      <c r="BL126" s="469"/>
      <c r="BM126" s="469"/>
      <c r="BN126" s="469"/>
      <c r="BO126" s="469"/>
      <c r="BP126" s="469"/>
      <c r="BQ126" s="469">
        <v>3</v>
      </c>
      <c r="BR126" s="469">
        <v>3</v>
      </c>
      <c r="BS126" s="469">
        <v>3</v>
      </c>
      <c r="BT126" s="469">
        <v>4</v>
      </c>
      <c r="BU126" s="469">
        <v>5</v>
      </c>
      <c r="BV126" s="469">
        <v>5</v>
      </c>
    </row>
    <row r="127" spans="1:74" ht="15.75" thickBot="1" x14ac:dyDescent="0.3">
      <c r="A127" s="4"/>
      <c r="B127" s="36" t="s">
        <v>41</v>
      </c>
      <c r="C127" s="151">
        <f>SUM(C122:C126)</f>
        <v>617</v>
      </c>
      <c r="D127" s="152">
        <f>SUM(D122:D126)</f>
        <v>470</v>
      </c>
      <c r="E127" s="152">
        <f t="shared" ref="E127:AG127" si="103">SUM(E122:E126)</f>
        <v>352</v>
      </c>
      <c r="F127" s="152">
        <f t="shared" si="103"/>
        <v>471</v>
      </c>
      <c r="G127" s="152">
        <f t="shared" si="103"/>
        <v>337</v>
      </c>
      <c r="H127" s="152">
        <f t="shared" si="103"/>
        <v>403</v>
      </c>
      <c r="I127" s="152">
        <f t="shared" si="103"/>
        <v>347</v>
      </c>
      <c r="J127" s="152">
        <f t="shared" si="103"/>
        <v>326</v>
      </c>
      <c r="K127" s="152">
        <f t="shared" si="103"/>
        <v>301</v>
      </c>
      <c r="L127" s="197">
        <f t="shared" si="103"/>
        <v>263</v>
      </c>
      <c r="M127" s="152">
        <f t="shared" si="103"/>
        <v>368</v>
      </c>
      <c r="N127" s="201">
        <f t="shared" si="103"/>
        <v>333</v>
      </c>
      <c r="O127" s="152">
        <f t="shared" si="103"/>
        <v>270</v>
      </c>
      <c r="P127" s="152">
        <f t="shared" si="103"/>
        <v>1458</v>
      </c>
      <c r="Q127" s="152">
        <f t="shared" si="103"/>
        <v>1174</v>
      </c>
      <c r="R127" s="152">
        <f t="shared" si="103"/>
        <v>801</v>
      </c>
      <c r="S127" s="152">
        <f t="shared" si="103"/>
        <v>508</v>
      </c>
      <c r="T127" s="152">
        <f t="shared" si="103"/>
        <v>447</v>
      </c>
      <c r="U127" s="153">
        <f t="shared" si="103"/>
        <v>5868</v>
      </c>
      <c r="V127" s="153">
        <f t="shared" si="103"/>
        <v>6009</v>
      </c>
      <c r="W127" s="153">
        <f t="shared" si="103"/>
        <v>6295</v>
      </c>
      <c r="X127" s="153">
        <f t="shared" si="103"/>
        <v>7080</v>
      </c>
      <c r="Y127" s="153">
        <f t="shared" si="103"/>
        <v>5840</v>
      </c>
      <c r="Z127" s="153">
        <f t="shared" si="103"/>
        <v>5837</v>
      </c>
      <c r="AA127" s="297">
        <f t="shared" si="103"/>
        <v>5752</v>
      </c>
      <c r="AB127" s="298">
        <f t="shared" si="103"/>
        <v>5696</v>
      </c>
      <c r="AC127" s="298">
        <f t="shared" si="103"/>
        <v>5668</v>
      </c>
      <c r="AD127" s="298">
        <f t="shared" si="103"/>
        <v>5513</v>
      </c>
      <c r="AE127" s="298">
        <f t="shared" si="103"/>
        <v>5336</v>
      </c>
      <c r="AF127" s="298">
        <f t="shared" si="103"/>
        <v>4534</v>
      </c>
      <c r="AG127" s="298">
        <f t="shared" si="103"/>
        <v>4597</v>
      </c>
      <c r="AH127" s="298">
        <f t="shared" ref="AH127:BC127" si="104">SUM(AH122:AH126)</f>
        <v>3440</v>
      </c>
      <c r="AI127" s="298">
        <f t="shared" si="104"/>
        <v>3663</v>
      </c>
      <c r="AJ127" s="298">
        <f t="shared" si="104"/>
        <v>3394</v>
      </c>
      <c r="AK127" s="298">
        <f t="shared" si="104"/>
        <v>3379</v>
      </c>
      <c r="AL127" s="298">
        <f t="shared" si="104"/>
        <v>3357</v>
      </c>
      <c r="AM127" s="298">
        <f t="shared" si="104"/>
        <v>3351</v>
      </c>
      <c r="AN127" s="298">
        <f t="shared" si="104"/>
        <v>3455</v>
      </c>
      <c r="AO127" s="298">
        <f t="shared" si="104"/>
        <v>3362</v>
      </c>
      <c r="AP127" s="298">
        <f t="shared" si="104"/>
        <v>3339</v>
      </c>
      <c r="AQ127" s="298">
        <f t="shared" si="104"/>
        <v>3236</v>
      </c>
      <c r="AR127" s="298">
        <f t="shared" si="104"/>
        <v>3335</v>
      </c>
      <c r="AS127" s="298">
        <f t="shared" si="104"/>
        <v>3295</v>
      </c>
      <c r="AT127" s="298">
        <f t="shared" si="104"/>
        <v>3654</v>
      </c>
      <c r="AU127" s="298">
        <f t="shared" si="104"/>
        <v>3706</v>
      </c>
      <c r="AV127" s="298">
        <f t="shared" si="104"/>
        <v>4025</v>
      </c>
      <c r="AW127" s="298">
        <f t="shared" si="104"/>
        <v>3936</v>
      </c>
      <c r="AX127" s="298">
        <f t="shared" si="104"/>
        <v>4312</v>
      </c>
      <c r="AY127" s="298">
        <f t="shared" si="104"/>
        <v>4649</v>
      </c>
      <c r="AZ127" s="298">
        <f t="shared" si="104"/>
        <v>5243</v>
      </c>
      <c r="BA127" s="298">
        <f t="shared" si="104"/>
        <v>4938</v>
      </c>
      <c r="BB127" s="298">
        <f t="shared" si="104"/>
        <v>5061</v>
      </c>
      <c r="BC127" s="298">
        <f t="shared" si="104"/>
        <v>5321</v>
      </c>
      <c r="BD127" s="298">
        <f t="shared" ref="BD127:BV127" si="105">SUM(BD122:BD126)</f>
        <v>5384</v>
      </c>
      <c r="BE127" s="298">
        <f t="shared" si="105"/>
        <v>5437</v>
      </c>
      <c r="BF127" s="298">
        <f t="shared" si="105"/>
        <v>5539</v>
      </c>
      <c r="BG127" s="298">
        <f t="shared" si="105"/>
        <v>0</v>
      </c>
      <c r="BH127" s="298">
        <f t="shared" si="105"/>
        <v>0</v>
      </c>
      <c r="BI127" s="298">
        <f t="shared" si="105"/>
        <v>0</v>
      </c>
      <c r="BJ127" s="298">
        <f t="shared" si="105"/>
        <v>0</v>
      </c>
      <c r="BK127" s="298">
        <f t="shared" si="105"/>
        <v>0</v>
      </c>
      <c r="BL127" s="298">
        <f t="shared" si="105"/>
        <v>0</v>
      </c>
      <c r="BM127" s="298">
        <f t="shared" si="105"/>
        <v>0</v>
      </c>
      <c r="BN127" s="298">
        <f t="shared" si="105"/>
        <v>0</v>
      </c>
      <c r="BO127" s="298">
        <f t="shared" si="105"/>
        <v>0</v>
      </c>
      <c r="BP127" s="298">
        <f t="shared" si="105"/>
        <v>33790</v>
      </c>
      <c r="BQ127" s="298">
        <f t="shared" si="105"/>
        <v>14436</v>
      </c>
      <c r="BR127" s="298">
        <f t="shared" si="105"/>
        <v>26883</v>
      </c>
      <c r="BS127" s="298">
        <f t="shared" si="105"/>
        <v>27330</v>
      </c>
      <c r="BT127" s="298">
        <f t="shared" si="105"/>
        <v>26506</v>
      </c>
      <c r="BU127" s="298">
        <f t="shared" si="105"/>
        <v>26157</v>
      </c>
      <c r="BV127" s="298">
        <f t="shared" si="105"/>
        <v>26888</v>
      </c>
    </row>
    <row r="128" spans="1:74"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472"/>
      <c r="BE128" s="473"/>
      <c r="BF128" s="473"/>
      <c r="BG128" s="473"/>
      <c r="BH128" s="473"/>
      <c r="BI128" s="473"/>
      <c r="BJ128" s="473"/>
      <c r="BK128" s="473"/>
      <c r="BL128" s="473"/>
      <c r="BM128" s="473"/>
      <c r="BN128" s="473"/>
      <c r="BO128" s="473"/>
      <c r="BP128" s="473"/>
      <c r="BQ128" s="473"/>
      <c r="BR128" s="473"/>
      <c r="BS128" s="473"/>
      <c r="BT128" s="473"/>
      <c r="BU128" s="473"/>
      <c r="BV128" s="473"/>
    </row>
    <row r="129" spans="1:74"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c r="AP129" s="224">
        <v>0</v>
      </c>
      <c r="AQ129" s="224">
        <v>0</v>
      </c>
      <c r="AR129" s="224">
        <v>0</v>
      </c>
      <c r="AS129" s="224">
        <v>0</v>
      </c>
      <c r="AT129" s="224">
        <v>0</v>
      </c>
      <c r="AU129" s="224">
        <v>0</v>
      </c>
      <c r="AV129" s="224">
        <v>0</v>
      </c>
      <c r="AW129" s="224">
        <v>0</v>
      </c>
      <c r="AX129" s="224">
        <v>0</v>
      </c>
      <c r="AY129" s="224">
        <v>0</v>
      </c>
      <c r="AZ129" s="224">
        <v>0</v>
      </c>
      <c r="BA129" s="224">
        <v>0</v>
      </c>
      <c r="BB129" s="224">
        <v>0</v>
      </c>
      <c r="BC129" s="224">
        <v>0</v>
      </c>
      <c r="BD129" s="474">
        <v>0</v>
      </c>
      <c r="BE129" s="475">
        <v>0</v>
      </c>
      <c r="BF129" s="475">
        <v>0</v>
      </c>
      <c r="BG129" s="475">
        <v>0</v>
      </c>
      <c r="BH129" s="475">
        <v>0</v>
      </c>
      <c r="BI129" s="475">
        <v>0</v>
      </c>
      <c r="BJ129" s="475">
        <v>0</v>
      </c>
      <c r="BK129" s="475">
        <v>0</v>
      </c>
      <c r="BL129" s="475">
        <v>0</v>
      </c>
      <c r="BM129" s="475">
        <v>0</v>
      </c>
      <c r="BN129" s="475">
        <v>0</v>
      </c>
      <c r="BO129" s="475">
        <v>0</v>
      </c>
      <c r="BP129" s="475">
        <v>0</v>
      </c>
      <c r="BQ129" s="475">
        <v>0</v>
      </c>
      <c r="BR129" s="475">
        <v>0</v>
      </c>
      <c r="BS129" s="475">
        <v>0</v>
      </c>
      <c r="BT129" s="475">
        <v>0</v>
      </c>
      <c r="BU129" s="475">
        <v>0</v>
      </c>
      <c r="BV129" s="475">
        <v>0</v>
      </c>
    </row>
    <row r="130" spans="1:74"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c r="AP130" s="224">
        <v>0</v>
      </c>
      <c r="AQ130" s="224">
        <v>0</v>
      </c>
      <c r="AR130" s="224">
        <v>0</v>
      </c>
      <c r="AS130" s="224">
        <v>0</v>
      </c>
      <c r="AT130" s="224">
        <v>0</v>
      </c>
      <c r="AU130" s="224">
        <v>0</v>
      </c>
      <c r="AV130" s="224">
        <v>0</v>
      </c>
      <c r="AW130" s="224">
        <v>0</v>
      </c>
      <c r="AX130" s="224">
        <v>0</v>
      </c>
      <c r="AY130" s="224">
        <v>0</v>
      </c>
      <c r="AZ130" s="224">
        <v>0</v>
      </c>
      <c r="BA130" s="224">
        <v>0</v>
      </c>
      <c r="BB130" s="224">
        <v>0</v>
      </c>
      <c r="BC130" s="224">
        <v>0</v>
      </c>
      <c r="BD130" s="474">
        <v>0</v>
      </c>
      <c r="BE130" s="475">
        <v>0</v>
      </c>
      <c r="BF130" s="475">
        <v>0</v>
      </c>
      <c r="BG130" s="475">
        <v>0</v>
      </c>
      <c r="BH130" s="475">
        <v>0</v>
      </c>
      <c r="BI130" s="475">
        <v>0</v>
      </c>
      <c r="BJ130" s="475">
        <v>0</v>
      </c>
      <c r="BK130" s="475">
        <v>0</v>
      </c>
      <c r="BL130" s="475">
        <v>0</v>
      </c>
      <c r="BM130" s="475">
        <v>0</v>
      </c>
      <c r="BN130" s="475">
        <v>0</v>
      </c>
      <c r="BO130" s="475">
        <v>0</v>
      </c>
      <c r="BP130" s="475">
        <v>0</v>
      </c>
      <c r="BQ130" s="475">
        <v>0</v>
      </c>
      <c r="BR130" s="475">
        <v>0</v>
      </c>
      <c r="BS130" s="475">
        <v>0</v>
      </c>
      <c r="BT130" s="475">
        <v>0</v>
      </c>
      <c r="BU130" s="475">
        <v>0</v>
      </c>
      <c r="BV130" s="475">
        <v>0</v>
      </c>
    </row>
    <row r="131" spans="1:74"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c r="AP131" s="224">
        <v>0</v>
      </c>
      <c r="AQ131" s="224">
        <v>0</v>
      </c>
      <c r="AR131" s="224">
        <v>0</v>
      </c>
      <c r="AS131" s="224">
        <v>0</v>
      </c>
      <c r="AT131" s="224">
        <v>0</v>
      </c>
      <c r="AU131" s="224">
        <v>0</v>
      </c>
      <c r="AV131" s="224">
        <v>0</v>
      </c>
      <c r="AW131" s="224">
        <v>0</v>
      </c>
      <c r="AX131" s="224">
        <v>0</v>
      </c>
      <c r="AY131" s="224">
        <v>0</v>
      </c>
      <c r="AZ131" s="224">
        <v>0</v>
      </c>
      <c r="BA131" s="224">
        <v>0</v>
      </c>
      <c r="BB131" s="224">
        <v>0</v>
      </c>
      <c r="BC131" s="224">
        <v>0</v>
      </c>
      <c r="BD131" s="474">
        <v>0</v>
      </c>
      <c r="BE131" s="475">
        <v>0</v>
      </c>
      <c r="BF131" s="475">
        <v>0</v>
      </c>
      <c r="BG131" s="475">
        <v>0</v>
      </c>
      <c r="BH131" s="475">
        <v>0</v>
      </c>
      <c r="BI131" s="475">
        <v>0</v>
      </c>
      <c r="BJ131" s="475">
        <v>0</v>
      </c>
      <c r="BK131" s="475">
        <v>0</v>
      </c>
      <c r="BL131" s="475">
        <v>0</v>
      </c>
      <c r="BM131" s="475">
        <v>0</v>
      </c>
      <c r="BN131" s="475">
        <v>0</v>
      </c>
      <c r="BO131" s="475">
        <v>0</v>
      </c>
      <c r="BP131" s="475">
        <v>0</v>
      </c>
      <c r="BQ131" s="475">
        <v>0</v>
      </c>
      <c r="BR131" s="475">
        <v>0</v>
      </c>
      <c r="BS131" s="475">
        <v>0</v>
      </c>
      <c r="BT131" s="475">
        <v>0</v>
      </c>
      <c r="BU131" s="475">
        <v>0</v>
      </c>
      <c r="BV131" s="475">
        <v>0</v>
      </c>
    </row>
    <row r="132" spans="1:74"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c r="AP132" s="224">
        <v>0</v>
      </c>
      <c r="AQ132" s="224">
        <v>0</v>
      </c>
      <c r="AR132" s="224">
        <v>0</v>
      </c>
      <c r="AS132" s="224">
        <v>0</v>
      </c>
      <c r="AT132" s="224">
        <v>0</v>
      </c>
      <c r="AU132" s="224">
        <v>0</v>
      </c>
      <c r="AV132" s="224">
        <v>0</v>
      </c>
      <c r="AW132" s="224">
        <v>0</v>
      </c>
      <c r="AX132" s="224">
        <v>0</v>
      </c>
      <c r="AY132" s="224">
        <v>0</v>
      </c>
      <c r="AZ132" s="224">
        <v>0</v>
      </c>
      <c r="BA132" s="224">
        <v>0</v>
      </c>
      <c r="BB132" s="224">
        <v>0</v>
      </c>
      <c r="BC132" s="224">
        <v>0</v>
      </c>
      <c r="BD132" s="474">
        <v>0</v>
      </c>
      <c r="BE132" s="475">
        <v>0</v>
      </c>
      <c r="BF132" s="475">
        <v>0</v>
      </c>
      <c r="BG132" s="475">
        <v>0</v>
      </c>
      <c r="BH132" s="475">
        <v>0</v>
      </c>
      <c r="BI132" s="475">
        <v>0</v>
      </c>
      <c r="BJ132" s="475">
        <v>0</v>
      </c>
      <c r="BK132" s="475">
        <v>0</v>
      </c>
      <c r="BL132" s="475">
        <v>0</v>
      </c>
      <c r="BM132" s="475">
        <v>0</v>
      </c>
      <c r="BN132" s="475">
        <v>0</v>
      </c>
      <c r="BO132" s="475">
        <v>0</v>
      </c>
      <c r="BP132" s="475">
        <v>0</v>
      </c>
      <c r="BQ132" s="475">
        <v>0</v>
      </c>
      <c r="BR132" s="475">
        <v>0</v>
      </c>
      <c r="BS132" s="475">
        <v>0</v>
      </c>
      <c r="BT132" s="475">
        <v>0</v>
      </c>
      <c r="BU132" s="475">
        <v>0</v>
      </c>
      <c r="BV132" s="475">
        <v>0</v>
      </c>
    </row>
    <row r="133" spans="1:74"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c r="AP133" s="224">
        <v>0</v>
      </c>
      <c r="AQ133" s="224">
        <v>0</v>
      </c>
      <c r="AR133" s="224">
        <v>0</v>
      </c>
      <c r="AS133" s="224">
        <v>0</v>
      </c>
      <c r="AT133" s="224">
        <v>0</v>
      </c>
      <c r="AU133" s="224">
        <v>0</v>
      </c>
      <c r="AV133" s="224">
        <v>0</v>
      </c>
      <c r="AW133" s="224">
        <v>0</v>
      </c>
      <c r="AX133" s="224">
        <v>0</v>
      </c>
      <c r="AY133" s="224">
        <v>0</v>
      </c>
      <c r="AZ133" s="224">
        <v>0</v>
      </c>
      <c r="BA133" s="224">
        <v>0</v>
      </c>
      <c r="BB133" s="224">
        <v>0</v>
      </c>
      <c r="BC133" s="224">
        <v>0</v>
      </c>
      <c r="BD133" s="476">
        <v>0</v>
      </c>
      <c r="BE133" s="465">
        <v>0</v>
      </c>
      <c r="BF133" s="475">
        <v>0</v>
      </c>
      <c r="BG133" s="475">
        <v>0</v>
      </c>
      <c r="BH133" s="475">
        <v>0</v>
      </c>
      <c r="BI133" s="475">
        <v>0</v>
      </c>
      <c r="BJ133" s="475">
        <v>0</v>
      </c>
      <c r="BK133" s="475">
        <v>0</v>
      </c>
      <c r="BL133" s="475">
        <v>0</v>
      </c>
      <c r="BM133" s="475">
        <v>0</v>
      </c>
      <c r="BN133" s="475">
        <v>0</v>
      </c>
      <c r="BO133" s="475">
        <v>0</v>
      </c>
      <c r="BP133" s="475">
        <v>0</v>
      </c>
      <c r="BQ133" s="475">
        <v>0</v>
      </c>
      <c r="BR133" s="475">
        <v>0</v>
      </c>
      <c r="BS133" s="475">
        <v>0</v>
      </c>
      <c r="BT133" s="475">
        <v>0</v>
      </c>
      <c r="BU133" s="475">
        <v>0</v>
      </c>
      <c r="BV133" s="475">
        <v>0</v>
      </c>
    </row>
    <row r="134" spans="1:74" ht="15.75" thickBot="1" x14ac:dyDescent="0.3">
      <c r="A134" s="4"/>
      <c r="B134" s="36" t="s">
        <v>41</v>
      </c>
      <c r="C134" s="220">
        <f>SUM(C129:C133)</f>
        <v>94</v>
      </c>
      <c r="D134" s="201">
        <f>SUM(D129:D133)</f>
        <v>42</v>
      </c>
      <c r="E134" s="201">
        <f t="shared" ref="E134:V134" si="106">SUM(E129:E133)</f>
        <v>48</v>
      </c>
      <c r="F134" s="201">
        <f t="shared" si="106"/>
        <v>43</v>
      </c>
      <c r="G134" s="201">
        <f t="shared" si="106"/>
        <v>24</v>
      </c>
      <c r="H134" s="201">
        <f t="shared" si="106"/>
        <v>43</v>
      </c>
      <c r="I134" s="201">
        <f t="shared" si="106"/>
        <v>47</v>
      </c>
      <c r="J134" s="201">
        <f t="shared" si="106"/>
        <v>0</v>
      </c>
      <c r="K134" s="201">
        <f t="shared" si="106"/>
        <v>0</v>
      </c>
      <c r="L134" s="221">
        <f t="shared" si="106"/>
        <v>0</v>
      </c>
      <c r="M134" s="152">
        <f t="shared" si="106"/>
        <v>0</v>
      </c>
      <c r="N134" s="201">
        <f t="shared" si="106"/>
        <v>0</v>
      </c>
      <c r="O134" s="152">
        <f t="shared" si="106"/>
        <v>0</v>
      </c>
      <c r="P134" s="152">
        <f t="shared" si="106"/>
        <v>0</v>
      </c>
      <c r="Q134" s="152">
        <f t="shared" si="106"/>
        <v>0</v>
      </c>
      <c r="R134" s="152">
        <f t="shared" si="106"/>
        <v>0</v>
      </c>
      <c r="S134" s="152">
        <f t="shared" si="106"/>
        <v>0</v>
      </c>
      <c r="T134" s="152">
        <f t="shared" si="106"/>
        <v>0</v>
      </c>
      <c r="U134" s="153">
        <f t="shared" si="106"/>
        <v>0</v>
      </c>
      <c r="V134" s="246">
        <f t="shared" si="106"/>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c r="AP134" s="327">
        <v>0</v>
      </c>
      <c r="AQ134" s="327">
        <v>0</v>
      </c>
      <c r="AR134" s="327">
        <v>0</v>
      </c>
      <c r="AS134" s="327">
        <v>0</v>
      </c>
      <c r="AT134" s="327">
        <v>0</v>
      </c>
      <c r="AU134" s="327">
        <v>0</v>
      </c>
      <c r="AV134" s="327">
        <v>0</v>
      </c>
      <c r="AW134" s="327">
        <v>0</v>
      </c>
      <c r="AX134" s="327">
        <v>0</v>
      </c>
      <c r="AY134" s="327">
        <v>0</v>
      </c>
      <c r="AZ134" s="327">
        <v>0</v>
      </c>
      <c r="BA134" s="327">
        <v>0</v>
      </c>
      <c r="BB134" s="327">
        <v>0</v>
      </c>
      <c r="BC134" s="327">
        <v>0</v>
      </c>
      <c r="BD134" s="470">
        <v>0</v>
      </c>
      <c r="BE134" s="471">
        <v>0</v>
      </c>
      <c r="BF134" s="327">
        <v>0</v>
      </c>
      <c r="BG134" s="327">
        <v>0</v>
      </c>
      <c r="BH134" s="327">
        <v>0</v>
      </c>
      <c r="BI134" s="327">
        <v>0</v>
      </c>
      <c r="BJ134" s="327">
        <v>0</v>
      </c>
      <c r="BK134" s="327">
        <v>0</v>
      </c>
      <c r="BL134" s="327">
        <v>0</v>
      </c>
      <c r="BM134" s="327">
        <v>0</v>
      </c>
      <c r="BN134" s="327">
        <v>0</v>
      </c>
      <c r="BO134" s="327">
        <v>0</v>
      </c>
      <c r="BP134" s="327">
        <v>0</v>
      </c>
      <c r="BQ134" s="327">
        <v>0</v>
      </c>
      <c r="BR134" s="327">
        <v>0</v>
      </c>
      <c r="BS134" s="327">
        <v>0</v>
      </c>
      <c r="BT134" s="327">
        <v>0</v>
      </c>
      <c r="BU134" s="327">
        <v>0</v>
      </c>
      <c r="BV134" s="327">
        <v>0</v>
      </c>
    </row>
    <row r="135" spans="1:74" ht="15.75" thickTop="1" x14ac:dyDescent="0.25">
      <c r="A135" s="4"/>
    </row>
    <row r="136" spans="1:74" x14ac:dyDescent="0.25">
      <c r="B136" s="1" t="s">
        <v>27</v>
      </c>
    </row>
    <row r="137" spans="1:74" x14ac:dyDescent="0.25">
      <c r="B137" s="33" t="s">
        <v>28</v>
      </c>
    </row>
    <row r="140" spans="1:74" x14ac:dyDescent="0.25">
      <c r="B140" s="34" t="s">
        <v>26</v>
      </c>
    </row>
    <row r="141" spans="1:74" ht="97.5" customHeight="1" x14ac:dyDescent="0.25">
      <c r="B141" s="228"/>
      <c r="C141" s="889"/>
      <c r="D141" s="889"/>
      <c r="E141" s="889"/>
      <c r="F141" s="889"/>
      <c r="G141" s="889"/>
      <c r="H141" s="889"/>
      <c r="I141" s="889"/>
      <c r="J141" s="889"/>
      <c r="K141" s="889"/>
      <c r="L141" s="889"/>
    </row>
    <row r="142" spans="1:74" ht="52.5" customHeight="1" x14ac:dyDescent="0.25">
      <c r="B142" s="228"/>
      <c r="C142" s="905"/>
      <c r="D142" s="905"/>
      <c r="E142" s="905"/>
      <c r="F142" s="905"/>
      <c r="G142" s="905"/>
      <c r="H142" s="905"/>
      <c r="I142" s="905"/>
      <c r="J142" s="905"/>
      <c r="K142" s="905"/>
      <c r="L142" s="905"/>
    </row>
    <row r="143" spans="1:74" ht="36.75" customHeight="1" x14ac:dyDescent="0.25">
      <c r="B143" s="228"/>
      <c r="C143" s="889"/>
      <c r="D143" s="889"/>
      <c r="E143" s="889"/>
      <c r="F143" s="889"/>
      <c r="G143" s="889"/>
      <c r="H143" s="889"/>
      <c r="I143" s="889"/>
      <c r="J143" s="889"/>
      <c r="K143" s="889"/>
      <c r="L143" s="889"/>
    </row>
    <row r="144" spans="1:74" ht="54" customHeight="1" x14ac:dyDescent="0.25">
      <c r="B144" s="228"/>
      <c r="C144" s="889"/>
      <c r="D144" s="889"/>
      <c r="E144" s="889"/>
      <c r="F144" s="889"/>
      <c r="G144" s="889"/>
      <c r="H144" s="889"/>
      <c r="I144" s="889"/>
      <c r="J144" s="889"/>
      <c r="K144" s="889"/>
      <c r="L144" s="889"/>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44"/>
  <sheetViews>
    <sheetView workbookViewId="0">
      <pane xSplit="1" topLeftCell="AF1" activePane="topRight" state="frozen"/>
      <selection pane="topRight" activeCell="AR65" sqref="AR65"/>
    </sheetView>
  </sheetViews>
  <sheetFormatPr defaultColWidth="9.140625" defaultRowHeight="15" x14ac:dyDescent="0.25"/>
  <cols>
    <col min="1" max="1" width="63" customWidth="1"/>
    <col min="2" max="2" width="13.5703125" bestFit="1" customWidth="1"/>
    <col min="3" max="3" width="11.85546875" style="738" customWidth="1"/>
    <col min="4" max="11" width="10.85546875" bestFit="1" customWidth="1"/>
    <col min="12" max="14" width="11.85546875" bestFit="1" customWidth="1"/>
    <col min="15" max="15" width="11.42578125" style="739" bestFit="1" customWidth="1"/>
    <col min="16" max="18" width="10.85546875" bestFit="1" customWidth="1"/>
    <col min="19" max="21" width="11.42578125" bestFit="1" customWidth="1"/>
    <col min="22" max="22" width="10.85546875" style="525" bestFit="1" customWidth="1"/>
    <col min="23" max="23" width="11.42578125" style="525" bestFit="1" customWidth="1"/>
    <col min="24" max="24" width="10.85546875" style="525" bestFit="1" customWidth="1"/>
    <col min="25" max="27" width="10.85546875" bestFit="1" customWidth="1"/>
    <col min="28" max="28" width="12.5703125" customWidth="1"/>
    <col min="29" max="29" width="12.5703125" bestFit="1" customWidth="1"/>
    <col min="30" max="30" width="14.28515625" style="500" bestFit="1" customWidth="1"/>
    <col min="31" max="40" width="12.7109375" style="500" bestFit="1" customWidth="1"/>
  </cols>
  <sheetData>
    <row r="1" spans="1:40" ht="16.5" thickTop="1" thickBot="1" x14ac:dyDescent="0.3">
      <c r="A1" s="895" t="s">
        <v>19</v>
      </c>
      <c r="B1" s="896"/>
      <c r="C1" s="896"/>
      <c r="D1" s="896"/>
      <c r="E1" s="896"/>
      <c r="F1" s="896"/>
      <c r="G1" s="896"/>
      <c r="H1" s="896"/>
      <c r="I1" s="896"/>
      <c r="J1" s="896"/>
      <c r="K1" s="896"/>
      <c r="L1" s="896"/>
      <c r="M1" s="896"/>
      <c r="N1" s="896"/>
      <c r="O1" s="896"/>
      <c r="P1" s="896"/>
      <c r="Q1" s="896"/>
      <c r="R1" s="896"/>
      <c r="S1" s="896"/>
      <c r="T1" s="896"/>
      <c r="U1" s="896"/>
      <c r="V1" s="896"/>
      <c r="W1" s="598"/>
      <c r="X1" s="598"/>
      <c r="Y1" s="497"/>
      <c r="Z1" s="497"/>
      <c r="AA1" s="498"/>
    </row>
    <row r="2" spans="1:40" ht="27.6" customHeight="1" thickTop="1" thickBot="1" x14ac:dyDescent="0.3">
      <c r="A2" s="5" t="s">
        <v>0</v>
      </c>
      <c r="B2" s="898" t="s">
        <v>57</v>
      </c>
      <c r="C2" s="899"/>
      <c r="D2" s="899"/>
      <c r="E2" s="899"/>
      <c r="F2" s="899"/>
      <c r="G2" s="899"/>
      <c r="H2" s="899"/>
      <c r="I2" s="9"/>
      <c r="J2" s="501"/>
      <c r="K2" s="501"/>
      <c r="L2" s="501"/>
      <c r="M2" s="501"/>
      <c r="N2" s="501"/>
      <c r="O2" s="599"/>
      <c r="P2" s="501"/>
      <c r="Q2" s="501"/>
      <c r="R2" s="501"/>
      <c r="S2" s="501"/>
      <c r="T2" s="501"/>
      <c r="U2" s="501"/>
      <c r="V2" s="600"/>
    </row>
    <row r="3" spans="1:40" ht="27.6" customHeight="1" thickTop="1" thickBot="1" x14ac:dyDescent="0.3">
      <c r="A3" s="5" t="s">
        <v>1</v>
      </c>
      <c r="B3" s="898" t="s">
        <v>48</v>
      </c>
      <c r="C3" s="899"/>
      <c r="D3" s="899"/>
      <c r="E3" s="899"/>
      <c r="F3" s="899"/>
      <c r="G3" s="899"/>
      <c r="H3" s="899"/>
      <c r="I3" s="9"/>
      <c r="J3" s="9"/>
      <c r="K3" s="9"/>
      <c r="L3" s="9"/>
      <c r="M3" s="9"/>
      <c r="N3" s="9"/>
      <c r="O3" s="601"/>
      <c r="P3" s="9"/>
      <c r="Q3" s="9"/>
      <c r="R3" s="9"/>
      <c r="S3" s="9"/>
      <c r="T3" s="9"/>
      <c r="U3" s="9"/>
      <c r="V3" s="602"/>
    </row>
    <row r="4" spans="1:40" ht="27.6" customHeight="1" thickTop="1" thickBot="1" x14ac:dyDescent="0.3">
      <c r="A4" s="5" t="s">
        <v>2</v>
      </c>
      <c r="B4" s="900"/>
      <c r="C4" s="901"/>
      <c r="D4" s="901"/>
      <c r="E4" s="901"/>
      <c r="F4" s="901"/>
      <c r="G4" s="901"/>
      <c r="H4" s="901"/>
      <c r="I4" s="9"/>
      <c r="J4" s="9"/>
      <c r="K4" s="9"/>
      <c r="L4" s="9"/>
      <c r="M4" s="9"/>
      <c r="N4" s="9"/>
      <c r="O4" s="601"/>
      <c r="P4" s="9"/>
      <c r="Q4" s="9"/>
      <c r="R4" s="9"/>
      <c r="S4" s="9"/>
      <c r="T4" s="9"/>
      <c r="U4" s="9"/>
      <c r="V4" s="600"/>
    </row>
    <row r="5" spans="1:40" ht="15.75" thickTop="1" x14ac:dyDescent="0.25">
      <c r="A5" s="5"/>
      <c r="B5" s="502"/>
      <c r="C5" s="603"/>
      <c r="D5" s="502"/>
      <c r="E5" s="9"/>
      <c r="F5" s="501"/>
      <c r="G5" s="9"/>
      <c r="H5" s="501"/>
      <c r="I5" s="9"/>
      <c r="J5" s="9"/>
      <c r="K5" s="9"/>
      <c r="L5" s="9"/>
      <c r="M5" s="9"/>
      <c r="N5" s="9"/>
      <c r="O5" s="601"/>
      <c r="P5" s="9"/>
      <c r="Q5" s="9"/>
      <c r="R5" s="9"/>
      <c r="S5" s="9"/>
      <c r="T5" s="9"/>
      <c r="U5" s="9"/>
      <c r="V5" s="600"/>
    </row>
    <row r="6" spans="1:40" ht="15.75" thickBot="1" x14ac:dyDescent="0.3">
      <c r="A6" s="13"/>
      <c r="B6" s="503"/>
      <c r="C6" s="604"/>
      <c r="D6" s="18"/>
      <c r="E6" s="18"/>
      <c r="F6" s="17"/>
      <c r="G6" s="18"/>
      <c r="H6" s="17"/>
      <c r="I6" s="504"/>
      <c r="J6" s="18"/>
      <c r="K6" s="18"/>
      <c r="L6" s="18"/>
      <c r="M6" s="18"/>
      <c r="N6" s="18"/>
      <c r="O6" s="605"/>
      <c r="P6" s="18"/>
      <c r="Q6" s="18"/>
      <c r="R6" s="18"/>
      <c r="S6" s="18"/>
      <c r="T6" s="18"/>
      <c r="U6" s="18"/>
      <c r="V6" s="606"/>
    </row>
    <row r="7" spans="1:40" s="507" customFormat="1" ht="15.75" thickBot="1" x14ac:dyDescent="0.3">
      <c r="A7" s="21"/>
      <c r="B7" s="607"/>
      <c r="C7" s="608"/>
      <c r="D7" s="505"/>
      <c r="E7" s="505"/>
      <c r="F7" s="505"/>
      <c r="G7" s="505"/>
      <c r="H7" s="505"/>
      <c r="I7" s="505"/>
      <c r="J7" s="505"/>
      <c r="K7" s="609"/>
      <c r="L7" s="506"/>
      <c r="M7" s="506"/>
      <c r="N7" s="610"/>
      <c r="O7" s="611"/>
      <c r="P7" s="505"/>
      <c r="Q7" s="505"/>
      <c r="R7" s="505"/>
      <c r="S7" s="505"/>
      <c r="T7" s="612"/>
      <c r="U7" s="607"/>
      <c r="V7" s="613"/>
      <c r="W7" s="613"/>
      <c r="X7" s="613"/>
      <c r="Y7" s="505"/>
      <c r="Z7" s="505"/>
      <c r="AA7" s="612"/>
      <c r="AB7" s="614"/>
      <c r="AC7" s="615"/>
      <c r="AD7" s="616"/>
      <c r="AE7" s="616"/>
      <c r="AF7" s="617"/>
      <c r="AG7" s="617"/>
      <c r="AH7" s="617"/>
      <c r="AI7" s="617"/>
      <c r="AJ7" s="617"/>
      <c r="AK7" s="617"/>
      <c r="AL7" s="617"/>
      <c r="AM7" s="617"/>
      <c r="AN7" s="617"/>
    </row>
    <row r="8" spans="1:40" ht="15.75" thickBot="1" x14ac:dyDescent="0.3">
      <c r="A8" s="27"/>
      <c r="B8" s="361">
        <v>44203</v>
      </c>
      <c r="C8" s="244">
        <v>44210</v>
      </c>
      <c r="D8" s="244">
        <v>44217</v>
      </c>
      <c r="E8" s="244">
        <v>44224</v>
      </c>
      <c r="F8" s="244">
        <v>44231</v>
      </c>
      <c r="G8" s="244">
        <v>44238</v>
      </c>
      <c r="H8" s="244">
        <v>44245</v>
      </c>
      <c r="I8" s="244">
        <v>44252</v>
      </c>
      <c r="J8" s="244">
        <v>44259</v>
      </c>
      <c r="K8" s="618">
        <v>44266</v>
      </c>
      <c r="L8" s="441">
        <v>44273</v>
      </c>
      <c r="M8" s="440">
        <v>44280</v>
      </c>
      <c r="N8" s="441">
        <v>44287</v>
      </c>
      <c r="O8" s="619">
        <v>44294</v>
      </c>
      <c r="P8" s="244">
        <v>44301</v>
      </c>
      <c r="Q8" s="244">
        <v>44308</v>
      </c>
      <c r="R8" s="244">
        <v>44315</v>
      </c>
      <c r="S8" s="244">
        <v>44322</v>
      </c>
      <c r="T8" s="439">
        <v>44328</v>
      </c>
      <c r="U8" s="361">
        <v>44336</v>
      </c>
      <c r="V8" s="244">
        <v>44343</v>
      </c>
      <c r="W8" s="244">
        <v>44350</v>
      </c>
      <c r="X8" s="244">
        <v>44357</v>
      </c>
      <c r="Y8" s="244">
        <v>44364</v>
      </c>
      <c r="Z8" s="244">
        <v>44371</v>
      </c>
      <c r="AA8" s="248">
        <v>44378</v>
      </c>
      <c r="AB8" s="620">
        <v>44385</v>
      </c>
      <c r="AC8" s="621">
        <v>44392</v>
      </c>
      <c r="AD8" s="622">
        <v>44399</v>
      </c>
      <c r="AE8" s="622">
        <v>44406</v>
      </c>
      <c r="AF8" s="623">
        <v>44413</v>
      </c>
      <c r="AG8" s="623">
        <v>44420</v>
      </c>
      <c r="AH8" s="623">
        <v>44427</v>
      </c>
      <c r="AI8" s="623">
        <v>44434</v>
      </c>
      <c r="AJ8" s="623">
        <v>44441</v>
      </c>
      <c r="AK8" s="623"/>
      <c r="AL8" s="623"/>
      <c r="AM8" s="623"/>
      <c r="AN8" s="623"/>
    </row>
    <row r="9" spans="1:40" x14ac:dyDescent="0.25">
      <c r="A9" s="41" t="s">
        <v>18</v>
      </c>
      <c r="B9" s="61"/>
      <c r="C9" s="56"/>
      <c r="D9" s="62"/>
      <c r="E9" s="62"/>
      <c r="F9" s="62"/>
      <c r="G9" s="62"/>
      <c r="H9" s="62"/>
      <c r="I9" s="62"/>
      <c r="J9" s="62"/>
      <c r="K9" s="63"/>
      <c r="L9" s="64"/>
      <c r="M9" s="62"/>
      <c r="N9" s="64"/>
      <c r="O9" s="624"/>
      <c r="P9" s="62"/>
      <c r="Q9" s="62"/>
      <c r="R9" s="62"/>
      <c r="S9" s="62"/>
      <c r="T9" s="170"/>
      <c r="U9" s="64"/>
      <c r="V9" s="582"/>
      <c r="W9" s="625"/>
      <c r="X9" s="625"/>
      <c r="Y9" s="513"/>
      <c r="Z9" s="513"/>
      <c r="AA9" s="626"/>
      <c r="AB9" s="627"/>
      <c r="AC9" s="628"/>
      <c r="AD9" s="309"/>
      <c r="AE9" s="629"/>
      <c r="AF9" s="630"/>
      <c r="AG9" s="630"/>
      <c r="AH9" s="630"/>
      <c r="AI9" s="630"/>
      <c r="AJ9" s="630"/>
      <c r="AK9" s="630"/>
      <c r="AL9" s="630"/>
      <c r="AM9" s="630"/>
      <c r="AN9" s="630"/>
    </row>
    <row r="10" spans="1:40" x14ac:dyDescent="0.25">
      <c r="A10" s="35" t="s">
        <v>36</v>
      </c>
      <c r="B10" s="131">
        <v>841</v>
      </c>
      <c r="C10" s="69">
        <v>858</v>
      </c>
      <c r="D10" s="69">
        <v>739</v>
      </c>
      <c r="E10" s="69">
        <v>707</v>
      </c>
      <c r="F10" s="69">
        <v>962</v>
      </c>
      <c r="G10" s="69">
        <v>821</v>
      </c>
      <c r="H10" s="69">
        <v>781</v>
      </c>
      <c r="I10" s="69">
        <v>728</v>
      </c>
      <c r="J10" s="69">
        <v>1082</v>
      </c>
      <c r="K10" s="242">
        <v>1018</v>
      </c>
      <c r="L10" s="68">
        <v>944</v>
      </c>
      <c r="M10" s="68">
        <v>858</v>
      </c>
      <c r="N10" s="68">
        <v>930</v>
      </c>
      <c r="O10" s="631">
        <v>813</v>
      </c>
      <c r="P10" s="631">
        <v>734</v>
      </c>
      <c r="Q10" s="631">
        <f>Q17+Q24+Q31</f>
        <v>691</v>
      </c>
      <c r="R10" s="68">
        <v>652</v>
      </c>
      <c r="S10" s="68"/>
      <c r="T10" s="68"/>
      <c r="U10" s="68"/>
      <c r="V10" s="583"/>
      <c r="W10" s="583"/>
      <c r="X10" s="583"/>
      <c r="Y10" s="68"/>
      <c r="Z10" s="68"/>
      <c r="AA10" s="131"/>
      <c r="AB10" s="131"/>
      <c r="AC10" s="131"/>
      <c r="AD10" s="131"/>
      <c r="AE10" s="131"/>
      <c r="AF10" s="131"/>
      <c r="AG10" s="131"/>
      <c r="AH10" s="131"/>
      <c r="AI10" s="131"/>
      <c r="AJ10" s="131"/>
      <c r="AK10" s="131"/>
      <c r="AL10" s="131"/>
      <c r="AM10" s="131"/>
      <c r="AN10" s="131"/>
    </row>
    <row r="11" spans="1:40" x14ac:dyDescent="0.25">
      <c r="A11" s="35" t="s">
        <v>37</v>
      </c>
      <c r="B11" s="131">
        <v>186</v>
      </c>
      <c r="C11" s="69">
        <v>185</v>
      </c>
      <c r="D11" s="69">
        <v>179</v>
      </c>
      <c r="E11" s="69">
        <v>169</v>
      </c>
      <c r="F11" s="69">
        <v>226</v>
      </c>
      <c r="G11" s="69">
        <v>220</v>
      </c>
      <c r="H11" s="69">
        <v>223</v>
      </c>
      <c r="I11" s="69">
        <v>223</v>
      </c>
      <c r="J11" s="69">
        <v>306</v>
      </c>
      <c r="K11" s="242">
        <v>301</v>
      </c>
      <c r="L11" s="68">
        <v>285</v>
      </c>
      <c r="M11" s="68">
        <v>263</v>
      </c>
      <c r="N11" s="68">
        <v>226</v>
      </c>
      <c r="O11" s="631">
        <v>233</v>
      </c>
      <c r="P11" s="631">
        <v>215</v>
      </c>
      <c r="Q11" s="631">
        <f>Q18+Q25+Q32</f>
        <v>203</v>
      </c>
      <c r="R11" s="68">
        <v>292</v>
      </c>
      <c r="S11" s="68"/>
      <c r="T11" s="68"/>
      <c r="U11" s="68"/>
      <c r="V11" s="583"/>
      <c r="W11" s="583"/>
      <c r="X11" s="583"/>
      <c r="Y11" s="68"/>
      <c r="Z11" s="68"/>
      <c r="AA11" s="131"/>
      <c r="AB11" s="131"/>
      <c r="AC11" s="131"/>
      <c r="AD11" s="131"/>
      <c r="AE11" s="131"/>
      <c r="AF11" s="131"/>
      <c r="AG11" s="131"/>
      <c r="AH11" s="131"/>
      <c r="AI11" s="131"/>
      <c r="AJ11" s="131"/>
      <c r="AK11" s="131"/>
      <c r="AL11" s="131"/>
      <c r="AM11" s="131"/>
      <c r="AN11" s="131"/>
    </row>
    <row r="12" spans="1:40" x14ac:dyDescent="0.25">
      <c r="A12" s="35" t="s">
        <v>38</v>
      </c>
      <c r="B12" s="131">
        <v>62</v>
      </c>
      <c r="C12" s="69">
        <v>59</v>
      </c>
      <c r="D12" s="69">
        <v>47</v>
      </c>
      <c r="E12" s="69">
        <v>41</v>
      </c>
      <c r="F12" s="69">
        <v>88</v>
      </c>
      <c r="G12" s="69">
        <v>54</v>
      </c>
      <c r="H12" s="69">
        <v>51</v>
      </c>
      <c r="I12" s="69">
        <v>46</v>
      </c>
      <c r="J12" s="69">
        <v>120</v>
      </c>
      <c r="K12" s="242">
        <v>101</v>
      </c>
      <c r="L12" s="68">
        <v>78</v>
      </c>
      <c r="M12" s="68">
        <v>78</v>
      </c>
      <c r="N12" s="68">
        <v>97</v>
      </c>
      <c r="O12" s="631">
        <v>90</v>
      </c>
      <c r="P12" s="631">
        <v>82</v>
      </c>
      <c r="Q12" s="631">
        <f>Q19+Q26+Q33</f>
        <v>71</v>
      </c>
      <c r="R12" s="68">
        <v>117</v>
      </c>
      <c r="S12" s="68"/>
      <c r="T12" s="68"/>
      <c r="U12" s="68"/>
      <c r="V12" s="583"/>
      <c r="W12" s="583"/>
      <c r="X12" s="583"/>
      <c r="Y12" s="68"/>
      <c r="Z12" s="68"/>
      <c r="AA12" s="131"/>
      <c r="AB12" s="131"/>
      <c r="AC12" s="131"/>
      <c r="AD12" s="131"/>
      <c r="AE12" s="131"/>
      <c r="AF12" s="131"/>
      <c r="AG12" s="131"/>
      <c r="AH12" s="131"/>
      <c r="AI12" s="131"/>
      <c r="AJ12" s="131"/>
      <c r="AK12" s="131"/>
      <c r="AL12" s="131"/>
      <c r="AM12" s="131"/>
      <c r="AN12" s="131"/>
    </row>
    <row r="13" spans="1:40" x14ac:dyDescent="0.25">
      <c r="A13" s="35" t="s">
        <v>39</v>
      </c>
      <c r="B13" s="131"/>
      <c r="C13" s="69"/>
      <c r="D13" s="69"/>
      <c r="E13" s="69"/>
      <c r="F13" s="69"/>
      <c r="G13" s="69"/>
      <c r="H13" s="69"/>
      <c r="I13" s="69"/>
      <c r="J13" s="69"/>
      <c r="K13" s="242"/>
      <c r="L13" s="68"/>
      <c r="M13" s="68"/>
      <c r="N13" s="68"/>
      <c r="O13" s="632"/>
      <c r="P13" s="68"/>
      <c r="Q13" s="68"/>
      <c r="R13" s="68"/>
      <c r="S13" s="68"/>
      <c r="T13" s="68"/>
      <c r="U13" s="68"/>
      <c r="V13" s="583"/>
      <c r="W13" s="583"/>
      <c r="X13" s="583"/>
      <c r="Y13" s="68"/>
      <c r="Z13" s="68"/>
      <c r="AA13" s="131"/>
      <c r="AB13" s="131"/>
      <c r="AC13" s="131"/>
      <c r="AD13" s="131"/>
      <c r="AE13" s="131"/>
      <c r="AF13" s="131"/>
      <c r="AG13" s="131"/>
      <c r="AH13" s="131"/>
      <c r="AI13" s="131"/>
      <c r="AJ13" s="131"/>
      <c r="AK13" s="131"/>
      <c r="AL13" s="131"/>
      <c r="AM13" s="131"/>
      <c r="AN13" s="131"/>
    </row>
    <row r="14" spans="1:40" x14ac:dyDescent="0.25">
      <c r="A14" s="35" t="s">
        <v>62</v>
      </c>
      <c r="B14" s="131">
        <v>0</v>
      </c>
      <c r="C14" s="69"/>
      <c r="D14" s="69"/>
      <c r="E14" s="69"/>
      <c r="F14" s="69"/>
      <c r="G14" s="69"/>
      <c r="H14" s="69"/>
      <c r="I14" s="69"/>
      <c r="J14" s="69"/>
      <c r="K14" s="242"/>
      <c r="L14" s="68"/>
      <c r="M14" s="68"/>
      <c r="N14" s="68"/>
      <c r="O14" s="632"/>
      <c r="P14" s="68"/>
      <c r="Q14" s="68"/>
      <c r="R14" s="68"/>
      <c r="S14" s="68"/>
      <c r="T14" s="68"/>
      <c r="U14" s="68"/>
      <c r="V14" s="583"/>
      <c r="W14" s="583"/>
      <c r="X14" s="583"/>
      <c r="Y14" s="68"/>
      <c r="Z14" s="68"/>
      <c r="AA14" s="131"/>
      <c r="AB14" s="131"/>
      <c r="AC14" s="131"/>
      <c r="AD14" s="131"/>
      <c r="AE14" s="131"/>
      <c r="AF14" s="131"/>
      <c r="AG14" s="131"/>
      <c r="AH14" s="131"/>
      <c r="AI14" s="131"/>
      <c r="AJ14" s="131"/>
      <c r="AK14" s="131"/>
      <c r="AL14" s="131"/>
      <c r="AM14" s="131"/>
      <c r="AN14" s="131"/>
    </row>
    <row r="15" spans="1:40" x14ac:dyDescent="0.25">
      <c r="A15" s="35" t="s">
        <v>41</v>
      </c>
      <c r="B15" s="131">
        <f>SUM(B10:B14)</f>
        <v>1089</v>
      </c>
      <c r="C15" s="131">
        <f t="shared" ref="C15:R15" si="0">SUM(C10:C14)</f>
        <v>1102</v>
      </c>
      <c r="D15" s="131">
        <f t="shared" si="0"/>
        <v>965</v>
      </c>
      <c r="E15" s="131">
        <f t="shared" si="0"/>
        <v>917</v>
      </c>
      <c r="F15" s="131">
        <f t="shared" si="0"/>
        <v>1276</v>
      </c>
      <c r="G15" s="131">
        <f t="shared" si="0"/>
        <v>1095</v>
      </c>
      <c r="H15" s="131">
        <f t="shared" si="0"/>
        <v>1055</v>
      </c>
      <c r="I15" s="131">
        <f t="shared" si="0"/>
        <v>997</v>
      </c>
      <c r="J15" s="131">
        <f t="shared" si="0"/>
        <v>1508</v>
      </c>
      <c r="K15" s="131">
        <f t="shared" si="0"/>
        <v>1420</v>
      </c>
      <c r="L15" s="131">
        <f t="shared" si="0"/>
        <v>1307</v>
      </c>
      <c r="M15" s="131">
        <f t="shared" si="0"/>
        <v>1199</v>
      </c>
      <c r="N15" s="131">
        <f t="shared" si="0"/>
        <v>1253</v>
      </c>
      <c r="O15" s="516">
        <f t="shared" si="0"/>
        <v>1136</v>
      </c>
      <c r="P15" s="516">
        <f t="shared" si="0"/>
        <v>1031</v>
      </c>
      <c r="Q15" s="516">
        <f t="shared" si="0"/>
        <v>965</v>
      </c>
      <c r="R15" s="516">
        <f t="shared" si="0"/>
        <v>1061</v>
      </c>
      <c r="S15" s="71"/>
      <c r="T15" s="171"/>
      <c r="U15" s="171"/>
      <c r="V15" s="484"/>
      <c r="W15" s="484"/>
      <c r="X15" s="484"/>
      <c r="Y15" s="171"/>
      <c r="Z15" s="171"/>
      <c r="AA15" s="242"/>
      <c r="AB15" s="242"/>
      <c r="AC15" s="242"/>
      <c r="AD15" s="242"/>
      <c r="AE15" s="242"/>
      <c r="AF15" s="242"/>
      <c r="AG15" s="242"/>
      <c r="AH15" s="242"/>
      <c r="AI15" s="242"/>
      <c r="AJ15" s="242"/>
      <c r="AK15" s="242"/>
      <c r="AL15" s="242"/>
      <c r="AM15" s="242"/>
      <c r="AN15" s="242"/>
    </row>
    <row r="16" spans="1:40" x14ac:dyDescent="0.25">
      <c r="A16" s="42" t="s">
        <v>21</v>
      </c>
      <c r="B16" s="68"/>
      <c r="C16" s="69"/>
      <c r="D16" s="69"/>
      <c r="E16" s="69"/>
      <c r="F16" s="69"/>
      <c r="G16" s="69"/>
      <c r="H16" s="69"/>
      <c r="I16" s="69"/>
      <c r="J16" s="69"/>
      <c r="K16" s="70"/>
      <c r="L16" s="71"/>
      <c r="M16" s="69"/>
      <c r="N16" s="71"/>
      <c r="O16" s="633"/>
      <c r="P16" s="69"/>
      <c r="Q16" s="69"/>
      <c r="R16" s="69"/>
      <c r="S16" s="69"/>
      <c r="T16" s="171"/>
      <c r="U16" s="71"/>
      <c r="V16" s="584"/>
      <c r="W16" s="634"/>
      <c r="X16" s="634"/>
      <c r="Y16" s="517"/>
      <c r="Z16" s="517"/>
      <c r="AA16" s="635"/>
      <c r="AB16" s="636"/>
      <c r="AC16" s="637"/>
      <c r="AD16" s="212"/>
      <c r="AE16" s="555"/>
      <c r="AF16" s="556"/>
      <c r="AG16" s="556"/>
      <c r="AH16" s="556"/>
      <c r="AI16" s="556"/>
      <c r="AJ16" s="556"/>
      <c r="AK16" s="556"/>
      <c r="AL16" s="556"/>
      <c r="AM16" s="556"/>
      <c r="AN16" s="556"/>
    </row>
    <row r="17" spans="1:40" x14ac:dyDescent="0.25">
      <c r="A17" s="35" t="s">
        <v>36</v>
      </c>
      <c r="B17" s="68">
        <v>338</v>
      </c>
      <c r="C17" s="69">
        <v>350</v>
      </c>
      <c r="D17" s="69">
        <v>282</v>
      </c>
      <c r="E17" s="69">
        <v>265</v>
      </c>
      <c r="F17" s="69">
        <v>437</v>
      </c>
      <c r="G17" s="69">
        <v>333</v>
      </c>
      <c r="H17" s="69">
        <v>308</v>
      </c>
      <c r="I17" s="69">
        <v>280</v>
      </c>
      <c r="J17" s="69">
        <v>568</v>
      </c>
      <c r="K17" s="70">
        <v>527</v>
      </c>
      <c r="L17" s="71">
        <v>473</v>
      </c>
      <c r="M17" s="69">
        <v>440</v>
      </c>
      <c r="N17" s="71">
        <v>645</v>
      </c>
      <c r="O17" s="638">
        <v>550</v>
      </c>
      <c r="P17" s="638">
        <v>500</v>
      </c>
      <c r="Q17" s="638">
        <v>475</v>
      </c>
      <c r="R17" s="638">
        <v>450</v>
      </c>
      <c r="S17" s="69"/>
      <c r="T17" s="171"/>
      <c r="U17" s="71"/>
      <c r="V17" s="340"/>
      <c r="W17" s="340"/>
      <c r="X17" s="340"/>
      <c r="Y17" s="71"/>
      <c r="Z17" s="71"/>
      <c r="AA17" s="242"/>
      <c r="AB17" s="639"/>
      <c r="AC17" s="640"/>
      <c r="AD17" s="212"/>
      <c r="AE17" s="555"/>
      <c r="AF17" s="556"/>
      <c r="AG17" s="556"/>
      <c r="AH17" s="556"/>
      <c r="AI17" s="556"/>
      <c r="AJ17" s="556"/>
      <c r="AK17" s="556"/>
      <c r="AL17" s="556"/>
      <c r="AM17" s="556"/>
      <c r="AN17" s="556"/>
    </row>
    <row r="18" spans="1:40" x14ac:dyDescent="0.25">
      <c r="A18" s="35" t="s">
        <v>37</v>
      </c>
      <c r="B18" s="68">
        <v>72</v>
      </c>
      <c r="C18" s="69">
        <v>72</v>
      </c>
      <c r="D18" s="69">
        <v>68</v>
      </c>
      <c r="E18" s="69">
        <v>66</v>
      </c>
      <c r="F18" s="69">
        <v>87</v>
      </c>
      <c r="G18" s="69">
        <v>83</v>
      </c>
      <c r="H18" s="69">
        <v>85</v>
      </c>
      <c r="I18" s="69">
        <v>83</v>
      </c>
      <c r="J18" s="69">
        <v>132</v>
      </c>
      <c r="K18" s="70">
        <v>130</v>
      </c>
      <c r="L18" s="71">
        <v>120</v>
      </c>
      <c r="M18" s="69">
        <v>107</v>
      </c>
      <c r="N18" s="71">
        <v>133</v>
      </c>
      <c r="O18" s="638">
        <v>104</v>
      </c>
      <c r="P18" s="69">
        <v>97</v>
      </c>
      <c r="Q18" s="69">
        <v>91</v>
      </c>
      <c r="R18" s="69">
        <v>84</v>
      </c>
      <c r="S18" s="69"/>
      <c r="T18" s="171"/>
      <c r="U18" s="71"/>
      <c r="V18" s="340"/>
      <c r="W18" s="340"/>
      <c r="X18" s="340"/>
      <c r="Y18" s="71"/>
      <c r="Z18" s="71"/>
      <c r="AA18" s="242"/>
      <c r="AB18" s="639"/>
      <c r="AC18" s="640"/>
      <c r="AD18" s="212"/>
      <c r="AE18" s="555"/>
      <c r="AF18" s="556"/>
      <c r="AG18" s="556"/>
      <c r="AH18" s="556"/>
      <c r="AI18" s="556"/>
      <c r="AJ18" s="556"/>
      <c r="AK18" s="556"/>
      <c r="AL18" s="556"/>
      <c r="AM18" s="556"/>
      <c r="AN18" s="556"/>
    </row>
    <row r="19" spans="1:40" x14ac:dyDescent="0.25">
      <c r="A19" s="35" t="s">
        <v>38</v>
      </c>
      <c r="B19" s="131">
        <v>30</v>
      </c>
      <c r="C19" s="69">
        <v>29</v>
      </c>
      <c r="D19" s="69">
        <v>20</v>
      </c>
      <c r="E19" s="69">
        <v>16</v>
      </c>
      <c r="F19" s="69">
        <v>54</v>
      </c>
      <c r="G19" s="69">
        <v>24</v>
      </c>
      <c r="H19" s="69">
        <v>22</v>
      </c>
      <c r="I19" s="69">
        <v>21</v>
      </c>
      <c r="J19" s="69">
        <v>86</v>
      </c>
      <c r="K19" s="70">
        <v>70</v>
      </c>
      <c r="L19" s="71">
        <v>48</v>
      </c>
      <c r="M19" s="69">
        <v>47</v>
      </c>
      <c r="N19" s="71">
        <v>74</v>
      </c>
      <c r="O19" s="638">
        <v>50</v>
      </c>
      <c r="P19" s="638">
        <v>45</v>
      </c>
      <c r="Q19" s="638">
        <v>42</v>
      </c>
      <c r="R19" s="69">
        <v>59</v>
      </c>
      <c r="S19" s="69"/>
      <c r="T19" s="171"/>
      <c r="U19" s="71"/>
      <c r="V19" s="340"/>
      <c r="W19" s="340"/>
      <c r="X19" s="340"/>
      <c r="Y19" s="71"/>
      <c r="Z19" s="71"/>
      <c r="AA19" s="242"/>
      <c r="AB19" s="639"/>
      <c r="AC19" s="640"/>
      <c r="AD19" s="212"/>
      <c r="AE19" s="555"/>
      <c r="AF19" s="556"/>
      <c r="AG19" s="556"/>
      <c r="AH19" s="556"/>
      <c r="AI19" s="556"/>
      <c r="AJ19" s="556"/>
      <c r="AK19" s="556"/>
      <c r="AL19" s="556"/>
      <c r="AM19" s="556"/>
      <c r="AN19" s="556"/>
    </row>
    <row r="20" spans="1:40" x14ac:dyDescent="0.25">
      <c r="A20" s="35" t="s">
        <v>39</v>
      </c>
      <c r="B20" s="131"/>
      <c r="C20" s="69"/>
      <c r="D20" s="69"/>
      <c r="E20" s="69"/>
      <c r="F20" s="69"/>
      <c r="G20" s="69"/>
      <c r="H20" s="69"/>
      <c r="I20" s="69"/>
      <c r="J20" s="69"/>
      <c r="K20" s="70"/>
      <c r="L20" s="71"/>
      <c r="M20" s="69"/>
      <c r="N20" s="71"/>
      <c r="O20" s="633"/>
      <c r="P20" s="69"/>
      <c r="Q20" s="69"/>
      <c r="R20" s="69"/>
      <c r="S20" s="69"/>
      <c r="T20" s="171"/>
      <c r="U20" s="71"/>
      <c r="V20" s="340"/>
      <c r="W20" s="340"/>
      <c r="X20" s="340"/>
      <c r="Y20" s="71"/>
      <c r="Z20" s="71"/>
      <c r="AA20" s="242"/>
      <c r="AB20" s="639"/>
      <c r="AC20" s="640"/>
      <c r="AD20" s="212"/>
      <c r="AE20" s="555"/>
      <c r="AF20" s="556"/>
      <c r="AG20" s="556"/>
      <c r="AH20" s="556"/>
      <c r="AI20" s="556"/>
      <c r="AJ20" s="556"/>
      <c r="AK20" s="556"/>
      <c r="AL20" s="556"/>
      <c r="AM20" s="556"/>
      <c r="AN20" s="556"/>
    </row>
    <row r="21" spans="1:40" x14ac:dyDescent="0.25">
      <c r="A21" s="35" t="s">
        <v>62</v>
      </c>
      <c r="B21" s="68">
        <v>0</v>
      </c>
      <c r="C21" s="69"/>
      <c r="D21" s="69"/>
      <c r="E21" s="69"/>
      <c r="F21" s="69"/>
      <c r="G21" s="69"/>
      <c r="H21" s="69"/>
      <c r="I21" s="69"/>
      <c r="J21" s="69"/>
      <c r="K21" s="70"/>
      <c r="L21" s="71"/>
      <c r="M21" s="69"/>
      <c r="N21" s="71"/>
      <c r="O21" s="633"/>
      <c r="P21" s="69"/>
      <c r="Q21" s="69"/>
      <c r="R21" s="69"/>
      <c r="S21" s="69"/>
      <c r="T21" s="171"/>
      <c r="U21" s="71"/>
      <c r="V21" s="340"/>
      <c r="W21" s="340"/>
      <c r="X21" s="340"/>
      <c r="Y21" s="71"/>
      <c r="Z21" s="71"/>
      <c r="AA21" s="242"/>
      <c r="AB21" s="639"/>
      <c r="AC21" s="640"/>
      <c r="AD21" s="212"/>
      <c r="AE21" s="555"/>
      <c r="AF21" s="556"/>
      <c r="AG21" s="556"/>
      <c r="AH21" s="556"/>
      <c r="AI21" s="556"/>
      <c r="AJ21" s="556"/>
      <c r="AK21" s="556"/>
      <c r="AL21" s="556"/>
      <c r="AM21" s="556"/>
      <c r="AN21" s="556"/>
    </row>
    <row r="22" spans="1:40" x14ac:dyDescent="0.25">
      <c r="A22" s="35" t="s">
        <v>41</v>
      </c>
      <c r="B22" s="131">
        <f>SUM(B17:B21)</f>
        <v>440</v>
      </c>
      <c r="C22" s="131">
        <f t="shared" ref="C22:R22" si="1">SUM(C17:C21)</f>
        <v>451</v>
      </c>
      <c r="D22" s="131">
        <f t="shared" si="1"/>
        <v>370</v>
      </c>
      <c r="E22" s="131">
        <f t="shared" si="1"/>
        <v>347</v>
      </c>
      <c r="F22" s="131">
        <f t="shared" si="1"/>
        <v>578</v>
      </c>
      <c r="G22" s="131">
        <f t="shared" si="1"/>
        <v>440</v>
      </c>
      <c r="H22" s="131">
        <f t="shared" si="1"/>
        <v>415</v>
      </c>
      <c r="I22" s="131">
        <f t="shared" si="1"/>
        <v>384</v>
      </c>
      <c r="J22" s="131">
        <f t="shared" si="1"/>
        <v>786</v>
      </c>
      <c r="K22" s="131">
        <f t="shared" si="1"/>
        <v>727</v>
      </c>
      <c r="L22" s="131">
        <f t="shared" si="1"/>
        <v>641</v>
      </c>
      <c r="M22" s="131">
        <f t="shared" si="1"/>
        <v>594</v>
      </c>
      <c r="N22" s="131">
        <f t="shared" si="1"/>
        <v>852</v>
      </c>
      <c r="O22" s="516">
        <f t="shared" si="1"/>
        <v>704</v>
      </c>
      <c r="P22" s="516">
        <f t="shared" si="1"/>
        <v>642</v>
      </c>
      <c r="Q22" s="516">
        <f t="shared" si="1"/>
        <v>608</v>
      </c>
      <c r="R22" s="516">
        <f t="shared" si="1"/>
        <v>593</v>
      </c>
      <c r="S22" s="71"/>
      <c r="T22" s="172"/>
      <c r="U22" s="172"/>
      <c r="V22" s="486"/>
      <c r="W22" s="486"/>
      <c r="X22" s="486"/>
      <c r="Y22" s="172"/>
      <c r="Z22" s="172"/>
      <c r="AA22" s="251"/>
      <c r="AB22" s="251"/>
      <c r="AC22" s="251"/>
      <c r="AD22" s="251"/>
      <c r="AE22" s="251"/>
      <c r="AF22" s="251"/>
      <c r="AG22" s="251"/>
      <c r="AH22" s="251"/>
      <c r="AI22" s="251"/>
      <c r="AJ22" s="251"/>
      <c r="AK22" s="251"/>
      <c r="AL22" s="251"/>
      <c r="AM22" s="251"/>
      <c r="AN22" s="251"/>
    </row>
    <row r="23" spans="1:40" x14ac:dyDescent="0.25">
      <c r="A23" s="42" t="s">
        <v>22</v>
      </c>
      <c r="B23" s="131"/>
      <c r="C23" s="71"/>
      <c r="D23" s="71"/>
      <c r="E23" s="71"/>
      <c r="F23" s="71"/>
      <c r="G23" s="71"/>
      <c r="H23" s="71"/>
      <c r="I23" s="71"/>
      <c r="J23" s="71"/>
      <c r="K23" s="162"/>
      <c r="L23" s="71"/>
      <c r="M23" s="71"/>
      <c r="N23" s="71"/>
      <c r="O23" s="641"/>
      <c r="P23" s="71"/>
      <c r="Q23" s="71"/>
      <c r="R23" s="71"/>
      <c r="S23" s="71"/>
      <c r="T23" s="172"/>
      <c r="U23" s="71"/>
      <c r="V23" s="340"/>
      <c r="W23" s="340"/>
      <c r="X23" s="340"/>
      <c r="Y23" s="71"/>
      <c r="Z23" s="71"/>
      <c r="AA23" s="242"/>
      <c r="AB23" s="639"/>
      <c r="AC23" s="637"/>
      <c r="AD23" s="212"/>
      <c r="AE23" s="555"/>
      <c r="AF23" s="556"/>
      <c r="AG23" s="556"/>
      <c r="AH23" s="556"/>
      <c r="AI23" s="556"/>
      <c r="AJ23" s="556"/>
      <c r="AK23" s="556"/>
      <c r="AL23" s="556"/>
      <c r="AM23" s="556"/>
      <c r="AN23" s="556"/>
    </row>
    <row r="24" spans="1:40" x14ac:dyDescent="0.25">
      <c r="A24" s="35" t="s">
        <v>36</v>
      </c>
      <c r="B24" s="642">
        <v>209</v>
      </c>
      <c r="C24" s="71">
        <v>207</v>
      </c>
      <c r="D24" s="71">
        <v>180</v>
      </c>
      <c r="E24" s="71">
        <v>176</v>
      </c>
      <c r="F24" s="71">
        <v>221</v>
      </c>
      <c r="G24" s="71">
        <v>200</v>
      </c>
      <c r="H24" s="71">
        <v>194</v>
      </c>
      <c r="I24" s="71">
        <v>181</v>
      </c>
      <c r="J24" s="71">
        <v>224</v>
      </c>
      <c r="K24" s="162">
        <v>211</v>
      </c>
      <c r="L24" s="71">
        <v>200</v>
      </c>
      <c r="M24" s="71">
        <v>169</v>
      </c>
      <c r="N24" s="71">
        <v>17</v>
      </c>
      <c r="O24" s="643">
        <v>78</v>
      </c>
      <c r="P24" s="643">
        <v>68</v>
      </c>
      <c r="Q24" s="643">
        <v>65</v>
      </c>
      <c r="R24" s="643">
        <v>63</v>
      </c>
      <c r="S24" s="71"/>
      <c r="T24" s="172"/>
      <c r="U24" s="71"/>
      <c r="V24" s="340"/>
      <c r="W24" s="340"/>
      <c r="X24" s="340"/>
      <c r="Y24" s="71"/>
      <c r="Z24" s="71"/>
      <c r="AA24" s="242"/>
      <c r="AB24" s="639"/>
      <c r="AC24" s="640"/>
      <c r="AD24" s="212"/>
      <c r="AE24" s="555"/>
      <c r="AF24" s="556"/>
      <c r="AG24" s="556"/>
      <c r="AH24" s="556"/>
      <c r="AI24" s="556"/>
      <c r="AJ24" s="556"/>
      <c r="AK24" s="556"/>
      <c r="AL24" s="556"/>
      <c r="AM24" s="556"/>
      <c r="AN24" s="556"/>
    </row>
    <row r="25" spans="1:40" x14ac:dyDescent="0.25">
      <c r="A25" s="35" t="s">
        <v>37</v>
      </c>
      <c r="B25" s="642">
        <v>49</v>
      </c>
      <c r="C25" s="71">
        <v>48</v>
      </c>
      <c r="D25" s="71">
        <v>48</v>
      </c>
      <c r="E25" s="71">
        <v>46</v>
      </c>
      <c r="F25" s="71">
        <v>64</v>
      </c>
      <c r="G25" s="71">
        <v>63</v>
      </c>
      <c r="H25" s="71">
        <v>64</v>
      </c>
      <c r="I25" s="71">
        <v>65</v>
      </c>
      <c r="J25" s="71">
        <v>78</v>
      </c>
      <c r="K25" s="162">
        <v>76</v>
      </c>
      <c r="L25" s="71">
        <v>74</v>
      </c>
      <c r="M25" s="71">
        <v>70</v>
      </c>
      <c r="N25" s="71">
        <v>4</v>
      </c>
      <c r="O25" s="641">
        <v>34</v>
      </c>
      <c r="P25" s="71">
        <v>96</v>
      </c>
      <c r="Q25" s="71">
        <v>90</v>
      </c>
      <c r="R25" s="71">
        <v>84</v>
      </c>
      <c r="S25" s="71"/>
      <c r="T25" s="172"/>
      <c r="U25" s="71"/>
      <c r="V25" s="340"/>
      <c r="W25" s="340"/>
      <c r="X25" s="340"/>
      <c r="Y25" s="71"/>
      <c r="Z25" s="71"/>
      <c r="AA25" s="242"/>
      <c r="AB25" s="639"/>
      <c r="AC25" s="640"/>
      <c r="AD25" s="212"/>
      <c r="AE25" s="555"/>
      <c r="AF25" s="556"/>
      <c r="AG25" s="556"/>
      <c r="AH25" s="556"/>
      <c r="AI25" s="556"/>
      <c r="AJ25" s="556"/>
      <c r="AK25" s="556"/>
      <c r="AL25" s="556"/>
      <c r="AM25" s="556"/>
      <c r="AN25" s="556"/>
    </row>
    <row r="26" spans="1:40" x14ac:dyDescent="0.25">
      <c r="A26" s="35" t="s">
        <v>38</v>
      </c>
      <c r="B26" s="642">
        <v>13</v>
      </c>
      <c r="C26" s="71">
        <v>12</v>
      </c>
      <c r="D26" s="71">
        <v>11</v>
      </c>
      <c r="E26" s="71">
        <v>10</v>
      </c>
      <c r="F26" s="71">
        <v>15</v>
      </c>
      <c r="G26" s="71">
        <v>12</v>
      </c>
      <c r="H26" s="71">
        <v>11</v>
      </c>
      <c r="I26" s="71">
        <v>9</v>
      </c>
      <c r="J26" s="71">
        <v>17</v>
      </c>
      <c r="K26" s="162">
        <v>14</v>
      </c>
      <c r="L26" s="71">
        <v>13</v>
      </c>
      <c r="M26" s="71">
        <v>14</v>
      </c>
      <c r="N26" s="71">
        <v>5</v>
      </c>
      <c r="O26" s="643">
        <v>31</v>
      </c>
      <c r="P26" s="643">
        <v>28</v>
      </c>
      <c r="Q26" s="643">
        <v>24</v>
      </c>
      <c r="R26" s="71">
        <v>53</v>
      </c>
      <c r="S26" s="71"/>
      <c r="T26" s="172"/>
      <c r="U26" s="71"/>
      <c r="V26" s="340"/>
      <c r="W26" s="340"/>
      <c r="X26" s="340"/>
      <c r="Y26" s="71"/>
      <c r="Z26" s="71"/>
      <c r="AA26" s="242"/>
      <c r="AB26" s="639"/>
      <c r="AC26" s="640"/>
      <c r="AD26" s="212"/>
      <c r="AE26" s="555"/>
      <c r="AF26" s="556"/>
      <c r="AG26" s="556"/>
      <c r="AH26" s="556"/>
      <c r="AI26" s="556"/>
      <c r="AJ26" s="556"/>
      <c r="AK26" s="556"/>
      <c r="AL26" s="556"/>
      <c r="AM26" s="556"/>
      <c r="AN26" s="556"/>
    </row>
    <row r="27" spans="1:40" x14ac:dyDescent="0.25">
      <c r="A27" s="35" t="s">
        <v>39</v>
      </c>
      <c r="B27" s="642"/>
      <c r="C27" s="71"/>
      <c r="D27" s="71"/>
      <c r="E27" s="71"/>
      <c r="F27" s="71"/>
      <c r="G27" s="71"/>
      <c r="H27" s="71"/>
      <c r="I27" s="71"/>
      <c r="J27" s="71"/>
      <c r="K27" s="162"/>
      <c r="L27" s="71"/>
      <c r="M27" s="71"/>
      <c r="N27" s="71"/>
      <c r="O27" s="641"/>
      <c r="P27" s="71"/>
      <c r="Q27" s="71"/>
      <c r="R27" s="71"/>
      <c r="S27" s="71"/>
      <c r="T27" s="172"/>
      <c r="U27" s="71"/>
      <c r="V27" s="340"/>
      <c r="W27" s="340"/>
      <c r="X27" s="340"/>
      <c r="Y27" s="71"/>
      <c r="Z27" s="71"/>
      <c r="AA27" s="242"/>
      <c r="AB27" s="639"/>
      <c r="AC27" s="640"/>
      <c r="AD27" s="212"/>
      <c r="AE27" s="555"/>
      <c r="AF27" s="556"/>
      <c r="AG27" s="556"/>
      <c r="AH27" s="556"/>
      <c r="AI27" s="556"/>
      <c r="AJ27" s="556"/>
      <c r="AK27" s="556"/>
      <c r="AL27" s="556"/>
      <c r="AM27" s="556"/>
      <c r="AN27" s="556"/>
    </row>
    <row r="28" spans="1:40" x14ac:dyDescent="0.25">
      <c r="A28" s="35" t="s">
        <v>62</v>
      </c>
      <c r="B28" s="642">
        <v>0</v>
      </c>
      <c r="C28" s="71"/>
      <c r="D28" s="71"/>
      <c r="E28" s="71"/>
      <c r="F28" s="71"/>
      <c r="G28" s="71"/>
      <c r="H28" s="71"/>
      <c r="I28" s="71"/>
      <c r="J28" s="71"/>
      <c r="K28" s="162"/>
      <c r="L28" s="71"/>
      <c r="M28" s="71"/>
      <c r="N28" s="71"/>
      <c r="O28" s="641"/>
      <c r="P28" s="71"/>
      <c r="Q28" s="71"/>
      <c r="R28" s="71"/>
      <c r="S28" s="71"/>
      <c r="T28" s="172"/>
      <c r="U28" s="71"/>
      <c r="V28" s="340"/>
      <c r="W28" s="340"/>
      <c r="X28" s="340"/>
      <c r="Y28" s="71"/>
      <c r="Z28" s="71"/>
      <c r="AA28" s="242"/>
      <c r="AB28" s="639"/>
      <c r="AC28" s="640"/>
      <c r="AD28" s="212"/>
      <c r="AE28" s="555"/>
      <c r="AF28" s="556"/>
      <c r="AG28" s="556"/>
      <c r="AH28" s="556"/>
      <c r="AI28" s="556"/>
      <c r="AJ28" s="556"/>
      <c r="AK28" s="556"/>
      <c r="AL28" s="556"/>
      <c r="AM28" s="556"/>
      <c r="AN28" s="556"/>
    </row>
    <row r="29" spans="1:40" x14ac:dyDescent="0.25">
      <c r="A29" s="35" t="s">
        <v>41</v>
      </c>
      <c r="B29" s="131">
        <f>SUM(B24:B28)</f>
        <v>271</v>
      </c>
      <c r="C29" s="131">
        <f t="shared" ref="C29:R29" si="2">SUM(C24:C28)</f>
        <v>267</v>
      </c>
      <c r="D29" s="131">
        <f t="shared" si="2"/>
        <v>239</v>
      </c>
      <c r="E29" s="131">
        <f t="shared" si="2"/>
        <v>232</v>
      </c>
      <c r="F29" s="131">
        <f t="shared" si="2"/>
        <v>300</v>
      </c>
      <c r="G29" s="131">
        <f t="shared" si="2"/>
        <v>275</v>
      </c>
      <c r="H29" s="131">
        <f t="shared" si="2"/>
        <v>269</v>
      </c>
      <c r="I29" s="131">
        <f t="shared" si="2"/>
        <v>255</v>
      </c>
      <c r="J29" s="131">
        <f t="shared" si="2"/>
        <v>319</v>
      </c>
      <c r="K29" s="131">
        <f t="shared" si="2"/>
        <v>301</v>
      </c>
      <c r="L29" s="131">
        <f t="shared" si="2"/>
        <v>287</v>
      </c>
      <c r="M29" s="131">
        <f t="shared" si="2"/>
        <v>253</v>
      </c>
      <c r="N29" s="131">
        <f t="shared" si="2"/>
        <v>26</v>
      </c>
      <c r="O29" s="516">
        <f t="shared" si="2"/>
        <v>143</v>
      </c>
      <c r="P29" s="516">
        <f t="shared" si="2"/>
        <v>192</v>
      </c>
      <c r="Q29" s="516">
        <f t="shared" si="2"/>
        <v>179</v>
      </c>
      <c r="R29" s="516">
        <f t="shared" si="2"/>
        <v>200</v>
      </c>
      <c r="S29" s="71"/>
      <c r="T29" s="172"/>
      <c r="U29" s="172"/>
      <c r="V29" s="486"/>
      <c r="W29" s="486"/>
      <c r="X29" s="486"/>
      <c r="Y29" s="172"/>
      <c r="Z29" s="172"/>
      <c r="AA29" s="251"/>
      <c r="AB29" s="251"/>
      <c r="AC29" s="251"/>
      <c r="AD29" s="251"/>
      <c r="AE29" s="251"/>
      <c r="AF29" s="251"/>
      <c r="AG29" s="251"/>
      <c r="AH29" s="251"/>
      <c r="AI29" s="251"/>
      <c r="AJ29" s="251"/>
      <c r="AK29" s="251"/>
      <c r="AL29" s="251"/>
      <c r="AM29" s="251"/>
      <c r="AN29" s="251"/>
    </row>
    <row r="30" spans="1:40" x14ac:dyDescent="0.25">
      <c r="A30" s="42" t="s">
        <v>23</v>
      </c>
      <c r="B30" s="131"/>
      <c r="C30" s="71"/>
      <c r="D30" s="71"/>
      <c r="E30" s="71"/>
      <c r="F30" s="71"/>
      <c r="G30" s="71"/>
      <c r="H30" s="71"/>
      <c r="I30" s="71"/>
      <c r="J30" s="71"/>
      <c r="K30" s="162"/>
      <c r="L30" s="71"/>
      <c r="M30" s="71"/>
      <c r="N30" s="71"/>
      <c r="O30" s="641"/>
      <c r="P30" s="71"/>
      <c r="Q30" s="71"/>
      <c r="R30" s="71"/>
      <c r="S30" s="71"/>
      <c r="T30" s="172"/>
      <c r="U30" s="71"/>
      <c r="V30" s="340"/>
      <c r="W30" s="340"/>
      <c r="X30" s="340"/>
      <c r="Y30" s="71"/>
      <c r="Z30" s="71"/>
      <c r="AA30" s="242"/>
      <c r="AB30" s="639"/>
      <c r="AC30" s="637"/>
      <c r="AD30" s="212"/>
      <c r="AE30" s="555"/>
      <c r="AF30" s="556"/>
      <c r="AG30" s="556"/>
      <c r="AH30" s="556"/>
      <c r="AI30" s="556"/>
      <c r="AJ30" s="556"/>
      <c r="AK30" s="556"/>
      <c r="AL30" s="556"/>
      <c r="AM30" s="556"/>
      <c r="AN30" s="556"/>
    </row>
    <row r="31" spans="1:40" x14ac:dyDescent="0.25">
      <c r="A31" s="35" t="s">
        <v>36</v>
      </c>
      <c r="B31" s="644">
        <v>293</v>
      </c>
      <c r="C31" s="71">
        <v>301</v>
      </c>
      <c r="D31" s="71">
        <v>277</v>
      </c>
      <c r="E31" s="71">
        <v>266</v>
      </c>
      <c r="F31" s="71">
        <v>304</v>
      </c>
      <c r="G31" s="71">
        <v>288</v>
      </c>
      <c r="H31" s="71">
        <v>279</v>
      </c>
      <c r="I31" s="71">
        <v>267</v>
      </c>
      <c r="J31" s="71">
        <v>290</v>
      </c>
      <c r="K31" s="162">
        <v>280</v>
      </c>
      <c r="L31" s="71">
        <v>271</v>
      </c>
      <c r="M31" s="71">
        <v>249</v>
      </c>
      <c r="N31" s="71">
        <v>268</v>
      </c>
      <c r="O31" s="641">
        <v>185</v>
      </c>
      <c r="P31" s="71">
        <v>166</v>
      </c>
      <c r="Q31" s="71">
        <v>151</v>
      </c>
      <c r="R31" s="71">
        <v>139</v>
      </c>
      <c r="S31" s="71"/>
      <c r="T31" s="172"/>
      <c r="U31" s="71"/>
      <c r="V31" s="340"/>
      <c r="W31" s="340"/>
      <c r="X31" s="340"/>
      <c r="Y31" s="71"/>
      <c r="Z31" s="71"/>
      <c r="AA31" s="242"/>
      <c r="AB31" s="639"/>
      <c r="AC31" s="640"/>
      <c r="AD31" s="212"/>
      <c r="AE31" s="555"/>
      <c r="AF31" s="556"/>
      <c r="AG31" s="556"/>
      <c r="AH31" s="556"/>
      <c r="AI31" s="556"/>
      <c r="AJ31" s="556"/>
      <c r="AK31" s="556"/>
      <c r="AL31" s="556"/>
      <c r="AM31" s="556"/>
      <c r="AN31" s="556"/>
    </row>
    <row r="32" spans="1:40" x14ac:dyDescent="0.25">
      <c r="A32" s="35" t="s">
        <v>37</v>
      </c>
      <c r="B32" s="644">
        <v>65</v>
      </c>
      <c r="C32" s="71">
        <v>65</v>
      </c>
      <c r="D32" s="71">
        <v>63</v>
      </c>
      <c r="E32" s="71">
        <v>57</v>
      </c>
      <c r="F32" s="71">
        <v>75</v>
      </c>
      <c r="G32" s="71">
        <v>74</v>
      </c>
      <c r="H32" s="71">
        <v>74</v>
      </c>
      <c r="I32" s="71">
        <v>75</v>
      </c>
      <c r="J32" s="71">
        <v>96</v>
      </c>
      <c r="K32" s="162">
        <v>95</v>
      </c>
      <c r="L32" s="71">
        <v>91</v>
      </c>
      <c r="M32" s="71">
        <v>86</v>
      </c>
      <c r="N32" s="71">
        <v>89</v>
      </c>
      <c r="O32" s="641">
        <v>26</v>
      </c>
      <c r="P32" s="71">
        <v>22</v>
      </c>
      <c r="Q32" s="71">
        <v>22</v>
      </c>
      <c r="R32" s="71">
        <v>20</v>
      </c>
      <c r="S32" s="71"/>
      <c r="T32" s="172"/>
      <c r="U32" s="71"/>
      <c r="V32" s="340"/>
      <c r="W32" s="340"/>
      <c r="X32" s="340"/>
      <c r="Y32" s="71"/>
      <c r="Z32" s="71"/>
      <c r="AA32" s="242"/>
      <c r="AB32" s="639"/>
      <c r="AC32" s="640"/>
      <c r="AD32" s="212"/>
      <c r="AE32" s="555"/>
      <c r="AF32" s="556"/>
      <c r="AG32" s="556"/>
      <c r="AH32" s="556"/>
      <c r="AI32" s="556"/>
      <c r="AJ32" s="556"/>
      <c r="AK32" s="556"/>
      <c r="AL32" s="556"/>
      <c r="AM32" s="556"/>
      <c r="AN32" s="556"/>
    </row>
    <row r="33" spans="1:40" x14ac:dyDescent="0.25">
      <c r="A33" s="35" t="s">
        <v>38</v>
      </c>
      <c r="B33" s="68">
        <v>18</v>
      </c>
      <c r="C33" s="71">
        <v>18</v>
      </c>
      <c r="D33" s="71">
        <v>16</v>
      </c>
      <c r="E33" s="71">
        <v>15</v>
      </c>
      <c r="F33" s="71">
        <v>19</v>
      </c>
      <c r="G33" s="71">
        <v>18</v>
      </c>
      <c r="H33" s="71">
        <v>18</v>
      </c>
      <c r="I33" s="71">
        <v>16</v>
      </c>
      <c r="J33" s="71">
        <v>17</v>
      </c>
      <c r="K33" s="162">
        <v>17</v>
      </c>
      <c r="L33" s="71">
        <v>17</v>
      </c>
      <c r="M33" s="71">
        <v>17</v>
      </c>
      <c r="N33" s="71">
        <v>18</v>
      </c>
      <c r="O33" s="641">
        <v>9</v>
      </c>
      <c r="P33" s="71">
        <v>9</v>
      </c>
      <c r="Q33" s="71">
        <v>5</v>
      </c>
      <c r="R33" s="71">
        <v>5</v>
      </c>
      <c r="S33" s="71"/>
      <c r="T33" s="172"/>
      <c r="U33" s="71"/>
      <c r="V33" s="340"/>
      <c r="W33" s="340"/>
      <c r="X33" s="340"/>
      <c r="Y33" s="71"/>
      <c r="Z33" s="71"/>
      <c r="AA33" s="242"/>
      <c r="AB33" s="639"/>
      <c r="AC33" s="640"/>
      <c r="AD33" s="212"/>
      <c r="AE33" s="555"/>
      <c r="AF33" s="556"/>
      <c r="AG33" s="556"/>
      <c r="AH33" s="556"/>
      <c r="AI33" s="556"/>
      <c r="AJ33" s="556"/>
      <c r="AK33" s="556"/>
      <c r="AL33" s="556"/>
      <c r="AM33" s="556"/>
      <c r="AN33" s="556"/>
    </row>
    <row r="34" spans="1:40" x14ac:dyDescent="0.25">
      <c r="A34" s="35" t="s">
        <v>39</v>
      </c>
      <c r="B34" s="68"/>
      <c r="C34" s="71"/>
      <c r="D34" s="71"/>
      <c r="E34" s="71"/>
      <c r="F34" s="71"/>
      <c r="G34" s="71"/>
      <c r="H34" s="71"/>
      <c r="I34" s="71"/>
      <c r="J34" s="71"/>
      <c r="K34" s="162"/>
      <c r="L34" s="71"/>
      <c r="M34" s="71"/>
      <c r="N34" s="71"/>
      <c r="O34" s="641"/>
      <c r="P34" s="71"/>
      <c r="Q34" s="71"/>
      <c r="R34" s="71"/>
      <c r="S34" s="71"/>
      <c r="T34" s="172"/>
      <c r="U34" s="71"/>
      <c r="V34" s="340"/>
      <c r="W34" s="340"/>
      <c r="X34" s="340"/>
      <c r="Y34" s="71"/>
      <c r="Z34" s="71"/>
      <c r="AA34" s="242"/>
      <c r="AB34" s="639"/>
      <c r="AC34" s="640"/>
      <c r="AD34" s="212"/>
      <c r="AE34" s="555"/>
      <c r="AF34" s="556"/>
      <c r="AG34" s="556"/>
      <c r="AH34" s="556"/>
      <c r="AI34" s="556"/>
      <c r="AJ34" s="556"/>
      <c r="AK34" s="556"/>
      <c r="AL34" s="556"/>
      <c r="AM34" s="556"/>
      <c r="AN34" s="556"/>
    </row>
    <row r="35" spans="1:40" x14ac:dyDescent="0.25">
      <c r="A35" s="35" t="s">
        <v>62</v>
      </c>
      <c r="B35" s="131">
        <v>0</v>
      </c>
      <c r="C35" s="71"/>
      <c r="D35" s="71"/>
      <c r="E35" s="71"/>
      <c r="F35" s="71"/>
      <c r="G35" s="71"/>
      <c r="H35" s="71"/>
      <c r="I35" s="71"/>
      <c r="J35" s="71"/>
      <c r="K35" s="162"/>
      <c r="L35" s="71"/>
      <c r="M35" s="71"/>
      <c r="N35" s="71"/>
      <c r="O35" s="641"/>
      <c r="P35" s="71"/>
      <c r="Q35" s="71"/>
      <c r="R35" s="71"/>
      <c r="S35" s="71"/>
      <c r="T35" s="172"/>
      <c r="U35" s="71"/>
      <c r="V35" s="340"/>
      <c r="W35" s="340"/>
      <c r="X35" s="340"/>
      <c r="Y35" s="71"/>
      <c r="Z35" s="71"/>
      <c r="AA35" s="242"/>
      <c r="AB35" s="639"/>
      <c r="AC35" s="640"/>
      <c r="AD35" s="212"/>
      <c r="AE35" s="555"/>
      <c r="AF35" s="556"/>
      <c r="AG35" s="556"/>
      <c r="AH35" s="556"/>
      <c r="AI35" s="556"/>
      <c r="AJ35" s="556"/>
      <c r="AK35" s="556"/>
      <c r="AL35" s="556"/>
      <c r="AM35" s="556"/>
      <c r="AN35" s="556"/>
    </row>
    <row r="36" spans="1:40" ht="15.75" thickBot="1" x14ac:dyDescent="0.3">
      <c r="A36" s="37" t="s">
        <v>41</v>
      </c>
      <c r="B36" s="122">
        <f>SUM(B31:B35)</f>
        <v>376</v>
      </c>
      <c r="C36" s="122">
        <f t="shared" ref="C36:R36" si="3">SUM(C31:C35)</f>
        <v>384</v>
      </c>
      <c r="D36" s="122">
        <f t="shared" si="3"/>
        <v>356</v>
      </c>
      <c r="E36" s="122">
        <f t="shared" si="3"/>
        <v>338</v>
      </c>
      <c r="F36" s="122">
        <f t="shared" si="3"/>
        <v>398</v>
      </c>
      <c r="G36" s="122">
        <f t="shared" si="3"/>
        <v>380</v>
      </c>
      <c r="H36" s="122">
        <f t="shared" si="3"/>
        <v>371</v>
      </c>
      <c r="I36" s="122">
        <f t="shared" si="3"/>
        <v>358</v>
      </c>
      <c r="J36" s="122">
        <f t="shared" si="3"/>
        <v>403</v>
      </c>
      <c r="K36" s="122">
        <f t="shared" si="3"/>
        <v>392</v>
      </c>
      <c r="L36" s="122">
        <f t="shared" si="3"/>
        <v>379</v>
      </c>
      <c r="M36" s="122">
        <f t="shared" si="3"/>
        <v>352</v>
      </c>
      <c r="N36" s="122">
        <f t="shared" si="3"/>
        <v>375</v>
      </c>
      <c r="O36" s="645">
        <f t="shared" si="3"/>
        <v>220</v>
      </c>
      <c r="P36" s="645">
        <f t="shared" si="3"/>
        <v>197</v>
      </c>
      <c r="Q36" s="645">
        <f t="shared" si="3"/>
        <v>178</v>
      </c>
      <c r="R36" s="645">
        <f t="shared" si="3"/>
        <v>164</v>
      </c>
      <c r="S36" s="60"/>
      <c r="T36" s="173"/>
      <c r="U36" s="173"/>
      <c r="V36" s="585"/>
      <c r="W36" s="585"/>
      <c r="X36" s="585"/>
      <c r="Y36" s="173"/>
      <c r="Z36" s="173"/>
      <c r="AA36" s="252"/>
      <c r="AB36" s="252"/>
      <c r="AC36" s="252"/>
      <c r="AD36" s="252"/>
      <c r="AE36" s="252"/>
      <c r="AF36" s="252"/>
      <c r="AG36" s="252"/>
      <c r="AH36" s="252"/>
      <c r="AI36" s="252"/>
      <c r="AJ36" s="252"/>
      <c r="AK36" s="252"/>
      <c r="AL36" s="252"/>
      <c r="AM36" s="252"/>
      <c r="AN36" s="252"/>
    </row>
    <row r="37" spans="1:40" x14ac:dyDescent="0.25">
      <c r="A37" s="41" t="s">
        <v>29</v>
      </c>
      <c r="B37" s="362"/>
      <c r="C37" s="363"/>
      <c r="D37" s="76"/>
      <c r="E37" s="76"/>
      <c r="F37" s="76"/>
      <c r="G37" s="76"/>
      <c r="H37" s="76"/>
      <c r="I37" s="76"/>
      <c r="J37" s="76"/>
      <c r="K37" s="164"/>
      <c r="L37" s="76"/>
      <c r="M37" s="76"/>
      <c r="N37" s="76"/>
      <c r="O37" s="646"/>
      <c r="P37" s="76"/>
      <c r="Q37" s="76"/>
      <c r="R37" s="76"/>
      <c r="S37" s="76"/>
      <c r="T37" s="174"/>
      <c r="U37" s="76"/>
      <c r="V37" s="372"/>
      <c r="W37" s="372"/>
      <c r="X37" s="372"/>
      <c r="Y37" s="76"/>
      <c r="Z37" s="76"/>
      <c r="AA37" s="253"/>
      <c r="AB37" s="647"/>
      <c r="AC37" s="648"/>
      <c r="AD37" s="66"/>
      <c r="AE37" s="513"/>
      <c r="AF37" s="514"/>
      <c r="AG37" s="514"/>
      <c r="AH37" s="514"/>
      <c r="AI37" s="514"/>
      <c r="AJ37" s="514"/>
      <c r="AK37" s="514"/>
      <c r="AL37" s="514"/>
      <c r="AM37" s="514"/>
      <c r="AN37" s="514"/>
    </row>
    <row r="38" spans="1:40" x14ac:dyDescent="0.25">
      <c r="A38" s="35" t="s">
        <v>36</v>
      </c>
      <c r="B38" s="364">
        <v>19304.07</v>
      </c>
      <c r="C38" s="365">
        <v>18824.18</v>
      </c>
      <c r="D38" s="340">
        <v>8213.06</v>
      </c>
      <c r="E38" s="340">
        <v>5214.4799999999996</v>
      </c>
      <c r="F38" s="340">
        <v>47665.71</v>
      </c>
      <c r="G38" s="427">
        <v>34536.25</v>
      </c>
      <c r="H38" s="340">
        <v>27356.81</v>
      </c>
      <c r="I38" s="340">
        <v>22276.16</v>
      </c>
      <c r="J38" s="340">
        <v>56706.46</v>
      </c>
      <c r="K38" s="342">
        <v>48075.87</v>
      </c>
      <c r="L38" s="340">
        <v>39055.730000000003</v>
      </c>
      <c r="M38" s="340">
        <v>32964.129999999997</v>
      </c>
      <c r="N38" s="340">
        <v>103814.58</v>
      </c>
      <c r="O38" s="649">
        <v>62879.02</v>
      </c>
      <c r="P38" s="427">
        <v>51202.91</v>
      </c>
      <c r="Q38" s="427">
        <v>38853.89</v>
      </c>
      <c r="R38" s="427">
        <v>-2644.5</v>
      </c>
      <c r="S38" s="427">
        <v>72818.06</v>
      </c>
      <c r="T38" s="480">
        <v>69434.289999999994</v>
      </c>
      <c r="U38" s="427">
        <v>58713.47</v>
      </c>
      <c r="V38" s="340">
        <v>47876.78</v>
      </c>
      <c r="W38" s="340">
        <v>48215.53</v>
      </c>
      <c r="X38" s="340">
        <v>24468</v>
      </c>
      <c r="Y38" s="427">
        <v>21348.74</v>
      </c>
      <c r="Z38" s="427">
        <v>15927.15</v>
      </c>
      <c r="AA38" s="588">
        <v>12070.64</v>
      </c>
      <c r="AB38" s="596">
        <v>8230.57</v>
      </c>
      <c r="AC38" s="650">
        <v>4278.1400000000003</v>
      </c>
      <c r="AD38" s="310">
        <v>2462.09</v>
      </c>
      <c r="AE38" s="348">
        <v>-1352.37</v>
      </c>
      <c r="AF38" s="652">
        <v>3374.16</v>
      </c>
      <c r="AG38" s="652">
        <v>485.83</v>
      </c>
      <c r="AH38" s="652">
        <v>1199.1600000000001</v>
      </c>
      <c r="AI38" s="652">
        <v>80.959999999999994</v>
      </c>
      <c r="AJ38" s="652">
        <v>6611.02</v>
      </c>
      <c r="AK38" s="652"/>
      <c r="AL38" s="652"/>
      <c r="AM38" s="652"/>
      <c r="AN38" s="652"/>
    </row>
    <row r="39" spans="1:40" x14ac:dyDescent="0.25">
      <c r="A39" s="35" t="s">
        <v>37</v>
      </c>
      <c r="B39" s="364">
        <v>3928.38</v>
      </c>
      <c r="C39" s="365">
        <v>3864.12</v>
      </c>
      <c r="D39" s="340">
        <v>3699.21</v>
      </c>
      <c r="E39" s="340">
        <v>3449.13</v>
      </c>
      <c r="F39" s="340">
        <v>9596.4500000000007</v>
      </c>
      <c r="G39" s="427">
        <v>9195.4599999999991</v>
      </c>
      <c r="H39" s="340">
        <v>9180.9699999999993</v>
      </c>
      <c r="I39" s="340">
        <v>8951.5400000000009</v>
      </c>
      <c r="J39" s="340">
        <v>6196.21</v>
      </c>
      <c r="K39" s="342">
        <v>6166.33</v>
      </c>
      <c r="L39" s="340">
        <v>5497.29</v>
      </c>
      <c r="M39" s="340">
        <v>4951.74</v>
      </c>
      <c r="N39" s="340">
        <v>9692.64</v>
      </c>
      <c r="O39" s="649">
        <v>5363.23</v>
      </c>
      <c r="P39" s="427">
        <v>3542.09</v>
      </c>
      <c r="Q39" s="427">
        <v>3542.09</v>
      </c>
      <c r="R39" s="427">
        <v>1424.6</v>
      </c>
      <c r="S39" s="427">
        <v>5586.35</v>
      </c>
      <c r="T39" s="480">
        <v>4346.91</v>
      </c>
      <c r="U39" s="427">
        <v>2135.87</v>
      </c>
      <c r="V39" s="340">
        <v>2123.44</v>
      </c>
      <c r="W39" s="341">
        <v>-1028.3</v>
      </c>
      <c r="X39" s="341">
        <v>-3430.03</v>
      </c>
      <c r="Y39" s="427">
        <v>-5410.83</v>
      </c>
      <c r="Z39" s="427">
        <v>-5550.31</v>
      </c>
      <c r="AA39" s="588">
        <v>-4861.17</v>
      </c>
      <c r="AB39" s="597">
        <v>-4920.12</v>
      </c>
      <c r="AC39" s="653">
        <v>-2048.89</v>
      </c>
      <c r="AD39" s="740">
        <v>-1935.63</v>
      </c>
      <c r="AE39" s="634">
        <v>190.12</v>
      </c>
      <c r="AF39" s="652">
        <v>274.74</v>
      </c>
      <c r="AG39" s="652">
        <v>133.38999999999999</v>
      </c>
      <c r="AH39" s="652">
        <v>73.209999999999994</v>
      </c>
      <c r="AI39" s="744">
        <v>-519.46</v>
      </c>
      <c r="AJ39" s="744">
        <v>-297.86</v>
      </c>
      <c r="AK39" s="652"/>
      <c r="AL39" s="652"/>
      <c r="AM39" s="652"/>
      <c r="AN39" s="652"/>
    </row>
    <row r="40" spans="1:40" x14ac:dyDescent="0.25">
      <c r="A40" s="35" t="s">
        <v>38</v>
      </c>
      <c r="B40" s="364">
        <v>5019.6499999999996</v>
      </c>
      <c r="C40" s="365">
        <v>5000.75</v>
      </c>
      <c r="D40" s="340">
        <v>2749.3</v>
      </c>
      <c r="E40" s="340">
        <v>668.01</v>
      </c>
      <c r="F40" s="340">
        <v>16945.330000000002</v>
      </c>
      <c r="G40" s="427">
        <v>5618.09</v>
      </c>
      <c r="H40" s="340">
        <v>3974.31</v>
      </c>
      <c r="I40" s="340">
        <v>3016.67</v>
      </c>
      <c r="J40" s="340">
        <v>68999.75</v>
      </c>
      <c r="K40" s="342">
        <v>65409.99</v>
      </c>
      <c r="L40" s="340">
        <v>7554.53</v>
      </c>
      <c r="M40" s="340">
        <v>4025.31</v>
      </c>
      <c r="N40" s="340">
        <v>30792.28</v>
      </c>
      <c r="O40" s="649">
        <v>21435.38</v>
      </c>
      <c r="P40" s="427">
        <v>13203.91</v>
      </c>
      <c r="Q40" s="427">
        <v>10391.4</v>
      </c>
      <c r="R40" s="427">
        <v>7935.02</v>
      </c>
      <c r="S40" s="427">
        <v>29209.37</v>
      </c>
      <c r="T40" s="480">
        <v>26991.919999999998</v>
      </c>
      <c r="U40" s="427">
        <v>4416.3999999999996</v>
      </c>
      <c r="V40" s="341">
        <v>-5111.3999999999996</v>
      </c>
      <c r="W40" s="340">
        <v>5228.9399999999996</v>
      </c>
      <c r="X40" s="340">
        <v>1171.72</v>
      </c>
      <c r="Y40" s="427">
        <v>878.61</v>
      </c>
      <c r="Z40" s="427">
        <v>425.62</v>
      </c>
      <c r="AA40" s="588">
        <v>1386.6</v>
      </c>
      <c r="AB40" s="596">
        <v>1288.76</v>
      </c>
      <c r="AC40" s="650">
        <v>145.85</v>
      </c>
      <c r="AD40" s="740">
        <v>-607.84</v>
      </c>
      <c r="AE40" s="348">
        <v>-990.7</v>
      </c>
      <c r="AF40" s="652">
        <v>749.03</v>
      </c>
      <c r="AG40" s="652">
        <v>773.75</v>
      </c>
      <c r="AH40" s="744">
        <v>-156.27000000000001</v>
      </c>
      <c r="AI40" s="744">
        <v>-309.18</v>
      </c>
      <c r="AJ40" s="652">
        <v>2457.21</v>
      </c>
      <c r="AK40" s="652"/>
      <c r="AL40" s="652"/>
      <c r="AM40" s="652"/>
      <c r="AN40" s="652"/>
    </row>
    <row r="41" spans="1:40" x14ac:dyDescent="0.25">
      <c r="A41" s="35" t="s">
        <v>39</v>
      </c>
      <c r="B41" s="364"/>
      <c r="C41" s="365"/>
      <c r="D41" s="340"/>
      <c r="E41" s="340"/>
      <c r="F41" s="340"/>
      <c r="G41" s="427"/>
      <c r="H41" s="340"/>
      <c r="J41" s="340"/>
      <c r="K41" s="342"/>
      <c r="L41" s="340"/>
      <c r="M41" s="340"/>
      <c r="N41" s="340"/>
      <c r="O41" s="654"/>
      <c r="P41" s="79"/>
      <c r="Q41" s="427"/>
      <c r="R41" s="427"/>
      <c r="S41" s="427"/>
      <c r="T41" s="480"/>
      <c r="U41" s="427"/>
      <c r="V41" s="340"/>
      <c r="W41" s="340"/>
      <c r="X41" s="340"/>
      <c r="Y41" s="79"/>
      <c r="Z41" s="79"/>
      <c r="AA41" s="588"/>
      <c r="AB41" s="287"/>
      <c r="AC41" s="650"/>
      <c r="AD41" s="310"/>
      <c r="AE41" s="651"/>
      <c r="AF41" s="652"/>
      <c r="AG41" s="652"/>
      <c r="AH41" s="652"/>
      <c r="AI41" s="652"/>
      <c r="AJ41" s="652"/>
      <c r="AK41" s="652"/>
      <c r="AL41" s="652"/>
      <c r="AM41" s="652"/>
      <c r="AN41" s="652"/>
    </row>
    <row r="42" spans="1:40" x14ac:dyDescent="0.25">
      <c r="A42" s="35" t="s">
        <v>62</v>
      </c>
      <c r="B42" s="364">
        <v>0</v>
      </c>
      <c r="C42" s="365"/>
      <c r="D42" s="340"/>
      <c r="E42" s="340"/>
      <c r="F42" s="340"/>
      <c r="G42" s="427"/>
      <c r="H42" s="340"/>
      <c r="I42" s="340"/>
      <c r="J42" s="340"/>
      <c r="K42" s="342"/>
      <c r="L42" s="340"/>
      <c r="M42" s="340"/>
      <c r="N42" s="340"/>
      <c r="O42" s="654"/>
      <c r="P42" s="79"/>
      <c r="Q42" s="427"/>
      <c r="R42" s="427"/>
      <c r="S42" s="427"/>
      <c r="T42" s="480"/>
      <c r="U42" s="427"/>
      <c r="V42" s="340"/>
      <c r="W42" s="340"/>
      <c r="X42" s="340"/>
      <c r="Y42" s="79"/>
      <c r="Z42" s="79"/>
      <c r="AA42" s="588"/>
      <c r="AB42" s="287"/>
      <c r="AC42" s="650"/>
      <c r="AD42" s="310"/>
      <c r="AE42" s="651"/>
      <c r="AF42" s="652"/>
      <c r="AG42" s="652"/>
      <c r="AH42" s="652"/>
      <c r="AI42" s="652"/>
      <c r="AJ42" s="652"/>
      <c r="AK42" s="652"/>
      <c r="AL42" s="652"/>
      <c r="AM42" s="652"/>
      <c r="AN42" s="652"/>
    </row>
    <row r="43" spans="1:40" x14ac:dyDescent="0.25">
      <c r="A43" s="35" t="s">
        <v>41</v>
      </c>
      <c r="B43" s="364">
        <f>SUM(B38:B42)</f>
        <v>28252.1</v>
      </c>
      <c r="C43" s="364">
        <f t="shared" ref="C43:AC43" si="4">SUM(C38:C42)</f>
        <v>27689.05</v>
      </c>
      <c r="D43" s="364">
        <f t="shared" si="4"/>
        <v>14661.57</v>
      </c>
      <c r="E43" s="364">
        <f t="shared" si="4"/>
        <v>9331.6200000000008</v>
      </c>
      <c r="F43" s="364">
        <f t="shared" si="4"/>
        <v>74207.490000000005</v>
      </c>
      <c r="G43" s="364">
        <f t="shared" si="4"/>
        <v>49349.8</v>
      </c>
      <c r="H43" s="364">
        <f t="shared" si="4"/>
        <v>40512.089999999997</v>
      </c>
      <c r="I43" s="364">
        <f>SUM(I38:I42)</f>
        <v>34244.370000000003</v>
      </c>
      <c r="J43" s="364">
        <f t="shared" si="4"/>
        <v>131902.41999999998</v>
      </c>
      <c r="K43" s="364">
        <f t="shared" si="4"/>
        <v>119652.19</v>
      </c>
      <c r="L43" s="364">
        <f t="shared" si="4"/>
        <v>52107.55</v>
      </c>
      <c r="M43" s="364">
        <f t="shared" si="4"/>
        <v>41941.179999999993</v>
      </c>
      <c r="N43" s="364">
        <f t="shared" si="4"/>
        <v>144299.5</v>
      </c>
      <c r="O43" s="483">
        <f t="shared" si="4"/>
        <v>89677.63</v>
      </c>
      <c r="P43" s="483">
        <f t="shared" si="4"/>
        <v>67948.91</v>
      </c>
      <c r="Q43" s="477">
        <f t="shared" si="4"/>
        <v>52787.38</v>
      </c>
      <c r="R43" s="477">
        <f t="shared" si="4"/>
        <v>6715.1200000000008</v>
      </c>
      <c r="S43" s="477">
        <f t="shared" si="4"/>
        <v>107613.78</v>
      </c>
      <c r="T43" s="477">
        <f t="shared" si="4"/>
        <v>100773.12</v>
      </c>
      <c r="U43" s="477">
        <f t="shared" si="4"/>
        <v>65265.740000000005</v>
      </c>
      <c r="V43" s="483">
        <f t="shared" si="4"/>
        <v>44888.82</v>
      </c>
      <c r="W43" s="483">
        <f t="shared" si="4"/>
        <v>52416.17</v>
      </c>
      <c r="X43" s="483">
        <f t="shared" si="4"/>
        <v>22209.690000000002</v>
      </c>
      <c r="Y43" s="483">
        <f t="shared" si="4"/>
        <v>16816.52</v>
      </c>
      <c r="Z43" s="483">
        <f t="shared" si="4"/>
        <v>10802.460000000001</v>
      </c>
      <c r="AA43" s="483">
        <f t="shared" si="4"/>
        <v>8596.07</v>
      </c>
      <c r="AB43" s="483">
        <f t="shared" si="4"/>
        <v>4599.21</v>
      </c>
      <c r="AC43" s="483">
        <f t="shared" si="4"/>
        <v>2375.1000000000004</v>
      </c>
      <c r="AD43" s="741">
        <f t="shared" ref="AD43:AJ43" si="5">SUM(AD38:AD42)</f>
        <v>-81.38</v>
      </c>
      <c r="AE43" s="741">
        <f t="shared" si="5"/>
        <v>-2152.9499999999998</v>
      </c>
      <c r="AF43" s="483">
        <f t="shared" si="5"/>
        <v>4397.9299999999994</v>
      </c>
      <c r="AG43" s="483">
        <f t="shared" si="5"/>
        <v>1392.97</v>
      </c>
      <c r="AH43" s="483">
        <f t="shared" si="5"/>
        <v>1116.1000000000001</v>
      </c>
      <c r="AI43" s="741">
        <f t="shared" si="5"/>
        <v>-747.68000000000006</v>
      </c>
      <c r="AJ43" s="750">
        <f t="shared" si="5"/>
        <v>8770.3700000000008</v>
      </c>
      <c r="AK43" s="334"/>
      <c r="AL43" s="334"/>
      <c r="AM43" s="334"/>
      <c r="AN43" s="334"/>
    </row>
    <row r="44" spans="1:40" x14ac:dyDescent="0.25">
      <c r="A44" s="42" t="s">
        <v>30</v>
      </c>
      <c r="B44" s="364"/>
      <c r="C44" s="365"/>
      <c r="D44" s="340"/>
      <c r="E44" s="340"/>
      <c r="F44" s="340"/>
      <c r="G44" s="427"/>
      <c r="H44" s="340"/>
      <c r="I44" s="340"/>
      <c r="J44" s="340"/>
      <c r="K44" s="342"/>
      <c r="L44" s="340"/>
      <c r="M44" s="340"/>
      <c r="N44" s="340"/>
      <c r="O44" s="654"/>
      <c r="P44" s="79"/>
      <c r="Q44" s="427"/>
      <c r="R44" s="427"/>
      <c r="S44" s="427"/>
      <c r="T44" s="480"/>
      <c r="U44" s="427"/>
      <c r="V44" s="340"/>
      <c r="W44" s="340"/>
      <c r="X44" s="340"/>
      <c r="Y44" s="79"/>
      <c r="Z44" s="79"/>
      <c r="AA44" s="588"/>
      <c r="AB44" s="287"/>
      <c r="AC44" s="655"/>
      <c r="AD44" s="310"/>
      <c r="AE44" s="651"/>
      <c r="AF44" s="652"/>
      <c r="AG44" s="652"/>
      <c r="AH44" s="652"/>
      <c r="AI44" s="652"/>
      <c r="AJ44" s="652"/>
      <c r="AK44" s="652"/>
      <c r="AL44" s="652"/>
      <c r="AM44" s="652"/>
      <c r="AN44" s="652"/>
    </row>
    <row r="45" spans="1:40" x14ac:dyDescent="0.25">
      <c r="A45" s="35" t="s">
        <v>36</v>
      </c>
      <c r="B45" s="364">
        <v>3557.97</v>
      </c>
      <c r="C45" s="365">
        <v>691.08</v>
      </c>
      <c r="D45" s="341">
        <v>-340.24</v>
      </c>
      <c r="E45" s="341">
        <v>-708.02</v>
      </c>
      <c r="F45" s="340">
        <v>9093.5</v>
      </c>
      <c r="G45" s="656">
        <v>8953.89</v>
      </c>
      <c r="H45" s="340">
        <v>6943.64</v>
      </c>
      <c r="I45" s="340">
        <v>5645.62</v>
      </c>
      <c r="J45" s="340">
        <v>23679.65</v>
      </c>
      <c r="K45" s="342">
        <v>21818.27</v>
      </c>
      <c r="L45" s="340">
        <v>18478.38</v>
      </c>
      <c r="M45" s="340">
        <v>14988.97</v>
      </c>
      <c r="N45" s="341">
        <v>-1562.1</v>
      </c>
      <c r="O45" s="649">
        <v>24062.74</v>
      </c>
      <c r="P45" s="427">
        <v>19274.439999999999</v>
      </c>
      <c r="Q45" s="427">
        <v>16550.22</v>
      </c>
      <c r="R45" s="427">
        <v>52215.49</v>
      </c>
      <c r="S45" s="427">
        <v>34342.730000000003</v>
      </c>
      <c r="T45" s="480">
        <v>33568.980000000003</v>
      </c>
      <c r="U45" s="427">
        <v>27016.69</v>
      </c>
      <c r="V45" s="340">
        <v>21888.799999999999</v>
      </c>
      <c r="W45" s="340">
        <v>26806.62</v>
      </c>
      <c r="X45" s="340">
        <v>40170.019999999997</v>
      </c>
      <c r="Y45" s="427">
        <v>36732.910000000003</v>
      </c>
      <c r="Z45" s="427">
        <v>36098.75</v>
      </c>
      <c r="AA45" s="588">
        <v>33978.1</v>
      </c>
      <c r="AB45" s="596">
        <v>14205.26</v>
      </c>
      <c r="AC45" s="657">
        <v>13197</v>
      </c>
      <c r="AD45" s="310">
        <v>8479.64</v>
      </c>
      <c r="AE45" s="634">
        <v>7055.96</v>
      </c>
      <c r="AF45" s="652">
        <v>2429.7339999999999</v>
      </c>
      <c r="AG45" s="652">
        <v>1585.98</v>
      </c>
      <c r="AH45" s="652">
        <v>127.88</v>
      </c>
      <c r="AI45" s="744">
        <v>-650.05999999999995</v>
      </c>
      <c r="AJ45" s="652">
        <v>437.88</v>
      </c>
      <c r="AK45" s="652"/>
      <c r="AL45" s="652"/>
      <c r="AM45" s="652"/>
      <c r="AN45" s="652"/>
    </row>
    <row r="46" spans="1:40" x14ac:dyDescent="0.25">
      <c r="A46" s="35" t="s">
        <v>37</v>
      </c>
      <c r="B46" s="364">
        <v>1089.19</v>
      </c>
      <c r="C46" s="365">
        <v>1082.97</v>
      </c>
      <c r="D46" s="340">
        <v>1069.8599999999999</v>
      </c>
      <c r="E46" s="340">
        <v>920.31</v>
      </c>
      <c r="F46" s="340">
        <v>3457.61</v>
      </c>
      <c r="G46" s="656">
        <v>3219.81</v>
      </c>
      <c r="H46" s="340">
        <v>3245.58</v>
      </c>
      <c r="I46" s="340">
        <v>3230.96</v>
      </c>
      <c r="J46" s="340">
        <v>7667.92</v>
      </c>
      <c r="K46" s="342">
        <v>7523.09</v>
      </c>
      <c r="L46" s="340">
        <v>6932.95</v>
      </c>
      <c r="M46" s="340">
        <v>6861.66</v>
      </c>
      <c r="N46" s="340">
        <v>12.03</v>
      </c>
      <c r="O46" s="649">
        <v>1354.42</v>
      </c>
      <c r="P46" s="427">
        <v>847.87</v>
      </c>
      <c r="Q46" s="427">
        <v>847.87</v>
      </c>
      <c r="R46" s="427">
        <v>730.11</v>
      </c>
      <c r="S46" s="427">
        <v>2548.59</v>
      </c>
      <c r="T46" s="480">
        <v>1987.54</v>
      </c>
      <c r="U46" s="427">
        <v>1921.44</v>
      </c>
      <c r="V46" s="340">
        <v>1036.5</v>
      </c>
      <c r="W46" s="340">
        <v>1288.7</v>
      </c>
      <c r="X46" s="340">
        <v>3585.48</v>
      </c>
      <c r="Y46" s="427">
        <v>2094.92</v>
      </c>
      <c r="Z46" s="427">
        <v>2095.34</v>
      </c>
      <c r="AA46" s="588">
        <v>-890.92</v>
      </c>
      <c r="AB46" s="597">
        <v>-3010.65</v>
      </c>
      <c r="AC46" s="658">
        <v>-4669.29</v>
      </c>
      <c r="AD46" s="740">
        <v>-4543.21</v>
      </c>
      <c r="AE46" s="348">
        <v>-4293.21</v>
      </c>
      <c r="AF46" s="744">
        <v>-4086.53</v>
      </c>
      <c r="AG46" s="744">
        <v>-1765.67</v>
      </c>
      <c r="AH46" s="744">
        <v>-1707.09</v>
      </c>
      <c r="AI46" s="652">
        <v>117.62</v>
      </c>
      <c r="AJ46" s="652">
        <v>221.81</v>
      </c>
      <c r="AK46" s="652"/>
      <c r="AL46" s="652"/>
      <c r="AM46" s="652"/>
      <c r="AN46" s="652"/>
    </row>
    <row r="47" spans="1:40" x14ac:dyDescent="0.25">
      <c r="A47" s="35" t="s">
        <v>38</v>
      </c>
      <c r="B47" s="366">
        <v>-354.64</v>
      </c>
      <c r="C47" s="367">
        <v>-6.42</v>
      </c>
      <c r="D47" s="341">
        <v>-23.61</v>
      </c>
      <c r="E47" s="341">
        <v>-48.71</v>
      </c>
      <c r="F47" s="340">
        <v>1025.8499999999999</v>
      </c>
      <c r="G47" s="427">
        <v>968.68</v>
      </c>
      <c r="H47" s="340">
        <v>639.99</v>
      </c>
      <c r="I47" s="340">
        <v>189.85</v>
      </c>
      <c r="J47" s="340">
        <v>2427.61</v>
      </c>
      <c r="K47" s="342">
        <v>1266.71</v>
      </c>
      <c r="L47" s="340">
        <v>977.29</v>
      </c>
      <c r="M47" s="340">
        <v>975.39</v>
      </c>
      <c r="N47" s="341">
        <v>-393.26</v>
      </c>
      <c r="O47" s="649">
        <v>1021.93</v>
      </c>
      <c r="P47" s="427">
        <v>609.03</v>
      </c>
      <c r="Q47" s="427">
        <v>55.6</v>
      </c>
      <c r="R47" s="427">
        <v>-140.72</v>
      </c>
      <c r="S47" s="427">
        <v>9169.1200000000008</v>
      </c>
      <c r="T47" s="480">
        <v>9167.41</v>
      </c>
      <c r="U47" s="427">
        <v>9091.0499999999993</v>
      </c>
      <c r="V47" s="341">
        <v>-139.28</v>
      </c>
      <c r="W47" s="341">
        <v>-602.65</v>
      </c>
      <c r="X47" s="341">
        <v>-5262.31</v>
      </c>
      <c r="Y47" s="427">
        <v>-5677.79</v>
      </c>
      <c r="Z47" s="427">
        <v>-5920.52</v>
      </c>
      <c r="AA47" s="588">
        <v>-3924.88</v>
      </c>
      <c r="AB47" s="596">
        <v>575.78</v>
      </c>
      <c r="AC47" s="657">
        <v>496.96</v>
      </c>
      <c r="AD47" s="310">
        <v>469.75</v>
      </c>
      <c r="AE47" s="634">
        <v>471.72</v>
      </c>
      <c r="AF47" s="652">
        <v>693.46</v>
      </c>
      <c r="AG47" s="652">
        <v>633.12</v>
      </c>
      <c r="AH47" s="744">
        <v>-331.24</v>
      </c>
      <c r="AI47" s="744">
        <v>-697.63</v>
      </c>
      <c r="AJ47" s="744">
        <v>-400.29</v>
      </c>
      <c r="AK47" s="652"/>
      <c r="AL47" s="652"/>
      <c r="AM47" s="652"/>
      <c r="AN47" s="652"/>
    </row>
    <row r="48" spans="1:40" x14ac:dyDescent="0.25">
      <c r="A48" s="35" t="s">
        <v>39</v>
      </c>
      <c r="B48" s="364"/>
      <c r="C48" s="365"/>
      <c r="D48" s="340"/>
      <c r="E48" s="340"/>
      <c r="F48" s="340"/>
      <c r="G48" s="427"/>
      <c r="H48" s="340"/>
      <c r="I48" s="340"/>
      <c r="J48" s="340"/>
      <c r="K48" s="342"/>
      <c r="L48" s="340"/>
      <c r="M48" s="340"/>
      <c r="N48" s="340"/>
      <c r="O48" s="654"/>
      <c r="P48" s="79"/>
      <c r="Q48" s="427"/>
      <c r="R48" s="427"/>
      <c r="S48" s="427"/>
      <c r="T48" s="480"/>
      <c r="U48" s="427"/>
      <c r="V48" s="340"/>
      <c r="W48" s="340"/>
      <c r="X48" s="340"/>
      <c r="Y48" s="79"/>
      <c r="Z48" s="79"/>
      <c r="AA48" s="588"/>
      <c r="AB48" s="287"/>
      <c r="AC48" s="657"/>
      <c r="AD48" s="310"/>
      <c r="AE48" s="634"/>
      <c r="AF48" s="652"/>
      <c r="AG48" s="652"/>
      <c r="AH48" s="652"/>
      <c r="AI48" s="652"/>
      <c r="AJ48" s="652"/>
      <c r="AK48" s="652"/>
      <c r="AL48" s="652"/>
      <c r="AM48" s="652"/>
      <c r="AN48" s="652"/>
    </row>
    <row r="49" spans="1:40" x14ac:dyDescent="0.25">
      <c r="A49" s="35" t="s">
        <v>62</v>
      </c>
      <c r="B49" s="364">
        <v>0</v>
      </c>
      <c r="C49" s="365"/>
      <c r="D49" s="340"/>
      <c r="E49" s="340"/>
      <c r="F49" s="340"/>
      <c r="G49" s="427"/>
      <c r="H49" s="340"/>
      <c r="I49" s="340"/>
      <c r="J49" s="340"/>
      <c r="K49" s="342"/>
      <c r="L49" s="340"/>
      <c r="M49" s="340"/>
      <c r="N49" s="340"/>
      <c r="O49" s="654"/>
      <c r="P49" s="79"/>
      <c r="Q49" s="427"/>
      <c r="R49" s="427"/>
      <c r="S49" s="427"/>
      <c r="T49" s="480"/>
      <c r="U49" s="427"/>
      <c r="V49" s="340"/>
      <c r="W49" s="340"/>
      <c r="X49" s="340"/>
      <c r="Y49" s="79"/>
      <c r="Z49" s="79"/>
      <c r="AA49" s="588"/>
      <c r="AB49" s="287"/>
      <c r="AC49" s="657"/>
      <c r="AD49" s="310"/>
      <c r="AE49" s="634"/>
      <c r="AF49" s="652"/>
      <c r="AG49" s="652"/>
      <c r="AH49" s="652"/>
      <c r="AI49" s="652"/>
      <c r="AJ49" s="652"/>
      <c r="AK49" s="652"/>
      <c r="AL49" s="652"/>
      <c r="AM49" s="652"/>
      <c r="AN49" s="652"/>
    </row>
    <row r="50" spans="1:40" x14ac:dyDescent="0.25">
      <c r="A50" s="35" t="s">
        <v>41</v>
      </c>
      <c r="B50" s="364">
        <f>SUM(B45:B49)</f>
        <v>4292.5199999999995</v>
      </c>
      <c r="C50" s="364">
        <f t="shared" ref="C50:AC50" si="6">SUM(C45:C49)</f>
        <v>1767.63</v>
      </c>
      <c r="D50" s="364">
        <f t="shared" si="6"/>
        <v>706.00999999999988</v>
      </c>
      <c r="E50" s="364">
        <f t="shared" si="6"/>
        <v>163.57999999999996</v>
      </c>
      <c r="F50" s="364">
        <f t="shared" si="6"/>
        <v>13576.960000000001</v>
      </c>
      <c r="G50" s="364">
        <f t="shared" si="6"/>
        <v>13142.38</v>
      </c>
      <c r="H50" s="364">
        <f t="shared" si="6"/>
        <v>10829.210000000001</v>
      </c>
      <c r="I50" s="364">
        <f t="shared" si="6"/>
        <v>9066.43</v>
      </c>
      <c r="J50" s="364">
        <f t="shared" si="6"/>
        <v>33775.18</v>
      </c>
      <c r="K50" s="364">
        <f t="shared" si="6"/>
        <v>30608.07</v>
      </c>
      <c r="L50" s="364">
        <f t="shared" si="6"/>
        <v>26388.620000000003</v>
      </c>
      <c r="M50" s="364">
        <f t="shared" si="6"/>
        <v>22826.019999999997</v>
      </c>
      <c r="N50" s="364">
        <f t="shared" si="6"/>
        <v>-1943.33</v>
      </c>
      <c r="O50" s="483">
        <f t="shared" si="6"/>
        <v>26439.090000000004</v>
      </c>
      <c r="P50" s="483">
        <f t="shared" si="6"/>
        <v>20731.339999999997</v>
      </c>
      <c r="Q50" s="477">
        <f t="shared" si="6"/>
        <v>17453.689999999999</v>
      </c>
      <c r="R50" s="477">
        <f t="shared" si="6"/>
        <v>52804.88</v>
      </c>
      <c r="S50" s="477">
        <f t="shared" si="6"/>
        <v>46060.44000000001</v>
      </c>
      <c r="T50" s="477">
        <f t="shared" si="6"/>
        <v>44723.930000000008</v>
      </c>
      <c r="U50" s="477">
        <f t="shared" si="6"/>
        <v>38029.179999999993</v>
      </c>
      <c r="V50" s="483">
        <f t="shared" si="6"/>
        <v>22786.02</v>
      </c>
      <c r="W50" s="483">
        <f t="shared" si="6"/>
        <v>27492.67</v>
      </c>
      <c r="X50" s="483">
        <f t="shared" si="6"/>
        <v>38493.19</v>
      </c>
      <c r="Y50" s="483">
        <f t="shared" si="6"/>
        <v>33150.04</v>
      </c>
      <c r="Z50" s="483">
        <f t="shared" si="6"/>
        <v>32273.569999999996</v>
      </c>
      <c r="AA50" s="483">
        <f t="shared" si="6"/>
        <v>29162.3</v>
      </c>
      <c r="AB50" s="483">
        <f t="shared" si="6"/>
        <v>11770.390000000001</v>
      </c>
      <c r="AC50" s="483">
        <f t="shared" si="6"/>
        <v>9024.6699999999983</v>
      </c>
      <c r="AD50" s="483">
        <f t="shared" ref="AD50:AJ50" si="7">SUM(AD45:AD49)</f>
        <v>4406.1799999999994</v>
      </c>
      <c r="AE50" s="483">
        <f t="shared" si="7"/>
        <v>3234.4700000000003</v>
      </c>
      <c r="AF50" s="741">
        <f t="shared" si="7"/>
        <v>-963.33600000000024</v>
      </c>
      <c r="AG50" s="483">
        <f t="shared" si="7"/>
        <v>453.42999999999995</v>
      </c>
      <c r="AH50" s="741">
        <f t="shared" si="7"/>
        <v>-1910.45</v>
      </c>
      <c r="AI50" s="741">
        <f t="shared" si="7"/>
        <v>-1230.07</v>
      </c>
      <c r="AJ50" s="483">
        <f t="shared" si="7"/>
        <v>259.40000000000003</v>
      </c>
      <c r="AK50" s="334"/>
      <c r="AL50" s="334"/>
      <c r="AM50" s="334"/>
      <c r="AN50" s="334"/>
    </row>
    <row r="51" spans="1:40" x14ac:dyDescent="0.25">
      <c r="A51" s="42" t="s">
        <v>31</v>
      </c>
      <c r="B51" s="364"/>
      <c r="C51" s="365"/>
      <c r="D51" s="340"/>
      <c r="E51" s="340"/>
      <c r="F51" s="340"/>
      <c r="G51" s="427"/>
      <c r="H51" s="340"/>
      <c r="I51" s="340"/>
      <c r="J51" s="340"/>
      <c r="K51" s="342"/>
      <c r="L51" s="340"/>
      <c r="M51" s="340"/>
      <c r="N51" s="340"/>
      <c r="O51" s="654"/>
      <c r="P51" s="79"/>
      <c r="Q51" s="427"/>
      <c r="R51" s="427"/>
      <c r="S51" s="427"/>
      <c r="T51" s="480"/>
      <c r="U51" s="427"/>
      <c r="V51" s="340"/>
      <c r="W51" s="340"/>
      <c r="X51" s="340"/>
      <c r="Y51" s="79"/>
      <c r="Z51" s="79"/>
      <c r="AA51" s="588"/>
      <c r="AB51" s="287"/>
      <c r="AC51" s="655"/>
      <c r="AD51" s="310"/>
      <c r="AE51" s="634"/>
      <c r="AF51" s="652"/>
      <c r="AG51" s="652"/>
      <c r="AH51" s="652"/>
      <c r="AI51" s="652"/>
      <c r="AJ51" s="652"/>
      <c r="AK51" s="652"/>
      <c r="AL51" s="652"/>
      <c r="AM51" s="652"/>
      <c r="AN51" s="652"/>
    </row>
    <row r="52" spans="1:40" x14ac:dyDescent="0.25">
      <c r="A52" s="35" t="s">
        <v>36</v>
      </c>
      <c r="B52" s="364">
        <v>23880.799999999999</v>
      </c>
      <c r="C52" s="365">
        <v>23594.75</v>
      </c>
      <c r="D52" s="340">
        <v>19317.2</v>
      </c>
      <c r="E52" s="340">
        <v>17714.990000000002</v>
      </c>
      <c r="F52" s="340">
        <v>22949.45</v>
      </c>
      <c r="G52" s="427">
        <v>25670.959999999999</v>
      </c>
      <c r="H52" s="340">
        <v>20445.09</v>
      </c>
      <c r="I52" s="340">
        <v>20005.25</v>
      </c>
      <c r="J52" s="340">
        <v>34185.379999999997</v>
      </c>
      <c r="K52" s="342">
        <v>31900.79</v>
      </c>
      <c r="L52" s="340">
        <v>29481.61</v>
      </c>
      <c r="M52" s="340">
        <v>27780.880000000001</v>
      </c>
      <c r="N52" s="340">
        <v>46338.14</v>
      </c>
      <c r="O52" s="649">
        <v>16026.53</v>
      </c>
      <c r="P52" s="427">
        <v>12384.16</v>
      </c>
      <c r="Q52" s="427">
        <v>10858.83</v>
      </c>
      <c r="R52" s="427">
        <v>9054.43</v>
      </c>
      <c r="S52" s="427">
        <v>22997.45</v>
      </c>
      <c r="T52" s="480">
        <v>22312.04</v>
      </c>
      <c r="U52" s="427">
        <v>20697.990000000002</v>
      </c>
      <c r="V52" s="340">
        <v>18587.759999999998</v>
      </c>
      <c r="W52" s="340">
        <v>38760.86</v>
      </c>
      <c r="X52" s="340">
        <v>35417.21</v>
      </c>
      <c r="Y52" s="427">
        <v>34491.050000000003</v>
      </c>
      <c r="Z52" s="427">
        <v>28086.799999999999</v>
      </c>
      <c r="AA52" s="588">
        <v>44143.73</v>
      </c>
      <c r="AB52" s="596">
        <v>56369.57</v>
      </c>
      <c r="AC52" s="657">
        <v>50585.32</v>
      </c>
      <c r="AD52" s="310">
        <v>35300.239999999998</v>
      </c>
      <c r="AE52" s="634">
        <v>29779.21</v>
      </c>
      <c r="AF52" s="652">
        <v>38483.49</v>
      </c>
      <c r="AG52" s="652">
        <v>34483.89</v>
      </c>
      <c r="AH52" s="652">
        <v>26358.23</v>
      </c>
      <c r="AI52" s="652">
        <v>21490.799999999999</v>
      </c>
      <c r="AJ52" s="652">
        <v>25689.11</v>
      </c>
      <c r="AK52" s="652"/>
      <c r="AL52" s="652"/>
      <c r="AM52" s="652"/>
      <c r="AN52" s="652"/>
    </row>
    <row r="53" spans="1:40" x14ac:dyDescent="0.25">
      <c r="A53" s="35" t="s">
        <v>37</v>
      </c>
      <c r="B53" s="364">
        <v>2712.63</v>
      </c>
      <c r="C53" s="365">
        <v>2712.63</v>
      </c>
      <c r="D53" s="340">
        <v>2325.7399999999998</v>
      </c>
      <c r="E53" s="340">
        <v>2068.77</v>
      </c>
      <c r="F53" s="340">
        <v>2992.68</v>
      </c>
      <c r="G53" s="427">
        <v>3249.1</v>
      </c>
      <c r="H53" s="340">
        <v>3274.06</v>
      </c>
      <c r="I53" s="340">
        <v>3159</v>
      </c>
      <c r="J53" s="340">
        <v>5259.39</v>
      </c>
      <c r="K53" s="342">
        <v>5109.3900000000003</v>
      </c>
      <c r="L53" s="340">
        <v>4703.8100000000004</v>
      </c>
      <c r="M53" s="340">
        <v>4712.3500000000004</v>
      </c>
      <c r="N53" s="340">
        <v>7976.1</v>
      </c>
      <c r="O53" s="649">
        <v>1967.24</v>
      </c>
      <c r="P53" s="427">
        <v>1425.23</v>
      </c>
      <c r="Q53" s="427">
        <v>1425.23</v>
      </c>
      <c r="R53" s="427">
        <v>1075.3800000000001</v>
      </c>
      <c r="S53" s="427">
        <v>1554.63</v>
      </c>
      <c r="T53" s="480">
        <v>1159.3699999999999</v>
      </c>
      <c r="U53" s="427">
        <v>1225.6600000000001</v>
      </c>
      <c r="V53" s="340">
        <v>986.61</v>
      </c>
      <c r="W53" s="340">
        <v>2503.58</v>
      </c>
      <c r="X53" s="340">
        <v>2457.94</v>
      </c>
      <c r="Y53" s="427">
        <v>2247.4499999999998</v>
      </c>
      <c r="Z53" s="427">
        <v>2149.3200000000002</v>
      </c>
      <c r="AA53" s="588">
        <v>2323.54</v>
      </c>
      <c r="AB53" s="596">
        <v>4546.5600000000004</v>
      </c>
      <c r="AC53" s="657">
        <v>4116.3999999999996</v>
      </c>
      <c r="AD53" s="310">
        <v>5224.87</v>
      </c>
      <c r="AE53" s="634">
        <v>4333.5200000000004</v>
      </c>
      <c r="AF53" s="652">
        <v>5280.16</v>
      </c>
      <c r="AG53" s="744">
        <v>-1095.8800000000001</v>
      </c>
      <c r="AH53" s="744">
        <v>-1350.59</v>
      </c>
      <c r="AI53" s="744">
        <v>-3037.04</v>
      </c>
      <c r="AJ53" s="744">
        <v>-2462.67</v>
      </c>
      <c r="AK53" s="652"/>
      <c r="AL53" s="652"/>
      <c r="AM53" s="652"/>
      <c r="AN53" s="652"/>
    </row>
    <row r="54" spans="1:40" x14ac:dyDescent="0.25">
      <c r="A54" s="35" t="s">
        <v>38</v>
      </c>
      <c r="B54" s="366">
        <v>-3523.98</v>
      </c>
      <c r="C54" s="367">
        <v>-3898.2</v>
      </c>
      <c r="D54" s="341">
        <v>-3925.59</v>
      </c>
      <c r="E54" s="341">
        <v>-3915.95</v>
      </c>
      <c r="F54" s="341">
        <v>-3964.66</v>
      </c>
      <c r="G54" s="427">
        <v>-3610.48</v>
      </c>
      <c r="H54" s="341">
        <v>-3610.48</v>
      </c>
      <c r="I54" s="341">
        <v>-4335.7700000000004</v>
      </c>
      <c r="J54" s="341">
        <v>-3343.58</v>
      </c>
      <c r="K54" s="345">
        <v>-3343.58</v>
      </c>
      <c r="L54" s="341">
        <v>-3457.29</v>
      </c>
      <c r="M54" s="341">
        <v>-3457.29</v>
      </c>
      <c r="N54" s="341">
        <v>-2181.79</v>
      </c>
      <c r="O54" s="649">
        <v>263.82</v>
      </c>
      <c r="P54" s="427">
        <v>263.82</v>
      </c>
      <c r="Q54" s="427">
        <v>-343.81</v>
      </c>
      <c r="R54" s="427">
        <v>-343.81</v>
      </c>
      <c r="S54" s="427">
        <v>-261.06</v>
      </c>
      <c r="T54" s="480">
        <v>-259.58999999999997</v>
      </c>
      <c r="U54" s="427">
        <v>-247.04</v>
      </c>
      <c r="V54" s="341">
        <v>-672.74</v>
      </c>
      <c r="W54" s="341">
        <v>-387.46</v>
      </c>
      <c r="X54" s="341">
        <v>-601.75</v>
      </c>
      <c r="Y54" s="427">
        <v>-543.19000000000005</v>
      </c>
      <c r="Z54" s="427">
        <v>-908.3</v>
      </c>
      <c r="AA54" s="588">
        <v>-2059.31</v>
      </c>
      <c r="AB54" s="597">
        <v>-6723.25</v>
      </c>
      <c r="AC54" s="658">
        <v>-6634.02</v>
      </c>
      <c r="AD54" s="740">
        <v>-6736.93</v>
      </c>
      <c r="AE54" s="348">
        <v>-6729.51</v>
      </c>
      <c r="AF54" s="744">
        <v>-6274.58</v>
      </c>
      <c r="AG54" s="744">
        <v>-6265.91</v>
      </c>
      <c r="AH54" s="744">
        <v>-7608.82</v>
      </c>
      <c r="AI54" s="744">
        <v>-7412.55</v>
      </c>
      <c r="AJ54" s="744">
        <v>-7435.2</v>
      </c>
      <c r="AK54" s="652"/>
      <c r="AL54" s="652"/>
      <c r="AM54" s="652"/>
      <c r="AN54" s="652"/>
    </row>
    <row r="55" spans="1:40" x14ac:dyDescent="0.25">
      <c r="A55" s="35" t="s">
        <v>39</v>
      </c>
      <c r="B55" s="364"/>
      <c r="C55" s="365"/>
      <c r="D55" s="340"/>
      <c r="E55" s="340"/>
      <c r="F55" s="340"/>
      <c r="G55" s="427"/>
      <c r="H55" s="340"/>
      <c r="I55" s="340"/>
      <c r="J55" s="340"/>
      <c r="K55" s="342"/>
      <c r="L55" s="340"/>
      <c r="M55" s="340"/>
      <c r="N55" s="340"/>
      <c r="O55" s="654"/>
      <c r="P55" s="79"/>
      <c r="Q55" s="427"/>
      <c r="R55" s="427"/>
      <c r="S55" s="427"/>
      <c r="T55" s="480"/>
      <c r="U55" s="427"/>
      <c r="V55" s="340"/>
      <c r="W55" s="340"/>
      <c r="X55" s="340"/>
      <c r="Y55" s="79"/>
      <c r="Z55" s="79"/>
      <c r="AA55" s="588"/>
      <c r="AB55" s="596"/>
      <c r="AC55" s="657"/>
      <c r="AD55" s="310"/>
      <c r="AE55" s="634"/>
      <c r="AF55" s="652"/>
      <c r="AG55" s="652"/>
      <c r="AH55" s="652"/>
      <c r="AI55" s="652"/>
      <c r="AJ55" s="652"/>
      <c r="AK55" s="652"/>
      <c r="AL55" s="652"/>
      <c r="AM55" s="652"/>
      <c r="AN55" s="652"/>
    </row>
    <row r="56" spans="1:40" x14ac:dyDescent="0.25">
      <c r="A56" s="35" t="s">
        <v>62</v>
      </c>
      <c r="B56" s="364">
        <v>0</v>
      </c>
      <c r="C56" s="365"/>
      <c r="D56" s="340"/>
      <c r="E56" s="340"/>
      <c r="F56" s="340"/>
      <c r="G56" s="427"/>
      <c r="H56" s="340"/>
      <c r="I56" s="340"/>
      <c r="J56" s="340"/>
      <c r="K56" s="342"/>
      <c r="L56" s="340"/>
      <c r="M56" s="340"/>
      <c r="N56" s="340"/>
      <c r="O56" s="654"/>
      <c r="P56" s="79"/>
      <c r="Q56" s="427"/>
      <c r="R56" s="427"/>
      <c r="S56" s="427"/>
      <c r="T56" s="480"/>
      <c r="U56" s="427"/>
      <c r="V56" s="340"/>
      <c r="W56" s="340"/>
      <c r="X56" s="340"/>
      <c r="Y56" s="79"/>
      <c r="Z56" s="79"/>
      <c r="AA56" s="588"/>
      <c r="AB56" s="287"/>
      <c r="AC56" s="657"/>
      <c r="AD56" s="310"/>
      <c r="AE56" s="634"/>
      <c r="AF56" s="652"/>
      <c r="AG56" s="652"/>
      <c r="AH56" s="652"/>
      <c r="AI56" s="652"/>
      <c r="AJ56" s="652"/>
      <c r="AK56" s="652"/>
      <c r="AL56" s="652"/>
      <c r="AM56" s="652"/>
      <c r="AN56" s="652"/>
    </row>
    <row r="57" spans="1:40" x14ac:dyDescent="0.25">
      <c r="A57" s="35" t="s">
        <v>41</v>
      </c>
      <c r="B57" s="364">
        <f>SUM(B52:B56)</f>
        <v>23069.45</v>
      </c>
      <c r="C57" s="364">
        <f t="shared" ref="C57:AC57" si="8">SUM(C52:C56)</f>
        <v>22409.18</v>
      </c>
      <c r="D57" s="364">
        <f t="shared" si="8"/>
        <v>17717.350000000002</v>
      </c>
      <c r="E57" s="364">
        <f t="shared" si="8"/>
        <v>15867.810000000001</v>
      </c>
      <c r="F57" s="364">
        <f t="shared" si="8"/>
        <v>21977.47</v>
      </c>
      <c r="G57" s="364">
        <f t="shared" si="8"/>
        <v>25309.579999999998</v>
      </c>
      <c r="H57" s="364">
        <f t="shared" si="8"/>
        <v>20108.670000000002</v>
      </c>
      <c r="I57" s="364">
        <f t="shared" si="8"/>
        <v>18828.48</v>
      </c>
      <c r="J57" s="364">
        <f t="shared" si="8"/>
        <v>36101.189999999995</v>
      </c>
      <c r="K57" s="364">
        <f t="shared" si="8"/>
        <v>33666.6</v>
      </c>
      <c r="L57" s="364">
        <f t="shared" si="8"/>
        <v>30728.129999999997</v>
      </c>
      <c r="M57" s="364">
        <f t="shared" si="8"/>
        <v>29035.940000000002</v>
      </c>
      <c r="N57" s="364">
        <f t="shared" si="8"/>
        <v>52132.45</v>
      </c>
      <c r="O57" s="483">
        <f t="shared" si="8"/>
        <v>18257.59</v>
      </c>
      <c r="P57" s="483">
        <f t="shared" si="8"/>
        <v>14073.21</v>
      </c>
      <c r="Q57" s="477">
        <f t="shared" si="8"/>
        <v>11940.25</v>
      </c>
      <c r="R57" s="477">
        <f t="shared" si="8"/>
        <v>9786.0000000000018</v>
      </c>
      <c r="S57" s="477">
        <f t="shared" si="8"/>
        <v>24291.02</v>
      </c>
      <c r="T57" s="477">
        <f t="shared" si="8"/>
        <v>23211.82</v>
      </c>
      <c r="U57" s="477">
        <f t="shared" si="8"/>
        <v>21676.61</v>
      </c>
      <c r="V57" s="483">
        <f t="shared" si="8"/>
        <v>18901.629999999997</v>
      </c>
      <c r="W57" s="483">
        <f t="shared" si="8"/>
        <v>40876.980000000003</v>
      </c>
      <c r="X57" s="483">
        <f t="shared" si="8"/>
        <v>37273.4</v>
      </c>
      <c r="Y57" s="483">
        <f t="shared" si="8"/>
        <v>36195.31</v>
      </c>
      <c r="Z57" s="483">
        <f t="shared" si="8"/>
        <v>29327.82</v>
      </c>
      <c r="AA57" s="483">
        <f t="shared" si="8"/>
        <v>44407.960000000006</v>
      </c>
      <c r="AB57" s="483">
        <f t="shared" si="8"/>
        <v>54192.88</v>
      </c>
      <c r="AC57" s="483">
        <f t="shared" si="8"/>
        <v>48067.7</v>
      </c>
      <c r="AD57" s="483">
        <f t="shared" ref="AD57:AJ57" si="9">SUM(AD52:AD56)</f>
        <v>33788.18</v>
      </c>
      <c r="AE57" s="483">
        <f t="shared" si="9"/>
        <v>27383.219999999994</v>
      </c>
      <c r="AF57" s="483">
        <f t="shared" si="9"/>
        <v>37489.069999999992</v>
      </c>
      <c r="AG57" s="483">
        <f t="shared" si="9"/>
        <v>27122.100000000002</v>
      </c>
      <c r="AH57" s="483">
        <f t="shared" si="9"/>
        <v>17398.82</v>
      </c>
      <c r="AI57" s="483">
        <f t="shared" si="9"/>
        <v>11041.21</v>
      </c>
      <c r="AJ57" s="483">
        <f t="shared" si="9"/>
        <v>15791.240000000002</v>
      </c>
      <c r="AK57" s="334"/>
      <c r="AL57" s="334"/>
      <c r="AM57" s="334"/>
      <c r="AN57" s="334"/>
    </row>
    <row r="58" spans="1:40" x14ac:dyDescent="0.25">
      <c r="A58" s="42" t="s">
        <v>42</v>
      </c>
      <c r="B58" s="364"/>
      <c r="C58" s="365"/>
      <c r="D58" s="340"/>
      <c r="E58" s="340"/>
      <c r="F58" s="340"/>
      <c r="G58" s="427"/>
      <c r="H58" s="340"/>
      <c r="I58" s="340"/>
      <c r="J58" s="340"/>
      <c r="K58" s="342"/>
      <c r="L58" s="340"/>
      <c r="M58" s="340"/>
      <c r="N58" s="340"/>
      <c r="O58" s="654"/>
      <c r="P58" s="79"/>
      <c r="Q58" s="427"/>
      <c r="R58" s="427"/>
      <c r="S58" s="427"/>
      <c r="T58" s="480"/>
      <c r="U58" s="427"/>
      <c r="V58" s="340"/>
      <c r="W58" s="340"/>
      <c r="X58" s="340"/>
      <c r="Y58" s="79"/>
      <c r="Z58" s="79"/>
      <c r="AA58" s="588"/>
      <c r="AB58" s="636"/>
      <c r="AC58" s="655"/>
      <c r="AD58" s="310"/>
      <c r="AE58" s="634"/>
      <c r="AF58" s="652"/>
      <c r="AG58" s="652"/>
      <c r="AH58" s="652"/>
      <c r="AI58" s="652"/>
      <c r="AJ58" s="652"/>
      <c r="AK58" s="652"/>
      <c r="AL58" s="652"/>
      <c r="AM58" s="652"/>
      <c r="AN58" s="652"/>
    </row>
    <row r="59" spans="1:40" x14ac:dyDescent="0.25">
      <c r="A59" s="35" t="s">
        <v>36</v>
      </c>
      <c r="B59" s="364">
        <v>46742.84</v>
      </c>
      <c r="C59" s="368">
        <v>43110.01</v>
      </c>
      <c r="D59" s="346">
        <v>27190.02</v>
      </c>
      <c r="E59" s="346">
        <v>22221.45</v>
      </c>
      <c r="F59" s="346">
        <v>79708.86</v>
      </c>
      <c r="G59" s="428">
        <v>69161.100000000006</v>
      </c>
      <c r="H59" s="346">
        <v>54745.54</v>
      </c>
      <c r="I59" s="346">
        <v>47927.03</v>
      </c>
      <c r="J59" s="346">
        <v>114571.49</v>
      </c>
      <c r="K59" s="347">
        <v>101794.93</v>
      </c>
      <c r="L59" s="340">
        <v>87015.72</v>
      </c>
      <c r="M59" s="340">
        <v>75733.98</v>
      </c>
      <c r="N59" s="340">
        <v>148590.62</v>
      </c>
      <c r="O59" s="649">
        <v>102968.29</v>
      </c>
      <c r="P59" s="427">
        <v>82861.509999999995</v>
      </c>
      <c r="Q59" s="427">
        <f>Q38+Q45+Q52</f>
        <v>66262.94</v>
      </c>
      <c r="R59" s="427">
        <v>58625.442000000003</v>
      </c>
      <c r="S59" s="427">
        <v>130158.24</v>
      </c>
      <c r="T59" s="481">
        <v>125315.31</v>
      </c>
      <c r="U59" s="481">
        <v>106428.15</v>
      </c>
      <c r="V59" s="484">
        <v>88353.34</v>
      </c>
      <c r="W59" s="484">
        <v>113783.01</v>
      </c>
      <c r="X59" s="484">
        <v>100055.23</v>
      </c>
      <c r="Y59" s="481">
        <f t="shared" ref="Y59:Z61" si="10">SUM(Y38+Y45+Y52)</f>
        <v>92572.700000000012</v>
      </c>
      <c r="Z59" s="481">
        <f t="shared" si="10"/>
        <v>80112.7</v>
      </c>
      <c r="AA59" s="588">
        <v>90192.47</v>
      </c>
      <c r="AB59" s="588">
        <v>78805.399999999994</v>
      </c>
      <c r="AC59" s="335">
        <v>68060.460000000006</v>
      </c>
      <c r="AD59" s="588">
        <v>46241.97</v>
      </c>
      <c r="AE59" s="588">
        <v>35482.800000000003</v>
      </c>
      <c r="AF59" s="335">
        <v>44287.38</v>
      </c>
      <c r="AG59" s="335">
        <v>36555.699999999997</v>
      </c>
      <c r="AH59" s="335">
        <v>27685.27</v>
      </c>
      <c r="AI59" s="335">
        <v>20921.7</v>
      </c>
      <c r="AJ59" s="335">
        <v>32738.01</v>
      </c>
      <c r="AK59" s="335"/>
      <c r="AL59" s="335"/>
      <c r="AM59" s="335"/>
      <c r="AN59" s="335"/>
    </row>
    <row r="60" spans="1:40" x14ac:dyDescent="0.25">
      <c r="A60" s="35" t="s">
        <v>37</v>
      </c>
      <c r="B60" s="364">
        <v>7730.2</v>
      </c>
      <c r="C60" s="368">
        <v>7659.72</v>
      </c>
      <c r="D60" s="346">
        <v>7094.81</v>
      </c>
      <c r="E60" s="346">
        <v>6438.21</v>
      </c>
      <c r="F60" s="346">
        <v>16046.74</v>
      </c>
      <c r="G60" s="428">
        <v>15664.37</v>
      </c>
      <c r="H60" s="346">
        <v>15700.61</v>
      </c>
      <c r="I60" s="346">
        <v>15341.5</v>
      </c>
      <c r="J60" s="346">
        <v>19123.52</v>
      </c>
      <c r="K60" s="344">
        <v>18798.810000000001</v>
      </c>
      <c r="L60" s="339">
        <v>17134.05</v>
      </c>
      <c r="M60" s="346">
        <v>16525.75</v>
      </c>
      <c r="N60" s="346">
        <v>17680.77</v>
      </c>
      <c r="O60" s="659">
        <v>8684.89</v>
      </c>
      <c r="P60" s="428">
        <v>5915.19</v>
      </c>
      <c r="Q60" s="428">
        <f>Q53+Q46+Q39</f>
        <v>5815.1900000000005</v>
      </c>
      <c r="R60" s="428">
        <v>3230.09</v>
      </c>
      <c r="S60" s="428">
        <v>9689.57</v>
      </c>
      <c r="T60" s="481">
        <v>7493.82</v>
      </c>
      <c r="U60" s="481">
        <v>5282.97</v>
      </c>
      <c r="V60" s="484">
        <v>4146.55</v>
      </c>
      <c r="W60" s="484">
        <v>2763.98</v>
      </c>
      <c r="X60" s="484">
        <v>2612.39</v>
      </c>
      <c r="Y60" s="481">
        <f t="shared" si="10"/>
        <v>-1068.46</v>
      </c>
      <c r="Z60" s="481">
        <f t="shared" si="10"/>
        <v>-1305.6500000000001</v>
      </c>
      <c r="AA60" s="588">
        <f>SUM(AA53,AA46,AA39)</f>
        <v>-3428.55</v>
      </c>
      <c r="AB60" s="588">
        <v>-3384.21</v>
      </c>
      <c r="AC60" s="660">
        <v>-2601.7800000000002</v>
      </c>
      <c r="AD60" s="588">
        <v>-1253.97</v>
      </c>
      <c r="AE60" s="588">
        <v>230.43</v>
      </c>
      <c r="AF60" s="335">
        <v>1468.37</v>
      </c>
      <c r="AG60" s="660">
        <v>-2728.16</v>
      </c>
      <c r="AH60" s="660">
        <v>-2984.47</v>
      </c>
      <c r="AI60" s="660">
        <v>-3438.88</v>
      </c>
      <c r="AJ60" s="660">
        <v>-2538.7199999999998</v>
      </c>
      <c r="AK60" s="335"/>
      <c r="AL60" s="335"/>
      <c r="AM60" s="335"/>
      <c r="AN60" s="335"/>
    </row>
    <row r="61" spans="1:40" x14ac:dyDescent="0.25">
      <c r="A61" s="35" t="s">
        <v>38</v>
      </c>
      <c r="B61" s="364">
        <v>1141.03</v>
      </c>
      <c r="C61" s="368">
        <v>1096.1300000000001</v>
      </c>
      <c r="D61" s="348">
        <v>-1199.9000000000001</v>
      </c>
      <c r="E61" s="348">
        <v>-3296.65</v>
      </c>
      <c r="F61" s="346">
        <v>6138</v>
      </c>
      <c r="G61" s="428">
        <v>2976.29</v>
      </c>
      <c r="H61" s="346">
        <v>1003.82</v>
      </c>
      <c r="I61" s="348">
        <v>-1129.25</v>
      </c>
      <c r="J61" s="346">
        <v>68083.78</v>
      </c>
      <c r="K61" s="344">
        <v>63333.120000000003</v>
      </c>
      <c r="L61" s="339">
        <v>5074.53</v>
      </c>
      <c r="M61" s="346">
        <v>1543.41</v>
      </c>
      <c r="N61" s="346">
        <v>28217.23</v>
      </c>
      <c r="O61" s="659">
        <v>22721.13</v>
      </c>
      <c r="P61" s="428">
        <v>14076.76</v>
      </c>
      <c r="Q61" s="428">
        <f>Q54+Q47+Q40</f>
        <v>10103.19</v>
      </c>
      <c r="R61" s="428">
        <v>7450.49</v>
      </c>
      <c r="S61" s="428">
        <v>38117.43</v>
      </c>
      <c r="T61" s="481">
        <v>35899.74</v>
      </c>
      <c r="U61" s="481">
        <v>13260.41</v>
      </c>
      <c r="V61" s="533">
        <v>-5923.42</v>
      </c>
      <c r="W61" s="484">
        <v>4238.83</v>
      </c>
      <c r="X61" s="533">
        <v>-4692.34</v>
      </c>
      <c r="Y61" s="481">
        <f t="shared" si="10"/>
        <v>-5342.3700000000008</v>
      </c>
      <c r="Z61" s="481">
        <f t="shared" si="10"/>
        <v>-6403.2000000000007</v>
      </c>
      <c r="AA61" s="588">
        <f>SUM(AA54,AA47,AA40)</f>
        <v>-4597.59</v>
      </c>
      <c r="AB61" s="588">
        <v>-4858.71</v>
      </c>
      <c r="AC61" s="660">
        <v>-5991.21</v>
      </c>
      <c r="AD61" s="588">
        <v>-6875.02</v>
      </c>
      <c r="AE61" s="588">
        <v>-7248.49</v>
      </c>
      <c r="AF61" s="660">
        <v>-4832.09</v>
      </c>
      <c r="AG61" s="660">
        <v>-4859.04</v>
      </c>
      <c r="AH61" s="660">
        <v>-8096.33</v>
      </c>
      <c r="AI61" s="660">
        <v>-8419.36</v>
      </c>
      <c r="AJ61" s="660">
        <v>-5378.28</v>
      </c>
      <c r="AK61" s="335"/>
      <c r="AL61" s="335"/>
      <c r="AM61" s="335"/>
      <c r="AN61" s="335"/>
    </row>
    <row r="62" spans="1:40" x14ac:dyDescent="0.25">
      <c r="A62" s="35" t="s">
        <v>39</v>
      </c>
      <c r="B62" s="364"/>
      <c r="C62" s="368"/>
      <c r="D62" s="346"/>
      <c r="E62" s="346"/>
      <c r="F62" s="346"/>
      <c r="G62" s="428"/>
      <c r="H62" s="346"/>
      <c r="I62" s="346"/>
      <c r="J62" s="346"/>
      <c r="K62" s="344"/>
      <c r="L62" s="339"/>
      <c r="M62" s="346"/>
      <c r="N62" s="346"/>
      <c r="O62" s="661"/>
      <c r="P62" s="77"/>
      <c r="Q62" s="428"/>
      <c r="R62" s="428"/>
      <c r="S62" s="428"/>
      <c r="T62" s="481"/>
      <c r="U62" s="481"/>
      <c r="V62" s="484"/>
      <c r="W62" s="484"/>
      <c r="X62" s="484"/>
      <c r="Y62" s="189"/>
      <c r="Z62" s="189"/>
      <c r="AA62" s="588"/>
      <c r="AB62" s="588"/>
      <c r="AC62" s="335"/>
      <c r="AD62" s="588"/>
      <c r="AE62" s="254"/>
      <c r="AF62" s="335"/>
      <c r="AG62" s="335"/>
      <c r="AH62" s="335"/>
      <c r="AI62" s="335"/>
      <c r="AJ62" s="335"/>
      <c r="AK62" s="335"/>
      <c r="AL62" s="335"/>
      <c r="AM62" s="335"/>
      <c r="AN62" s="335"/>
    </row>
    <row r="63" spans="1:40" x14ac:dyDescent="0.25">
      <c r="A63" s="35" t="s">
        <v>62</v>
      </c>
      <c r="B63" s="364">
        <v>0</v>
      </c>
      <c r="C63" s="368"/>
      <c r="D63" s="346"/>
      <c r="E63" s="346"/>
      <c r="F63" s="346"/>
      <c r="G63" s="428"/>
      <c r="H63" s="346"/>
      <c r="I63" s="346"/>
      <c r="J63" s="346"/>
      <c r="K63" s="344"/>
      <c r="L63" s="339"/>
      <c r="M63" s="346"/>
      <c r="N63" s="346"/>
      <c r="O63" s="661"/>
      <c r="P63" s="77"/>
      <c r="Q63" s="428"/>
      <c r="R63" s="428"/>
      <c r="S63" s="428"/>
      <c r="T63" s="481"/>
      <c r="U63" s="481"/>
      <c r="V63" s="484"/>
      <c r="W63" s="484"/>
      <c r="X63" s="484"/>
      <c r="Y63" s="189"/>
      <c r="Z63" s="189"/>
      <c r="AA63" s="588"/>
      <c r="AB63" s="588"/>
      <c r="AC63" s="335"/>
      <c r="AD63" s="588"/>
      <c r="AE63" s="254"/>
      <c r="AF63" s="335"/>
      <c r="AG63" s="335"/>
      <c r="AH63" s="335"/>
      <c r="AI63" s="335"/>
      <c r="AJ63" s="335"/>
      <c r="AK63" s="335"/>
      <c r="AL63" s="335"/>
      <c r="AM63" s="335"/>
      <c r="AN63" s="335"/>
    </row>
    <row r="64" spans="1:40" ht="15.75" thickBot="1" x14ac:dyDescent="0.3">
      <c r="A64" s="37" t="s">
        <v>41</v>
      </c>
      <c r="B64" s="369">
        <f>SUM(B59:B63)</f>
        <v>55614.069999999992</v>
      </c>
      <c r="C64" s="369">
        <f t="shared" ref="C64:AJ64" si="11">SUM(C59:C63)</f>
        <v>51865.86</v>
      </c>
      <c r="D64" s="369">
        <f t="shared" si="11"/>
        <v>33084.93</v>
      </c>
      <c r="E64" s="369">
        <f t="shared" si="11"/>
        <v>25363.01</v>
      </c>
      <c r="F64" s="369">
        <f t="shared" si="11"/>
        <v>101893.6</v>
      </c>
      <c r="G64" s="369">
        <f t="shared" si="11"/>
        <v>87801.76</v>
      </c>
      <c r="H64" s="369">
        <f t="shared" si="11"/>
        <v>71449.97</v>
      </c>
      <c r="I64" s="369">
        <f t="shared" si="11"/>
        <v>62139.28</v>
      </c>
      <c r="J64" s="369">
        <f t="shared" si="11"/>
        <v>201778.79</v>
      </c>
      <c r="K64" s="369">
        <f t="shared" si="11"/>
        <v>183926.86</v>
      </c>
      <c r="L64" s="369">
        <f t="shared" si="11"/>
        <v>109224.3</v>
      </c>
      <c r="M64" s="369">
        <f t="shared" si="11"/>
        <v>93803.14</v>
      </c>
      <c r="N64" s="369">
        <f t="shared" si="11"/>
        <v>194488.62</v>
      </c>
      <c r="O64" s="485">
        <f t="shared" si="11"/>
        <v>134374.31</v>
      </c>
      <c r="P64" s="485">
        <f t="shared" si="11"/>
        <v>102853.45999999999</v>
      </c>
      <c r="Q64" s="478">
        <f t="shared" si="11"/>
        <v>82181.320000000007</v>
      </c>
      <c r="R64" s="478">
        <f t="shared" si="11"/>
        <v>69306.022000000012</v>
      </c>
      <c r="S64" s="478">
        <f t="shared" si="11"/>
        <v>177965.24</v>
      </c>
      <c r="T64" s="478">
        <f t="shared" si="11"/>
        <v>168708.87</v>
      </c>
      <c r="U64" s="478">
        <f t="shared" si="11"/>
        <v>124971.53</v>
      </c>
      <c r="V64" s="485">
        <f t="shared" si="11"/>
        <v>86576.47</v>
      </c>
      <c r="W64" s="485">
        <f t="shared" si="11"/>
        <v>120785.81999999999</v>
      </c>
      <c r="X64" s="485">
        <f t="shared" si="11"/>
        <v>97975.28</v>
      </c>
      <c r="Y64" s="485">
        <f t="shared" si="11"/>
        <v>86161.87000000001</v>
      </c>
      <c r="Z64" s="485">
        <f t="shared" si="11"/>
        <v>72403.850000000006</v>
      </c>
      <c r="AA64" s="485">
        <f t="shared" si="11"/>
        <v>82166.33</v>
      </c>
      <c r="AB64" s="485">
        <f t="shared" si="11"/>
        <v>70562.479999999981</v>
      </c>
      <c r="AC64" s="485">
        <f t="shared" si="11"/>
        <v>59467.470000000008</v>
      </c>
      <c r="AD64" s="485">
        <f t="shared" si="11"/>
        <v>38112.979999999996</v>
      </c>
      <c r="AE64" s="485">
        <f t="shared" si="11"/>
        <v>28464.740000000005</v>
      </c>
      <c r="AF64" s="485">
        <f t="shared" si="11"/>
        <v>40923.660000000003</v>
      </c>
      <c r="AG64" s="485">
        <f t="shared" si="11"/>
        <v>28968.499999999993</v>
      </c>
      <c r="AH64" s="485">
        <f t="shared" si="11"/>
        <v>16604.47</v>
      </c>
      <c r="AI64" s="485">
        <f t="shared" si="11"/>
        <v>9063.4599999999991</v>
      </c>
      <c r="AJ64" s="485">
        <f t="shared" si="11"/>
        <v>24821.01</v>
      </c>
      <c r="AK64" s="336"/>
      <c r="AL64" s="336"/>
      <c r="AM64" s="336"/>
      <c r="AN64" s="336"/>
    </row>
    <row r="65" spans="1:40" x14ac:dyDescent="0.25">
      <c r="A65" s="41" t="s">
        <v>33</v>
      </c>
      <c r="B65" s="370"/>
      <c r="C65" s="371"/>
      <c r="D65" s="372"/>
      <c r="E65" s="372"/>
      <c r="F65" s="372"/>
      <c r="G65" s="429"/>
      <c r="H65" s="372"/>
      <c r="I65" s="372"/>
      <c r="J65" s="372"/>
      <c r="K65" s="437"/>
      <c r="L65" s="372"/>
      <c r="M65" s="372"/>
      <c r="N65" s="372"/>
      <c r="O65" s="662"/>
      <c r="P65" s="64"/>
      <c r="Q65" s="64"/>
      <c r="R65" s="64"/>
      <c r="S65" s="64"/>
      <c r="T65" s="177"/>
      <c r="U65" s="64"/>
      <c r="V65" s="372"/>
      <c r="W65" s="372"/>
      <c r="X65" s="372"/>
      <c r="Y65" s="64"/>
      <c r="Z65" s="64"/>
      <c r="AA65" s="255"/>
      <c r="AB65" s="647"/>
      <c r="AC65" s="663"/>
      <c r="AD65" s="513"/>
      <c r="AE65" s="513"/>
      <c r="AF65" s="514"/>
      <c r="AG65" s="514"/>
      <c r="AH65" s="514"/>
      <c r="AI65" s="514"/>
      <c r="AJ65" s="514"/>
      <c r="AK65" s="514"/>
      <c r="AL65" s="514"/>
      <c r="AM65" s="514"/>
      <c r="AN65" s="514"/>
    </row>
    <row r="66" spans="1:40" x14ac:dyDescent="0.25">
      <c r="A66" s="35" t="s">
        <v>36</v>
      </c>
      <c r="B66" s="364">
        <v>291304.71999999997</v>
      </c>
      <c r="C66" s="365"/>
      <c r="D66" s="340"/>
      <c r="E66" s="340"/>
      <c r="F66" s="340">
        <v>252739.16</v>
      </c>
      <c r="G66" s="427"/>
      <c r="H66" s="340"/>
      <c r="I66" s="340"/>
      <c r="J66" s="340"/>
      <c r="K66" s="342"/>
      <c r="L66" s="340"/>
      <c r="M66" s="340"/>
      <c r="N66" s="340">
        <v>237118.31</v>
      </c>
      <c r="O66" s="664"/>
      <c r="P66" s="83"/>
      <c r="Q66" s="83"/>
      <c r="R66" s="83"/>
      <c r="S66" s="340">
        <v>146383.71</v>
      </c>
      <c r="T66" s="178"/>
      <c r="U66" s="83"/>
      <c r="V66" s="340"/>
      <c r="W66" s="340">
        <v>71337.87</v>
      </c>
      <c r="X66" s="340"/>
      <c r="Y66" s="83"/>
      <c r="Z66" s="83"/>
      <c r="AA66" s="589">
        <v>58077.84</v>
      </c>
      <c r="AB66" s="665"/>
      <c r="AC66" s="657"/>
      <c r="AD66" s="666"/>
      <c r="AE66" s="742">
        <v>55990.71</v>
      </c>
      <c r="AF66" s="556"/>
      <c r="AG66" s="556"/>
      <c r="AH66" s="556"/>
      <c r="AI66" s="556"/>
      <c r="AJ66" s="556">
        <v>47334.15</v>
      </c>
    </row>
    <row r="67" spans="1:40" x14ac:dyDescent="0.25">
      <c r="A67" s="35" t="s">
        <v>37</v>
      </c>
      <c r="B67" s="364">
        <v>17007.11</v>
      </c>
      <c r="C67" s="365"/>
      <c r="D67" s="340"/>
      <c r="E67" s="340"/>
      <c r="F67" s="340">
        <v>13016.44</v>
      </c>
      <c r="G67" s="427"/>
      <c r="H67" s="340"/>
      <c r="I67" s="340"/>
      <c r="J67" s="340"/>
      <c r="K67" s="342"/>
      <c r="L67" s="340"/>
      <c r="M67" s="340"/>
      <c r="N67" s="340">
        <v>16438.900000000001</v>
      </c>
      <c r="O67" s="664"/>
      <c r="P67" s="83"/>
      <c r="Q67" s="83"/>
      <c r="R67" s="83"/>
      <c r="S67" s="340">
        <v>6864.47</v>
      </c>
      <c r="T67" s="178"/>
      <c r="U67" s="83"/>
      <c r="V67" s="340"/>
      <c r="W67" s="340">
        <v>3524.43</v>
      </c>
      <c r="X67" s="340"/>
      <c r="Y67" s="83"/>
      <c r="Z67" s="83"/>
      <c r="AA67" s="589">
        <v>2682.02</v>
      </c>
      <c r="AB67" s="665"/>
      <c r="AC67" s="657"/>
      <c r="AD67" s="666"/>
      <c r="AE67" s="742">
        <v>2658.89</v>
      </c>
      <c r="AF67" s="556"/>
      <c r="AG67" s="556"/>
      <c r="AH67" s="556"/>
      <c r="AI67" s="556"/>
      <c r="AJ67" s="556">
        <v>2369.4499999999998</v>
      </c>
      <c r="AK67" s="556"/>
      <c r="AL67" s="556"/>
      <c r="AM67" s="556"/>
      <c r="AN67" s="556"/>
    </row>
    <row r="68" spans="1:40" x14ac:dyDescent="0.25">
      <c r="A68" s="35" t="s">
        <v>38</v>
      </c>
      <c r="B68" s="364">
        <v>85680.89</v>
      </c>
      <c r="C68" s="365"/>
      <c r="D68" s="340"/>
      <c r="E68" s="340"/>
      <c r="F68" s="340">
        <v>68732.25</v>
      </c>
      <c r="G68" s="427"/>
      <c r="H68" s="340"/>
      <c r="I68" s="340"/>
      <c r="J68" s="340"/>
      <c r="K68" s="342"/>
      <c r="L68" s="340"/>
      <c r="M68" s="340"/>
      <c r="N68" s="340">
        <v>63301.95</v>
      </c>
      <c r="O68" s="664"/>
      <c r="P68" s="83"/>
      <c r="Q68" s="83"/>
      <c r="R68" s="83"/>
      <c r="S68" s="340">
        <v>40791.980000000003</v>
      </c>
      <c r="T68" s="178"/>
      <c r="U68" s="83"/>
      <c r="V68" s="340"/>
      <c r="W68" s="340">
        <v>19285.849999999999</v>
      </c>
      <c r="X68" s="340"/>
      <c r="Y68" s="83"/>
      <c r="Z68" s="83"/>
      <c r="AA68" s="589">
        <v>15221.07</v>
      </c>
      <c r="AB68" s="665"/>
      <c r="AC68" s="657"/>
      <c r="AD68" s="666"/>
      <c r="AE68" s="742">
        <v>17570.64</v>
      </c>
      <c r="AF68" s="556"/>
      <c r="AG68" s="556"/>
      <c r="AH68" s="556"/>
      <c r="AI68" s="556"/>
      <c r="AJ68" s="556">
        <v>14266.88</v>
      </c>
      <c r="AK68" s="556"/>
      <c r="AL68" s="556"/>
      <c r="AM68" s="556"/>
      <c r="AN68" s="556"/>
    </row>
    <row r="69" spans="1:40" x14ac:dyDescent="0.25">
      <c r="A69" s="35" t="s">
        <v>39</v>
      </c>
      <c r="B69" s="364"/>
      <c r="C69" s="365"/>
      <c r="D69" s="340"/>
      <c r="E69" s="340"/>
      <c r="F69" s="340"/>
      <c r="G69" s="427"/>
      <c r="H69" s="340"/>
      <c r="I69" s="340"/>
      <c r="J69" s="340"/>
      <c r="K69" s="342"/>
      <c r="L69" s="340"/>
      <c r="M69" s="340"/>
      <c r="N69" s="340"/>
      <c r="O69" s="664"/>
      <c r="P69" s="83"/>
      <c r="Q69" s="83"/>
      <c r="R69" s="83"/>
      <c r="S69" s="340"/>
      <c r="T69" s="178"/>
      <c r="U69" s="83"/>
      <c r="V69" s="340"/>
      <c r="W69" s="340"/>
      <c r="X69" s="340"/>
      <c r="Y69" s="83"/>
      <c r="Z69" s="83"/>
      <c r="AA69" s="589"/>
      <c r="AB69" s="665"/>
      <c r="AC69" s="657"/>
      <c r="AD69" s="666"/>
      <c r="AE69" s="742"/>
      <c r="AF69" s="556"/>
      <c r="AG69" s="556"/>
      <c r="AH69" s="556"/>
      <c r="AI69" s="556"/>
      <c r="AJ69" s="556"/>
      <c r="AK69" s="556"/>
      <c r="AL69" s="556"/>
      <c r="AM69" s="556"/>
      <c r="AN69" s="556"/>
    </row>
    <row r="70" spans="1:40" x14ac:dyDescent="0.25">
      <c r="A70" s="35" t="s">
        <v>62</v>
      </c>
      <c r="B70" s="364">
        <v>54115.040000000001</v>
      </c>
      <c r="C70" s="365"/>
      <c r="D70" s="340"/>
      <c r="E70" s="340"/>
      <c r="F70" s="340">
        <v>41575.24</v>
      </c>
      <c r="G70" s="427"/>
      <c r="H70" s="340"/>
      <c r="I70" s="340"/>
      <c r="J70" s="340"/>
      <c r="K70" s="342"/>
      <c r="L70" s="340"/>
      <c r="M70" s="340"/>
      <c r="N70" s="340">
        <v>30607.439999999999</v>
      </c>
      <c r="O70" s="664"/>
      <c r="P70" s="83"/>
      <c r="Q70" s="83"/>
      <c r="R70" s="83"/>
      <c r="S70" s="340">
        <v>11936.19</v>
      </c>
      <c r="T70" s="178"/>
      <c r="U70" s="83"/>
      <c r="V70" s="340"/>
      <c r="W70" s="340">
        <v>14237.28</v>
      </c>
      <c r="X70" s="340"/>
      <c r="Y70" s="83"/>
      <c r="Z70" s="83"/>
      <c r="AA70" s="589">
        <v>3238.48</v>
      </c>
      <c r="AB70" s="665"/>
      <c r="AC70" s="657"/>
      <c r="AD70" s="666"/>
      <c r="AE70" s="742">
        <v>297.26</v>
      </c>
      <c r="AF70" s="556"/>
      <c r="AG70" s="556"/>
      <c r="AH70" s="556"/>
      <c r="AI70" s="556"/>
      <c r="AJ70" s="556">
        <v>361.45</v>
      </c>
      <c r="AK70" s="556"/>
      <c r="AL70" s="556"/>
      <c r="AM70" s="556"/>
      <c r="AN70" s="556"/>
    </row>
    <row r="71" spans="1:40" x14ac:dyDescent="0.25">
      <c r="A71" s="35" t="s">
        <v>41</v>
      </c>
      <c r="B71" s="364">
        <f>SUM(B66:B70)</f>
        <v>448107.75999999995</v>
      </c>
      <c r="C71" s="365"/>
      <c r="D71" s="340"/>
      <c r="E71" s="340"/>
      <c r="F71" s="340">
        <f>SUM(F66:F70)</f>
        <v>376063.08999999997</v>
      </c>
      <c r="G71" s="427"/>
      <c r="H71" s="340"/>
      <c r="I71" s="340"/>
      <c r="J71" s="340"/>
      <c r="K71" s="342"/>
      <c r="L71" s="340"/>
      <c r="M71" s="340"/>
      <c r="N71" s="340">
        <f>SUM(N66:N70)</f>
        <v>347466.6</v>
      </c>
      <c r="O71" s="664"/>
      <c r="P71" s="83"/>
      <c r="Q71" s="83"/>
      <c r="R71" s="83"/>
      <c r="S71" s="340">
        <f>SUM(S66:S70)</f>
        <v>205976.35</v>
      </c>
      <c r="T71" s="178"/>
      <c r="U71" s="178"/>
      <c r="V71" s="486"/>
      <c r="W71" s="486">
        <f>SUM(W66:W70)</f>
        <v>108385.43</v>
      </c>
      <c r="X71" s="486"/>
      <c r="Y71" s="486"/>
      <c r="Z71" s="486"/>
      <c r="AA71" s="486">
        <f>SUM(AA66:AA70)</f>
        <v>79219.409999999989</v>
      </c>
      <c r="AB71" s="257"/>
      <c r="AC71" s="344"/>
      <c r="AD71" s="257"/>
      <c r="AE71" s="743">
        <f>SUM(AE66:AE70)</f>
        <v>76517.499999999985</v>
      </c>
      <c r="AF71" s="257"/>
      <c r="AG71" s="257"/>
      <c r="AH71" s="257"/>
      <c r="AI71" s="257"/>
      <c r="AJ71" s="743">
        <f>SUM(AJ66:AJ70)</f>
        <v>64331.929999999993</v>
      </c>
      <c r="AK71" s="257"/>
      <c r="AL71" s="257"/>
      <c r="AM71" s="257"/>
      <c r="AN71" s="257"/>
    </row>
    <row r="72" spans="1:40" x14ac:dyDescent="0.25">
      <c r="A72" s="42" t="s">
        <v>34</v>
      </c>
      <c r="B72" s="364"/>
      <c r="C72" s="365"/>
      <c r="D72" s="340"/>
      <c r="E72" s="340"/>
      <c r="F72" s="340"/>
      <c r="G72" s="427"/>
      <c r="H72" s="340"/>
      <c r="I72" s="340"/>
      <c r="J72" s="340"/>
      <c r="K72" s="342"/>
      <c r="L72" s="340"/>
      <c r="M72" s="340"/>
      <c r="N72" s="340"/>
      <c r="O72" s="667"/>
      <c r="P72" s="85"/>
      <c r="Q72" s="85"/>
      <c r="R72" s="85"/>
      <c r="S72" s="85"/>
      <c r="T72" s="179"/>
      <c r="U72" s="85"/>
      <c r="V72" s="340"/>
      <c r="W72" s="340"/>
      <c r="X72" s="340"/>
      <c r="Y72" s="85"/>
      <c r="Z72" s="85"/>
      <c r="AA72" s="258"/>
      <c r="AB72" s="636"/>
      <c r="AC72" s="655"/>
      <c r="AD72" s="555"/>
      <c r="AE72" s="555"/>
      <c r="AF72" s="556"/>
      <c r="AG72" s="556"/>
      <c r="AH72" s="556"/>
      <c r="AI72" s="556"/>
      <c r="AJ72" s="556"/>
      <c r="AK72" s="556"/>
      <c r="AL72" s="556"/>
      <c r="AM72" s="556"/>
      <c r="AN72" s="556"/>
    </row>
    <row r="73" spans="1:40" x14ac:dyDescent="0.25">
      <c r="A73" s="35" t="s">
        <v>36</v>
      </c>
      <c r="B73" s="373">
        <v>291304.71999999997</v>
      </c>
      <c r="C73" s="374"/>
      <c r="D73" s="353"/>
      <c r="E73" s="353"/>
      <c r="F73" s="353">
        <v>253256.29</v>
      </c>
      <c r="G73" s="430"/>
      <c r="H73" s="353"/>
      <c r="I73" s="353"/>
      <c r="J73" s="353"/>
      <c r="K73" s="354"/>
      <c r="L73" s="353"/>
      <c r="M73" s="353"/>
      <c r="N73" s="353"/>
      <c r="O73" s="668"/>
      <c r="P73" s="89"/>
      <c r="Q73" s="89"/>
      <c r="R73" s="89"/>
      <c r="S73" s="89"/>
      <c r="T73" s="180"/>
      <c r="U73" s="79"/>
      <c r="V73" s="340"/>
      <c r="W73" s="340"/>
      <c r="X73" s="340"/>
      <c r="Y73" s="79"/>
      <c r="Z73" s="161"/>
      <c r="AA73" s="254"/>
      <c r="AB73" s="287"/>
      <c r="AC73" s="650"/>
      <c r="AD73" s="300"/>
      <c r="AE73" s="300"/>
      <c r="AF73" s="301"/>
      <c r="AG73" s="301"/>
      <c r="AH73" s="301"/>
      <c r="AI73" s="301"/>
      <c r="AJ73" s="301"/>
      <c r="AK73" s="301"/>
      <c r="AL73" s="301"/>
      <c r="AM73" s="301"/>
      <c r="AN73" s="301"/>
    </row>
    <row r="74" spans="1:40" x14ac:dyDescent="0.25">
      <c r="A74" s="35" t="s">
        <v>37</v>
      </c>
      <c r="B74" s="373">
        <v>17007.11</v>
      </c>
      <c r="C74" s="374"/>
      <c r="D74" s="353"/>
      <c r="E74" s="353"/>
      <c r="F74" s="353">
        <v>13016.44</v>
      </c>
      <c r="G74" s="430"/>
      <c r="H74" s="353"/>
      <c r="I74" s="353"/>
      <c r="J74" s="353"/>
      <c r="K74" s="354"/>
      <c r="L74" s="353"/>
      <c r="M74" s="353"/>
      <c r="N74" s="353"/>
      <c r="O74" s="668"/>
      <c r="P74" s="89"/>
      <c r="Q74" s="89"/>
      <c r="R74" s="89"/>
      <c r="S74" s="89"/>
      <c r="T74" s="180"/>
      <c r="U74" s="79"/>
      <c r="V74" s="340"/>
      <c r="W74" s="340"/>
      <c r="X74" s="340"/>
      <c r="Y74" s="79"/>
      <c r="Z74" s="161"/>
      <c r="AA74" s="254"/>
      <c r="AB74" s="287"/>
      <c r="AC74" s="650"/>
      <c r="AD74" s="300"/>
      <c r="AE74" s="300"/>
      <c r="AF74" s="301"/>
      <c r="AG74" s="301"/>
      <c r="AH74" s="301"/>
      <c r="AI74" s="301"/>
      <c r="AJ74" s="301"/>
      <c r="AK74" s="301"/>
      <c r="AL74" s="301"/>
      <c r="AM74" s="301"/>
      <c r="AN74" s="301"/>
    </row>
    <row r="75" spans="1:40" x14ac:dyDescent="0.25">
      <c r="A75" s="35" t="s">
        <v>38</v>
      </c>
      <c r="B75" s="373">
        <v>85680.89</v>
      </c>
      <c r="C75" s="374"/>
      <c r="D75" s="353"/>
      <c r="E75" s="353"/>
      <c r="F75" s="353">
        <v>68215.12</v>
      </c>
      <c r="G75" s="430"/>
      <c r="H75" s="353"/>
      <c r="I75" s="353"/>
      <c r="J75" s="353"/>
      <c r="K75" s="354"/>
      <c r="L75" s="353"/>
      <c r="M75" s="353"/>
      <c r="N75" s="353"/>
      <c r="O75" s="668"/>
      <c r="P75" s="89"/>
      <c r="Q75" s="89"/>
      <c r="R75" s="89"/>
      <c r="S75" s="89"/>
      <c r="T75" s="180"/>
      <c r="U75" s="79"/>
      <c r="V75" s="340"/>
      <c r="W75" s="340"/>
      <c r="X75" s="340"/>
      <c r="Y75" s="79"/>
      <c r="Z75" s="161"/>
      <c r="AA75" s="254"/>
      <c r="AB75" s="287"/>
      <c r="AC75" s="650"/>
      <c r="AD75" s="300"/>
      <c r="AE75" s="300"/>
      <c r="AF75" s="301"/>
      <c r="AG75" s="301"/>
      <c r="AH75" s="301"/>
      <c r="AI75" s="301"/>
      <c r="AJ75" s="301"/>
      <c r="AK75" s="301"/>
      <c r="AL75" s="301"/>
      <c r="AM75" s="301"/>
      <c r="AN75" s="301"/>
    </row>
    <row r="76" spans="1:40" x14ac:dyDescent="0.25">
      <c r="A76" s="35" t="s">
        <v>39</v>
      </c>
      <c r="B76" s="373"/>
      <c r="C76" s="374"/>
      <c r="D76" s="353"/>
      <c r="E76" s="353"/>
      <c r="F76" s="353"/>
      <c r="G76" s="430"/>
      <c r="H76" s="353"/>
      <c r="I76" s="353"/>
      <c r="J76" s="353"/>
      <c r="K76" s="354"/>
      <c r="L76" s="353"/>
      <c r="M76" s="353"/>
      <c r="N76" s="353"/>
      <c r="O76" s="668"/>
      <c r="P76" s="89"/>
      <c r="Q76" s="89"/>
      <c r="R76" s="89"/>
      <c r="S76" s="89"/>
      <c r="T76" s="180"/>
      <c r="U76" s="79"/>
      <c r="V76" s="340"/>
      <c r="W76" s="340"/>
      <c r="X76" s="340"/>
      <c r="Y76" s="79"/>
      <c r="Z76" s="522"/>
      <c r="AA76" s="254"/>
      <c r="AB76" s="287"/>
      <c r="AC76" s="650"/>
      <c r="AD76" s="300"/>
      <c r="AE76" s="300"/>
      <c r="AF76" s="301"/>
      <c r="AG76" s="301"/>
      <c r="AH76" s="301"/>
      <c r="AI76" s="301"/>
      <c r="AJ76" s="301"/>
      <c r="AK76" s="301"/>
      <c r="AL76" s="301"/>
      <c r="AM76" s="301"/>
      <c r="AN76" s="301"/>
    </row>
    <row r="77" spans="1:40" x14ac:dyDescent="0.25">
      <c r="A77" s="35" t="s">
        <v>40</v>
      </c>
      <c r="B77" s="373">
        <v>54115.040000000001</v>
      </c>
      <c r="C77" s="374"/>
      <c r="D77" s="353"/>
      <c r="E77" s="353"/>
      <c r="F77" s="353">
        <v>41575.24</v>
      </c>
      <c r="G77" s="430"/>
      <c r="H77" s="353"/>
      <c r="I77" s="353"/>
      <c r="J77" s="353"/>
      <c r="K77" s="354"/>
      <c r="L77" s="353"/>
      <c r="M77" s="353"/>
      <c r="N77" s="353"/>
      <c r="O77" s="668"/>
      <c r="P77" s="89"/>
      <c r="Q77" s="89"/>
      <c r="R77" s="89"/>
      <c r="S77" s="89"/>
      <c r="T77" s="180"/>
      <c r="U77" s="79"/>
      <c r="V77" s="340"/>
      <c r="W77" s="340"/>
      <c r="X77" s="340"/>
      <c r="Y77" s="79"/>
      <c r="Z77" s="522"/>
      <c r="AA77" s="254"/>
      <c r="AB77" s="287"/>
      <c r="AC77" s="650"/>
      <c r="AD77" s="300"/>
      <c r="AE77" s="300"/>
      <c r="AF77" s="301"/>
      <c r="AG77" s="301"/>
      <c r="AH77" s="301"/>
      <c r="AI77" s="301"/>
      <c r="AJ77" s="301"/>
      <c r="AK77" s="301"/>
      <c r="AL77" s="301"/>
      <c r="AM77" s="301"/>
      <c r="AN77" s="301"/>
    </row>
    <row r="78" spans="1:40" ht="15.75" thickBot="1" x14ac:dyDescent="0.3">
      <c r="A78" s="35" t="s">
        <v>41</v>
      </c>
      <c r="B78" s="373">
        <f>SUM(B73:B77)</f>
        <v>448107.75999999995</v>
      </c>
      <c r="C78" s="374"/>
      <c r="D78" s="353"/>
      <c r="E78" s="353"/>
      <c r="F78" s="353">
        <f>SUM(F73:F77)</f>
        <v>376063.08999999997</v>
      </c>
      <c r="G78" s="430"/>
      <c r="H78" s="353"/>
      <c r="I78" s="353"/>
      <c r="J78" s="353"/>
      <c r="K78" s="354"/>
      <c r="L78" s="353"/>
      <c r="M78" s="353"/>
      <c r="N78" s="353"/>
      <c r="O78" s="668"/>
      <c r="P78" s="89"/>
      <c r="Q78" s="89"/>
      <c r="R78" s="89"/>
      <c r="S78" s="89"/>
      <c r="T78" s="180"/>
      <c r="U78" s="180"/>
      <c r="V78" s="355"/>
      <c r="W78" s="355"/>
      <c r="X78" s="355"/>
      <c r="Y78" s="180"/>
      <c r="Z78" s="292"/>
      <c r="AA78" s="159"/>
      <c r="AB78" s="302"/>
      <c r="AC78" s="302"/>
      <c r="AD78" s="302"/>
      <c r="AE78" s="302"/>
      <c r="AF78" s="302"/>
      <c r="AG78" s="302"/>
      <c r="AH78" s="302"/>
      <c r="AI78" s="302"/>
      <c r="AJ78" s="302"/>
      <c r="AK78" s="302"/>
      <c r="AL78" s="302"/>
      <c r="AM78" s="302"/>
      <c r="AN78" s="302"/>
    </row>
    <row r="79" spans="1:40" x14ac:dyDescent="0.25">
      <c r="A79" s="44" t="s">
        <v>35</v>
      </c>
      <c r="B79" s="375"/>
      <c r="C79" s="376"/>
      <c r="D79" s="377"/>
      <c r="E79" s="377"/>
      <c r="F79" s="377"/>
      <c r="G79" s="431"/>
      <c r="H79" s="377"/>
      <c r="I79" s="377"/>
      <c r="J79" s="377"/>
      <c r="K79" s="438"/>
      <c r="L79" s="383"/>
      <c r="M79" s="377"/>
      <c r="N79" s="383"/>
      <c r="O79" s="669"/>
      <c r="P79" s="103"/>
      <c r="Q79" s="103"/>
      <c r="R79" s="103"/>
      <c r="S79" s="103"/>
      <c r="T79" s="183"/>
      <c r="U79" s="169"/>
      <c r="V79" s="670"/>
      <c r="W79" s="671"/>
      <c r="X79" s="671"/>
      <c r="Y79" s="537"/>
      <c r="Z79" s="672"/>
      <c r="AA79" s="673"/>
      <c r="AB79" s="647"/>
      <c r="AC79" s="648"/>
      <c r="AD79" s="513"/>
      <c r="AE79" s="513"/>
      <c r="AF79" s="514"/>
      <c r="AG79" s="514"/>
      <c r="AH79" s="514"/>
      <c r="AI79" s="514"/>
      <c r="AJ79" s="514"/>
      <c r="AK79" s="514"/>
      <c r="AL79" s="514"/>
      <c r="AM79" s="514"/>
      <c r="AN79" s="514"/>
    </row>
    <row r="80" spans="1:40" x14ac:dyDescent="0.25">
      <c r="A80" s="35" t="s">
        <v>36</v>
      </c>
      <c r="B80" s="378"/>
      <c r="C80" s="379"/>
      <c r="D80" s="358"/>
      <c r="E80" s="353"/>
      <c r="F80" s="358"/>
      <c r="G80" s="432"/>
      <c r="H80" s="358"/>
      <c r="I80" s="358"/>
      <c r="J80" s="358"/>
      <c r="K80" s="359"/>
      <c r="L80" s="353"/>
      <c r="M80" s="358"/>
      <c r="N80" s="353"/>
      <c r="O80" s="674"/>
      <c r="P80" s="87"/>
      <c r="Q80" s="87"/>
      <c r="R80" s="87"/>
      <c r="S80" s="87"/>
      <c r="T80" s="184"/>
      <c r="U80" s="89"/>
      <c r="V80" s="353"/>
      <c r="W80" s="353"/>
      <c r="X80" s="353"/>
      <c r="Y80" s="89"/>
      <c r="Z80" s="89"/>
      <c r="AA80" s="259"/>
      <c r="AB80" s="675"/>
      <c r="AC80" s="676"/>
      <c r="AD80" s="300"/>
      <c r="AE80" s="651"/>
      <c r="AF80" s="652"/>
      <c r="AG80" s="652"/>
      <c r="AH80" s="652"/>
      <c r="AI80" s="652"/>
      <c r="AJ80" s="652"/>
      <c r="AK80" s="652"/>
      <c r="AL80" s="652"/>
      <c r="AM80" s="652"/>
      <c r="AN80" s="652"/>
    </row>
    <row r="81" spans="1:40" x14ac:dyDescent="0.25">
      <c r="A81" s="35" t="s">
        <v>37</v>
      </c>
      <c r="B81" s="378"/>
      <c r="C81" s="379"/>
      <c r="D81" s="358"/>
      <c r="E81" s="353"/>
      <c r="F81" s="358"/>
      <c r="G81" s="432"/>
      <c r="H81" s="358"/>
      <c r="I81" s="358"/>
      <c r="J81" s="358"/>
      <c r="K81" s="359"/>
      <c r="L81" s="353"/>
      <c r="M81" s="358"/>
      <c r="N81" s="353"/>
      <c r="O81" s="674"/>
      <c r="P81" s="87"/>
      <c r="Q81" s="87"/>
      <c r="R81" s="87"/>
      <c r="S81" s="87"/>
      <c r="T81" s="184"/>
      <c r="U81" s="89"/>
      <c r="V81" s="353"/>
      <c r="W81" s="353"/>
      <c r="X81" s="353"/>
      <c r="Y81" s="89"/>
      <c r="Z81" s="89"/>
      <c r="AA81" s="259"/>
      <c r="AB81" s="675"/>
      <c r="AC81" s="676"/>
      <c r="AD81" s="300"/>
      <c r="AE81" s="651"/>
      <c r="AF81" s="652"/>
      <c r="AG81" s="652"/>
      <c r="AH81" s="652"/>
      <c r="AI81" s="652"/>
      <c r="AJ81" s="652"/>
      <c r="AK81" s="652"/>
      <c r="AL81" s="652"/>
      <c r="AM81" s="652"/>
      <c r="AN81" s="652"/>
    </row>
    <row r="82" spans="1:40" x14ac:dyDescent="0.25">
      <c r="A82" s="35" t="s">
        <v>38</v>
      </c>
      <c r="B82" s="378"/>
      <c r="C82" s="379"/>
      <c r="D82" s="358"/>
      <c r="E82" s="353"/>
      <c r="F82" s="358"/>
      <c r="G82" s="432"/>
      <c r="H82" s="358"/>
      <c r="I82" s="358"/>
      <c r="J82" s="358"/>
      <c r="K82" s="359"/>
      <c r="L82" s="353"/>
      <c r="M82" s="358"/>
      <c r="N82" s="353"/>
      <c r="O82" s="674"/>
      <c r="P82" s="87"/>
      <c r="Q82" s="87"/>
      <c r="R82" s="87"/>
      <c r="S82" s="87"/>
      <c r="T82" s="184"/>
      <c r="U82" s="89"/>
      <c r="V82" s="353"/>
      <c r="W82" s="353"/>
      <c r="X82" s="353"/>
      <c r="Y82" s="89"/>
      <c r="Z82" s="89"/>
      <c r="AA82" s="254"/>
      <c r="AB82" s="675"/>
      <c r="AC82" s="676"/>
      <c r="AD82" s="300"/>
      <c r="AE82" s="651"/>
      <c r="AF82" s="652"/>
      <c r="AG82" s="652"/>
      <c r="AH82" s="652"/>
      <c r="AI82" s="652"/>
      <c r="AJ82" s="652"/>
      <c r="AK82" s="652"/>
      <c r="AL82" s="652"/>
      <c r="AM82" s="652"/>
      <c r="AN82" s="652"/>
    </row>
    <row r="83" spans="1:40" x14ac:dyDescent="0.25">
      <c r="A83" s="35" t="s">
        <v>39</v>
      </c>
      <c r="B83" s="378"/>
      <c r="C83" s="379"/>
      <c r="D83" s="358"/>
      <c r="E83" s="353"/>
      <c r="F83" s="358"/>
      <c r="G83" s="432"/>
      <c r="H83" s="358"/>
      <c r="I83" s="358"/>
      <c r="J83" s="358"/>
      <c r="K83" s="359"/>
      <c r="L83" s="353"/>
      <c r="M83" s="358"/>
      <c r="N83" s="353"/>
      <c r="O83" s="674"/>
      <c r="P83" s="87"/>
      <c r="Q83" s="87"/>
      <c r="R83" s="87"/>
      <c r="S83" s="87"/>
      <c r="T83" s="184"/>
      <c r="U83" s="89"/>
      <c r="V83" s="353"/>
      <c r="W83" s="353"/>
      <c r="X83" s="353"/>
      <c r="Y83" s="89"/>
      <c r="Z83" s="89"/>
      <c r="AA83" s="98"/>
      <c r="AB83" s="675"/>
      <c r="AC83" s="676"/>
      <c r="AD83" s="300"/>
      <c r="AE83" s="651"/>
      <c r="AF83" s="652"/>
      <c r="AG83" s="652"/>
      <c r="AH83" s="652"/>
      <c r="AI83" s="652"/>
      <c r="AJ83" s="652"/>
      <c r="AK83" s="652"/>
      <c r="AL83" s="652"/>
      <c r="AM83" s="652"/>
      <c r="AN83" s="652"/>
    </row>
    <row r="84" spans="1:40" x14ac:dyDescent="0.25">
      <c r="A84" s="35" t="s">
        <v>62</v>
      </c>
      <c r="B84" s="378"/>
      <c r="C84" s="379"/>
      <c r="D84" s="358"/>
      <c r="E84" s="353"/>
      <c r="F84" s="358"/>
      <c r="G84" s="432"/>
      <c r="H84" s="358"/>
      <c r="I84" s="358"/>
      <c r="J84" s="358"/>
      <c r="K84" s="359"/>
      <c r="L84" s="353"/>
      <c r="M84" s="358"/>
      <c r="N84" s="353"/>
      <c r="O84" s="674"/>
      <c r="P84" s="87"/>
      <c r="Q84" s="87"/>
      <c r="R84" s="87"/>
      <c r="S84" s="87"/>
      <c r="T84" s="184"/>
      <c r="U84" s="89"/>
      <c r="V84" s="353"/>
      <c r="W84" s="353"/>
      <c r="X84" s="353"/>
      <c r="Y84" s="89"/>
      <c r="Z84" s="89"/>
      <c r="AA84" s="98"/>
      <c r="AB84" s="675"/>
      <c r="AC84" s="676"/>
      <c r="AD84" s="300"/>
      <c r="AE84" s="651"/>
      <c r="AF84" s="652"/>
      <c r="AG84" s="652"/>
      <c r="AH84" s="652"/>
      <c r="AI84" s="652"/>
      <c r="AJ84" s="652"/>
      <c r="AK84" s="652"/>
      <c r="AL84" s="652"/>
      <c r="AM84" s="652"/>
      <c r="AN84" s="652"/>
    </row>
    <row r="85" spans="1:40" x14ac:dyDescent="0.25">
      <c r="A85" s="35" t="s">
        <v>41</v>
      </c>
      <c r="B85" s="364">
        <v>22262.38</v>
      </c>
      <c r="C85" s="365">
        <v>8415.69</v>
      </c>
      <c r="D85" s="344">
        <v>295099.06</v>
      </c>
      <c r="E85" s="344">
        <v>49464.33</v>
      </c>
      <c r="F85" s="340">
        <v>19459.36</v>
      </c>
      <c r="G85" s="433"/>
      <c r="H85" s="344"/>
      <c r="I85" s="344"/>
      <c r="J85" s="344"/>
      <c r="K85" s="342"/>
      <c r="L85" s="340"/>
      <c r="M85" s="353"/>
      <c r="N85" s="344"/>
      <c r="O85" s="677"/>
      <c r="P85" s="109"/>
      <c r="Q85" s="98"/>
      <c r="R85" s="109"/>
      <c r="S85" s="79"/>
      <c r="T85" s="180"/>
      <c r="U85" s="180"/>
      <c r="V85" s="355"/>
      <c r="W85" s="355"/>
      <c r="X85" s="355"/>
      <c r="Y85" s="180"/>
      <c r="Z85" s="180"/>
      <c r="AA85" s="98"/>
      <c r="AB85" s="98"/>
      <c r="AC85" s="98"/>
      <c r="AD85" s="98"/>
      <c r="AE85" s="98"/>
      <c r="AF85" s="98"/>
      <c r="AG85" s="98"/>
      <c r="AH85" s="98"/>
      <c r="AI85" s="98"/>
      <c r="AJ85" s="98"/>
      <c r="AK85" s="98"/>
      <c r="AL85" s="98"/>
      <c r="AM85" s="98"/>
      <c r="AN85" s="98"/>
    </row>
    <row r="86" spans="1:40" x14ac:dyDescent="0.25">
      <c r="A86" s="43" t="s">
        <v>32</v>
      </c>
      <c r="B86" s="357"/>
      <c r="C86" s="358"/>
      <c r="D86" s="358"/>
      <c r="E86" s="353"/>
      <c r="F86" s="112"/>
      <c r="G86" s="112"/>
      <c r="H86" s="358"/>
      <c r="I86" s="358"/>
      <c r="J86" s="358"/>
      <c r="K86" s="359"/>
      <c r="L86" s="353"/>
      <c r="M86" s="358"/>
      <c r="N86" s="353"/>
      <c r="O86" s="678"/>
      <c r="P86" s="112"/>
      <c r="Q86" s="112"/>
      <c r="R86" s="112"/>
      <c r="S86" s="112"/>
      <c r="T86" s="185"/>
      <c r="U86" s="113"/>
      <c r="V86" s="679"/>
      <c r="W86" s="680"/>
      <c r="X86" s="680"/>
      <c r="Y86" s="539"/>
      <c r="Z86" s="539"/>
      <c r="AA86" s="681"/>
      <c r="AB86" s="636"/>
      <c r="AC86" s="637"/>
      <c r="AD86" s="555"/>
      <c r="AE86" s="555"/>
      <c r="AF86" s="556"/>
      <c r="AG86" s="556"/>
      <c r="AH86" s="556"/>
      <c r="AI86" s="556"/>
      <c r="AJ86" s="556"/>
      <c r="AK86" s="556"/>
      <c r="AL86" s="556"/>
      <c r="AM86" s="556"/>
      <c r="AN86" s="556"/>
    </row>
    <row r="87" spans="1:40" x14ac:dyDescent="0.25">
      <c r="A87" s="35" t="s">
        <v>36</v>
      </c>
      <c r="B87" s="357"/>
      <c r="C87" s="358"/>
      <c r="D87" s="358"/>
      <c r="E87" s="353"/>
      <c r="F87" s="119"/>
      <c r="G87" s="119"/>
      <c r="H87" s="358"/>
      <c r="I87" s="358"/>
      <c r="J87" s="358"/>
      <c r="K87" s="359"/>
      <c r="L87" s="353"/>
      <c r="M87" s="358"/>
      <c r="N87" s="353"/>
      <c r="O87" s="682"/>
      <c r="P87" s="119"/>
      <c r="Q87" s="119"/>
      <c r="R87" s="119"/>
      <c r="S87" s="119"/>
      <c r="T87" s="186"/>
      <c r="U87" s="120"/>
      <c r="V87" s="353"/>
      <c r="W87" s="353"/>
      <c r="X87" s="353"/>
      <c r="Y87" s="120"/>
      <c r="Z87" s="120"/>
      <c r="AA87" s="261"/>
      <c r="AB87" s="639"/>
      <c r="AC87" s="640"/>
      <c r="AD87" s="555"/>
      <c r="AE87" s="555"/>
      <c r="AF87" s="556"/>
      <c r="AG87" s="556"/>
      <c r="AH87" s="556"/>
      <c r="AI87" s="556"/>
      <c r="AJ87" s="556"/>
      <c r="AK87" s="556"/>
      <c r="AL87" s="556"/>
      <c r="AM87" s="556"/>
      <c r="AN87" s="556"/>
    </row>
    <row r="88" spans="1:40" x14ac:dyDescent="0.25">
      <c r="A88" s="35" t="s">
        <v>37</v>
      </c>
      <c r="B88" s="357"/>
      <c r="C88" s="358"/>
      <c r="D88" s="358"/>
      <c r="E88" s="353"/>
      <c r="F88" s="119"/>
      <c r="G88" s="119"/>
      <c r="H88" s="358"/>
      <c r="I88" s="358"/>
      <c r="J88" s="358"/>
      <c r="K88" s="359"/>
      <c r="L88" s="353"/>
      <c r="M88" s="358"/>
      <c r="N88" s="353"/>
      <c r="O88" s="682"/>
      <c r="P88" s="119"/>
      <c r="Q88" s="119"/>
      <c r="R88" s="119"/>
      <c r="S88" s="119"/>
      <c r="T88" s="186"/>
      <c r="U88" s="120"/>
      <c r="V88" s="353"/>
      <c r="W88" s="353"/>
      <c r="X88" s="353"/>
      <c r="Y88" s="120"/>
      <c r="Z88" s="120"/>
      <c r="AA88" s="261"/>
      <c r="AB88" s="639"/>
      <c r="AC88" s="640"/>
      <c r="AD88" s="555"/>
      <c r="AE88" s="555"/>
      <c r="AF88" s="556"/>
      <c r="AG88" s="556"/>
      <c r="AH88" s="556"/>
      <c r="AI88" s="556"/>
      <c r="AJ88" s="556"/>
      <c r="AK88" s="556"/>
      <c r="AL88" s="556"/>
      <c r="AM88" s="556"/>
      <c r="AN88" s="556"/>
    </row>
    <row r="89" spans="1:40" x14ac:dyDescent="0.25">
      <c r="A89" s="35" t="s">
        <v>38</v>
      </c>
      <c r="B89" s="357"/>
      <c r="C89" s="358"/>
      <c r="D89" s="358"/>
      <c r="E89" s="353"/>
      <c r="F89" s="119"/>
      <c r="G89" s="119"/>
      <c r="H89" s="358"/>
      <c r="I89" s="358"/>
      <c r="J89" s="358"/>
      <c r="K89" s="359"/>
      <c r="L89" s="353"/>
      <c r="M89" s="358"/>
      <c r="N89" s="353"/>
      <c r="O89" s="682"/>
      <c r="P89" s="119"/>
      <c r="Q89" s="119"/>
      <c r="R89" s="119"/>
      <c r="S89" s="119"/>
      <c r="T89" s="186"/>
      <c r="U89" s="120"/>
      <c r="V89" s="353"/>
      <c r="W89" s="353"/>
      <c r="X89" s="353"/>
      <c r="Y89" s="120"/>
      <c r="Z89" s="120"/>
      <c r="AA89" s="261"/>
      <c r="AB89" s="639"/>
      <c r="AC89" s="640"/>
      <c r="AD89" s="555"/>
      <c r="AE89" s="555"/>
      <c r="AF89" s="556"/>
      <c r="AG89" s="556"/>
      <c r="AH89" s="556"/>
      <c r="AI89" s="556"/>
      <c r="AJ89" s="556"/>
      <c r="AK89" s="556"/>
      <c r="AL89" s="556"/>
      <c r="AM89" s="556"/>
      <c r="AN89" s="556"/>
    </row>
    <row r="90" spans="1:40" x14ac:dyDescent="0.25">
      <c r="A90" s="35" t="s">
        <v>39</v>
      </c>
      <c r="B90" s="357"/>
      <c r="C90" s="358"/>
      <c r="D90" s="358"/>
      <c r="E90" s="353"/>
      <c r="F90" s="119"/>
      <c r="G90" s="119"/>
      <c r="H90" s="119"/>
      <c r="I90" s="119"/>
      <c r="J90" s="119"/>
      <c r="K90" s="121"/>
      <c r="L90" s="120"/>
      <c r="M90" s="119"/>
      <c r="N90" s="120"/>
      <c r="O90" s="682"/>
      <c r="P90" s="119"/>
      <c r="Q90" s="119"/>
      <c r="R90" s="119"/>
      <c r="S90" s="119"/>
      <c r="T90" s="186"/>
      <c r="U90" s="120"/>
      <c r="V90" s="353"/>
      <c r="W90" s="353"/>
      <c r="X90" s="353"/>
      <c r="Y90" s="120"/>
      <c r="Z90" s="120"/>
      <c r="AA90" s="261"/>
      <c r="AB90" s="639"/>
      <c r="AC90" s="640"/>
      <c r="AD90" s="555"/>
      <c r="AE90" s="555"/>
      <c r="AF90" s="556"/>
      <c r="AG90" s="556"/>
      <c r="AH90" s="556"/>
      <c r="AI90" s="556"/>
      <c r="AJ90" s="556"/>
      <c r="AK90" s="556"/>
      <c r="AL90" s="556"/>
      <c r="AM90" s="556"/>
      <c r="AN90" s="556"/>
    </row>
    <row r="91" spans="1:40" x14ac:dyDescent="0.25">
      <c r="A91" s="35" t="s">
        <v>62</v>
      </c>
      <c r="B91" s="357"/>
      <c r="C91" s="358"/>
      <c r="D91" s="358"/>
      <c r="E91" s="353"/>
      <c r="F91" s="119"/>
      <c r="G91" s="119"/>
      <c r="H91" s="119"/>
      <c r="I91" s="119"/>
      <c r="J91" s="119"/>
      <c r="K91" s="121"/>
      <c r="L91" s="120"/>
      <c r="M91" s="119"/>
      <c r="N91" s="120"/>
      <c r="O91" s="682"/>
      <c r="P91" s="119"/>
      <c r="Q91" s="119"/>
      <c r="R91" s="119"/>
      <c r="S91" s="119"/>
      <c r="T91" s="186"/>
      <c r="U91" s="120"/>
      <c r="V91" s="353"/>
      <c r="W91" s="353"/>
      <c r="X91" s="353"/>
      <c r="Y91" s="120"/>
      <c r="Z91" s="120"/>
      <c r="AA91" s="261"/>
      <c r="AB91" s="639"/>
      <c r="AC91" s="640"/>
      <c r="AD91" s="555"/>
      <c r="AE91" s="555"/>
      <c r="AF91" s="556"/>
      <c r="AG91" s="556"/>
      <c r="AH91" s="556"/>
      <c r="AI91" s="556"/>
      <c r="AJ91" s="556"/>
      <c r="AK91" s="556"/>
      <c r="AL91" s="556"/>
      <c r="AM91" s="556"/>
      <c r="AN91" s="556"/>
    </row>
    <row r="92" spans="1:40" ht="15.75" thickBot="1" x14ac:dyDescent="0.3">
      <c r="A92" s="37" t="s">
        <v>41</v>
      </c>
      <c r="B92" s="380">
        <v>126</v>
      </c>
      <c r="C92" s="381">
        <v>52</v>
      </c>
      <c r="D92" s="351"/>
      <c r="E92" s="351"/>
      <c r="F92" s="60"/>
      <c r="G92" s="60"/>
      <c r="H92" s="60"/>
      <c r="I92" s="60"/>
      <c r="J92" s="60"/>
      <c r="K92" s="163"/>
      <c r="L92" s="60"/>
      <c r="M92" s="60"/>
      <c r="N92" s="60"/>
      <c r="O92" s="683"/>
      <c r="P92" s="60"/>
      <c r="Q92" s="60"/>
      <c r="R92" s="60"/>
      <c r="S92" s="60"/>
      <c r="T92" s="187"/>
      <c r="U92" s="187"/>
      <c r="V92" s="684"/>
      <c r="W92" s="684"/>
      <c r="X92" s="684"/>
      <c r="Y92" s="187"/>
      <c r="Z92" s="295"/>
      <c r="AA92" s="262"/>
      <c r="AB92" s="262"/>
      <c r="AC92" s="262"/>
      <c r="AD92" s="262"/>
      <c r="AE92" s="262"/>
      <c r="AF92" s="262"/>
      <c r="AG92" s="262"/>
      <c r="AH92" s="262"/>
      <c r="AI92" s="262"/>
      <c r="AJ92" s="262"/>
      <c r="AK92" s="262"/>
      <c r="AL92" s="262"/>
      <c r="AM92" s="262"/>
      <c r="AN92" s="262"/>
    </row>
    <row r="93" spans="1:40" x14ac:dyDescent="0.25">
      <c r="A93" s="45" t="s">
        <v>44</v>
      </c>
      <c r="B93" s="382"/>
      <c r="C93" s="377"/>
      <c r="D93" s="377"/>
      <c r="E93" s="383"/>
      <c r="F93" s="124"/>
      <c r="G93" s="124"/>
      <c r="H93" s="124"/>
      <c r="I93" s="124"/>
      <c r="J93" s="124"/>
      <c r="K93" s="126"/>
      <c r="L93" s="125"/>
      <c r="M93" s="124"/>
      <c r="N93" s="125"/>
      <c r="O93" s="685"/>
      <c r="P93" s="124"/>
      <c r="Q93" s="124"/>
      <c r="R93" s="124"/>
      <c r="S93" s="124"/>
      <c r="T93" s="188"/>
      <c r="U93" s="125"/>
      <c r="V93" s="686"/>
      <c r="W93" s="687"/>
      <c r="X93" s="687"/>
      <c r="Y93" s="541"/>
      <c r="Z93" s="541"/>
      <c r="AA93" s="688"/>
      <c r="AB93" s="647"/>
      <c r="AC93" s="648"/>
      <c r="AD93" s="513"/>
      <c r="AE93" s="513"/>
      <c r="AF93" s="514"/>
      <c r="AG93" s="514"/>
      <c r="AH93" s="514"/>
      <c r="AI93" s="514"/>
      <c r="AJ93" s="514"/>
      <c r="AK93" s="514"/>
      <c r="AL93" s="514"/>
      <c r="AM93" s="514"/>
      <c r="AN93" s="514"/>
    </row>
    <row r="94" spans="1:40" x14ac:dyDescent="0.25">
      <c r="A94" s="35" t="s">
        <v>36</v>
      </c>
      <c r="B94" s="352"/>
      <c r="C94" s="346"/>
      <c r="D94" s="346"/>
      <c r="E94" s="346"/>
      <c r="F94" s="77"/>
      <c r="G94" s="77"/>
      <c r="H94" s="77"/>
      <c r="I94" s="77"/>
      <c r="J94" s="77"/>
      <c r="K94" s="98"/>
      <c r="L94" s="97"/>
      <c r="M94" s="97"/>
      <c r="N94" s="97"/>
      <c r="O94" s="689"/>
      <c r="P94" s="97"/>
      <c r="Q94" s="97"/>
      <c r="R94" s="97"/>
      <c r="S94" s="97"/>
      <c r="T94" s="97"/>
      <c r="U94" s="97"/>
      <c r="V94" s="352"/>
      <c r="W94" s="352"/>
      <c r="X94" s="352"/>
      <c r="Y94" s="97"/>
      <c r="Z94" s="97"/>
      <c r="AA94" s="97"/>
      <c r="AB94" s="97"/>
      <c r="AC94" s="97"/>
      <c r="AD94" s="97"/>
      <c r="AE94" s="97"/>
      <c r="AF94" s="97"/>
      <c r="AG94" s="97"/>
      <c r="AH94" s="97"/>
      <c r="AI94" s="97"/>
      <c r="AJ94" s="97"/>
      <c r="AK94" s="97"/>
      <c r="AL94" s="97"/>
      <c r="AM94" s="97"/>
      <c r="AN94" s="97"/>
    </row>
    <row r="95" spans="1:40" x14ac:dyDescent="0.25">
      <c r="A95" s="35" t="s">
        <v>37</v>
      </c>
      <c r="B95" s="352"/>
      <c r="C95" s="346"/>
      <c r="D95" s="346"/>
      <c r="E95" s="346"/>
      <c r="F95" s="77"/>
      <c r="G95" s="77"/>
      <c r="H95" s="77"/>
      <c r="I95" s="77"/>
      <c r="J95" s="77"/>
      <c r="K95" s="98"/>
      <c r="L95" s="97"/>
      <c r="M95" s="97"/>
      <c r="N95" s="97"/>
      <c r="O95" s="689"/>
      <c r="P95" s="97"/>
      <c r="Q95" s="97"/>
      <c r="R95" s="97"/>
      <c r="S95" s="97"/>
      <c r="T95" s="97"/>
      <c r="U95" s="97"/>
      <c r="V95" s="352"/>
      <c r="W95" s="352"/>
      <c r="X95" s="352"/>
      <c r="Y95" s="97"/>
      <c r="Z95" s="97"/>
      <c r="AA95" s="97"/>
      <c r="AB95" s="97"/>
      <c r="AC95" s="97"/>
      <c r="AD95" s="97"/>
      <c r="AE95" s="97"/>
      <c r="AF95" s="97"/>
      <c r="AG95" s="97"/>
      <c r="AH95" s="97"/>
      <c r="AI95" s="97"/>
      <c r="AJ95" s="97"/>
      <c r="AK95" s="97"/>
      <c r="AL95" s="97"/>
      <c r="AM95" s="97"/>
      <c r="AN95" s="97"/>
    </row>
    <row r="96" spans="1:40" x14ac:dyDescent="0.25">
      <c r="A96" s="35" t="s">
        <v>38</v>
      </c>
      <c r="B96" s="352"/>
      <c r="C96" s="346"/>
      <c r="D96" s="346"/>
      <c r="E96" s="346"/>
      <c r="F96" s="77"/>
      <c r="G96" s="77"/>
      <c r="H96" s="77"/>
      <c r="I96" s="77"/>
      <c r="J96" s="77"/>
      <c r="K96" s="98"/>
      <c r="L96" s="97"/>
      <c r="M96" s="97"/>
      <c r="N96" s="97"/>
      <c r="O96" s="689"/>
      <c r="P96" s="97"/>
      <c r="Q96" s="97"/>
      <c r="R96" s="97"/>
      <c r="S96" s="97"/>
      <c r="T96" s="97"/>
      <c r="U96" s="97"/>
      <c r="V96" s="352"/>
      <c r="W96" s="352"/>
      <c r="X96" s="352"/>
      <c r="Y96" s="97"/>
      <c r="Z96" s="97"/>
      <c r="AA96" s="97"/>
      <c r="AB96" s="97"/>
      <c r="AC96" s="97"/>
      <c r="AD96" s="97"/>
      <c r="AE96" s="97"/>
      <c r="AF96" s="97"/>
      <c r="AG96" s="97"/>
      <c r="AH96" s="97"/>
      <c r="AI96" s="97"/>
      <c r="AJ96" s="97"/>
      <c r="AK96" s="97"/>
      <c r="AL96" s="97"/>
      <c r="AM96" s="97"/>
      <c r="AN96" s="97"/>
    </row>
    <row r="97" spans="1:40" x14ac:dyDescent="0.25">
      <c r="A97" s="35" t="s">
        <v>39</v>
      </c>
      <c r="B97" s="352"/>
      <c r="C97" s="346"/>
      <c r="D97" s="346"/>
      <c r="E97" s="346"/>
      <c r="F97" s="77"/>
      <c r="G97" s="77"/>
      <c r="H97" s="77"/>
      <c r="I97" s="77"/>
      <c r="J97" s="77"/>
      <c r="K97" s="98"/>
      <c r="L97" s="97"/>
      <c r="M97" s="97"/>
      <c r="N97" s="97"/>
      <c r="O97" s="689"/>
      <c r="P97" s="97"/>
      <c r="Q97" s="97"/>
      <c r="R97" s="97"/>
      <c r="S97" s="97"/>
      <c r="T97" s="97"/>
      <c r="U97" s="97"/>
      <c r="V97" s="352"/>
      <c r="W97" s="352"/>
      <c r="X97" s="352"/>
      <c r="Y97" s="97"/>
      <c r="Z97" s="97"/>
      <c r="AA97" s="97"/>
      <c r="AB97" s="97"/>
      <c r="AC97" s="97"/>
      <c r="AD97" s="97"/>
      <c r="AE97" s="97"/>
      <c r="AF97" s="97"/>
      <c r="AG97" s="97"/>
      <c r="AH97" s="97"/>
      <c r="AI97" s="97"/>
      <c r="AJ97" s="97"/>
      <c r="AK97" s="97"/>
      <c r="AL97" s="97"/>
      <c r="AM97" s="97"/>
      <c r="AN97" s="97"/>
    </row>
    <row r="98" spans="1:40" x14ac:dyDescent="0.25">
      <c r="A98" s="35" t="s">
        <v>40</v>
      </c>
      <c r="B98" s="352"/>
      <c r="C98" s="346"/>
      <c r="D98" s="346"/>
      <c r="E98" s="346"/>
      <c r="F98" s="77"/>
      <c r="G98" s="77"/>
      <c r="H98" s="77"/>
      <c r="I98" s="77"/>
      <c r="J98" s="77"/>
      <c r="K98" s="98"/>
      <c r="L98" s="97"/>
      <c r="M98" s="97"/>
      <c r="N98" s="97"/>
      <c r="O98" s="689"/>
      <c r="P98" s="97"/>
      <c r="Q98" s="97"/>
      <c r="R98" s="97"/>
      <c r="S98" s="97"/>
      <c r="T98" s="97"/>
      <c r="U98" s="97"/>
      <c r="V98" s="352"/>
      <c r="W98" s="352"/>
      <c r="X98" s="352"/>
      <c r="Y98" s="97"/>
      <c r="Z98" s="97"/>
      <c r="AA98" s="97"/>
      <c r="AB98" s="97"/>
      <c r="AC98" s="97"/>
      <c r="AD98" s="97"/>
      <c r="AE98" s="97"/>
      <c r="AF98" s="97"/>
      <c r="AG98" s="97"/>
      <c r="AH98" s="97"/>
      <c r="AI98" s="97"/>
      <c r="AJ98" s="97"/>
      <c r="AK98" s="97"/>
      <c r="AL98" s="97"/>
      <c r="AM98" s="97"/>
      <c r="AN98" s="97"/>
    </row>
    <row r="99" spans="1:40" ht="15.75" thickBot="1" x14ac:dyDescent="0.3">
      <c r="A99" s="37" t="s">
        <v>41</v>
      </c>
      <c r="B99" s="349"/>
      <c r="C99" s="351"/>
      <c r="D99" s="351"/>
      <c r="E99" s="351"/>
      <c r="F99" s="81"/>
      <c r="G99" s="81"/>
      <c r="H99" s="81"/>
      <c r="I99" s="81"/>
      <c r="J99" s="81"/>
      <c r="K99" s="160"/>
      <c r="L99" s="81"/>
      <c r="M99" s="200"/>
      <c r="N99" s="81"/>
      <c r="O99" s="690"/>
      <c r="P99" s="81"/>
      <c r="Q99" s="81"/>
      <c r="R99" s="81"/>
      <c r="S99" s="81"/>
      <c r="T99" s="80"/>
      <c r="U99" s="80"/>
      <c r="V99" s="691"/>
      <c r="W99" s="691"/>
      <c r="X99" s="691"/>
      <c r="Y99" s="80"/>
      <c r="Z99" s="296"/>
      <c r="AA99" s="263"/>
      <c r="AB99" s="263"/>
      <c r="AC99" s="263"/>
      <c r="AD99" s="263"/>
      <c r="AE99" s="263"/>
      <c r="AF99" s="263"/>
      <c r="AG99" s="263"/>
      <c r="AH99" s="263"/>
      <c r="AI99" s="263"/>
      <c r="AJ99" s="263"/>
      <c r="AK99" s="263"/>
      <c r="AL99" s="263"/>
      <c r="AM99" s="263"/>
      <c r="AN99" s="263"/>
    </row>
    <row r="100" spans="1:40" x14ac:dyDescent="0.25">
      <c r="A100" s="45" t="s">
        <v>20</v>
      </c>
      <c r="B100" s="384"/>
      <c r="C100" s="385"/>
      <c r="D100" s="385"/>
      <c r="E100" s="372"/>
      <c r="F100" s="62"/>
      <c r="G100" s="62"/>
      <c r="H100" s="62"/>
      <c r="I100" s="62"/>
      <c r="J100" s="62"/>
      <c r="K100" s="63"/>
      <c r="L100" s="64"/>
      <c r="M100" s="62"/>
      <c r="N100" s="64"/>
      <c r="O100" s="624"/>
      <c r="P100" s="62"/>
      <c r="Q100" s="62"/>
      <c r="R100" s="62"/>
      <c r="S100" s="62"/>
      <c r="T100" s="63"/>
      <c r="U100" s="64"/>
      <c r="V100" s="582"/>
      <c r="W100" s="625"/>
      <c r="X100" s="625"/>
      <c r="Y100" s="513"/>
      <c r="Z100" s="513"/>
      <c r="AA100" s="626"/>
      <c r="AB100" s="647"/>
      <c r="AC100" s="648"/>
      <c r="AD100" s="513"/>
      <c r="AE100" s="513"/>
      <c r="AF100" s="514"/>
      <c r="AG100" s="514"/>
      <c r="AH100" s="514"/>
      <c r="AI100" s="514"/>
      <c r="AJ100" s="514"/>
      <c r="AK100" s="514"/>
      <c r="AL100" s="514"/>
      <c r="AM100" s="514"/>
      <c r="AN100" s="514"/>
    </row>
    <row r="101" spans="1:40" x14ac:dyDescent="0.25">
      <c r="A101" s="35" t="s">
        <v>36</v>
      </c>
      <c r="B101" s="384"/>
      <c r="C101" s="385"/>
      <c r="D101" s="385"/>
      <c r="E101" s="372"/>
      <c r="F101" s="56"/>
      <c r="G101" s="58"/>
      <c r="H101" s="56"/>
      <c r="I101" s="58"/>
      <c r="J101" s="56"/>
      <c r="K101" s="130"/>
      <c r="L101" s="58"/>
      <c r="M101" s="58"/>
      <c r="N101" s="58"/>
      <c r="O101" s="692"/>
      <c r="P101" s="56"/>
      <c r="Q101" s="58"/>
      <c r="R101" s="56"/>
      <c r="S101" s="58"/>
      <c r="T101" s="130"/>
      <c r="U101" s="58"/>
      <c r="V101" s="372"/>
      <c r="W101" s="372"/>
      <c r="X101" s="372"/>
      <c r="Y101" s="58"/>
      <c r="Z101" s="58"/>
      <c r="AA101" s="242"/>
      <c r="AB101" s="639"/>
      <c r="AC101" s="640"/>
      <c r="AD101" s="555"/>
      <c r="AE101" s="555"/>
      <c r="AF101" s="556"/>
      <c r="AG101" s="556"/>
      <c r="AH101" s="556"/>
      <c r="AI101" s="556"/>
      <c r="AJ101" s="556"/>
      <c r="AK101" s="556"/>
      <c r="AL101" s="556"/>
      <c r="AM101" s="556"/>
      <c r="AN101" s="556"/>
    </row>
    <row r="102" spans="1:40" x14ac:dyDescent="0.25">
      <c r="A102" s="35" t="s">
        <v>37</v>
      </c>
      <c r="B102" s="384"/>
      <c r="C102" s="385"/>
      <c r="D102" s="385"/>
      <c r="E102" s="372"/>
      <c r="F102" s="56"/>
      <c r="G102" s="58"/>
      <c r="H102" s="56"/>
      <c r="I102" s="58"/>
      <c r="J102" s="56"/>
      <c r="K102" s="130"/>
      <c r="L102" s="58"/>
      <c r="M102" s="58"/>
      <c r="N102" s="58"/>
      <c r="O102" s="692"/>
      <c r="P102" s="56"/>
      <c r="Q102" s="58"/>
      <c r="R102" s="56"/>
      <c r="S102" s="58"/>
      <c r="T102" s="130"/>
      <c r="U102" s="58"/>
      <c r="V102" s="372"/>
      <c r="W102" s="372"/>
      <c r="X102" s="372"/>
      <c r="Y102" s="58"/>
      <c r="Z102" s="58"/>
      <c r="AA102" s="264"/>
      <c r="AB102" s="639"/>
      <c r="AC102" s="640"/>
      <c r="AD102" s="555"/>
      <c r="AE102" s="555"/>
      <c r="AF102" s="556"/>
      <c r="AG102" s="556"/>
      <c r="AH102" s="556"/>
      <c r="AI102" s="556"/>
      <c r="AJ102" s="556"/>
      <c r="AK102" s="556"/>
      <c r="AL102" s="556"/>
      <c r="AM102" s="556"/>
      <c r="AN102" s="556"/>
    </row>
    <row r="103" spans="1:40" x14ac:dyDescent="0.25">
      <c r="A103" s="35" t="s">
        <v>38</v>
      </c>
      <c r="B103" s="384"/>
      <c r="C103" s="385"/>
      <c r="D103" s="385"/>
      <c r="E103" s="385"/>
      <c r="F103" s="56"/>
      <c r="G103" s="56"/>
      <c r="H103" s="56"/>
      <c r="I103" s="56"/>
      <c r="J103" s="56"/>
      <c r="K103" s="70"/>
      <c r="L103" s="58"/>
      <c r="M103" s="58"/>
      <c r="N103" s="58"/>
      <c r="O103" s="692"/>
      <c r="P103" s="56"/>
      <c r="Q103" s="58"/>
      <c r="R103" s="56"/>
      <c r="S103" s="58"/>
      <c r="T103" s="130"/>
      <c r="U103" s="58"/>
      <c r="V103" s="372"/>
      <c r="W103" s="372"/>
      <c r="X103" s="372"/>
      <c r="Y103" s="58"/>
      <c r="Z103" s="58"/>
      <c r="AA103" s="264"/>
      <c r="AB103" s="639"/>
      <c r="AC103" s="640"/>
      <c r="AD103" s="555"/>
      <c r="AE103" s="555"/>
      <c r="AF103" s="556"/>
      <c r="AG103" s="556"/>
      <c r="AH103" s="556"/>
      <c r="AI103" s="556"/>
      <c r="AJ103" s="556"/>
      <c r="AK103" s="556"/>
      <c r="AL103" s="556"/>
      <c r="AM103" s="556"/>
      <c r="AN103" s="556"/>
    </row>
    <row r="104" spans="1:40" x14ac:dyDescent="0.25">
      <c r="A104" s="35" t="s">
        <v>39</v>
      </c>
      <c r="B104" s="384"/>
      <c r="C104" s="385"/>
      <c r="D104" s="385"/>
      <c r="E104" s="385"/>
      <c r="F104" s="56"/>
      <c r="G104" s="56"/>
      <c r="H104" s="56"/>
      <c r="I104" s="56"/>
      <c r="J104" s="56"/>
      <c r="K104" s="57"/>
      <c r="L104" s="58"/>
      <c r="M104" s="58"/>
      <c r="N104" s="58"/>
      <c r="O104" s="692"/>
      <c r="P104" s="56"/>
      <c r="Q104" s="58"/>
      <c r="R104" s="56"/>
      <c r="S104" s="58"/>
      <c r="T104" s="130"/>
      <c r="U104" s="58"/>
      <c r="V104" s="372"/>
      <c r="W104" s="372"/>
      <c r="X104" s="372"/>
      <c r="Y104" s="58"/>
      <c r="Z104" s="58"/>
      <c r="AA104" s="264"/>
      <c r="AB104" s="639"/>
      <c r="AC104" s="640"/>
      <c r="AD104" s="555"/>
      <c r="AE104" s="555"/>
      <c r="AF104" s="556"/>
      <c r="AG104" s="556"/>
      <c r="AH104" s="556"/>
      <c r="AI104" s="556"/>
      <c r="AJ104" s="556"/>
      <c r="AK104" s="556"/>
      <c r="AL104" s="556"/>
      <c r="AM104" s="556"/>
      <c r="AN104" s="556"/>
    </row>
    <row r="105" spans="1:40" x14ac:dyDescent="0.25">
      <c r="A105" s="35" t="s">
        <v>40</v>
      </c>
      <c r="B105" s="384"/>
      <c r="C105" s="385"/>
      <c r="D105" s="385"/>
      <c r="E105" s="385"/>
      <c r="F105" s="56"/>
      <c r="G105" s="56"/>
      <c r="H105" s="56"/>
      <c r="I105" s="56"/>
      <c r="J105" s="56"/>
      <c r="K105" s="57"/>
      <c r="L105" s="58"/>
      <c r="M105" s="58"/>
      <c r="N105" s="58"/>
      <c r="O105" s="692"/>
      <c r="P105" s="56"/>
      <c r="Q105" s="58"/>
      <c r="R105" s="56"/>
      <c r="S105" s="58"/>
      <c r="T105" s="130"/>
      <c r="U105" s="58"/>
      <c r="V105" s="372"/>
      <c r="W105" s="372"/>
      <c r="X105" s="372"/>
      <c r="Y105" s="58"/>
      <c r="Z105" s="58"/>
      <c r="AA105" s="264"/>
      <c r="AB105" s="639"/>
      <c r="AC105" s="640"/>
      <c r="AD105" s="555"/>
      <c r="AE105" s="555"/>
      <c r="AF105" s="556"/>
      <c r="AG105" s="556"/>
      <c r="AH105" s="556"/>
      <c r="AI105" s="556"/>
      <c r="AJ105" s="556"/>
      <c r="AK105" s="556"/>
      <c r="AL105" s="556"/>
      <c r="AM105" s="556"/>
      <c r="AN105" s="556"/>
    </row>
    <row r="106" spans="1:40" x14ac:dyDescent="0.25">
      <c r="A106" s="35" t="s">
        <v>41</v>
      </c>
      <c r="B106" s="339"/>
      <c r="C106" s="372"/>
      <c r="D106" s="372"/>
      <c r="E106" s="372"/>
      <c r="F106" s="58"/>
      <c r="G106" s="58"/>
      <c r="H106" s="58"/>
      <c r="I106" s="58"/>
      <c r="J106" s="58"/>
      <c r="K106" s="130"/>
      <c r="L106" s="58"/>
      <c r="M106" s="58"/>
      <c r="N106" s="58"/>
      <c r="O106" s="692"/>
      <c r="P106" s="58"/>
      <c r="Q106" s="58"/>
      <c r="R106" s="58"/>
      <c r="S106" s="58"/>
      <c r="T106" s="70"/>
      <c r="U106" s="70"/>
      <c r="V106" s="347"/>
      <c r="W106" s="347"/>
      <c r="X106" s="347"/>
      <c r="Y106" s="70"/>
      <c r="Z106" s="70"/>
      <c r="AA106" s="242"/>
      <c r="AB106" s="242"/>
      <c r="AC106" s="242"/>
      <c r="AD106" s="242"/>
      <c r="AE106" s="242"/>
      <c r="AF106" s="242"/>
      <c r="AG106" s="242"/>
      <c r="AH106" s="242"/>
      <c r="AI106" s="242"/>
      <c r="AJ106" s="242"/>
      <c r="AK106" s="242"/>
      <c r="AL106" s="242"/>
      <c r="AM106" s="242"/>
      <c r="AN106" s="242"/>
    </row>
    <row r="107" spans="1:40" x14ac:dyDescent="0.25">
      <c r="A107" s="45" t="s">
        <v>25</v>
      </c>
      <c r="B107" s="693"/>
      <c r="C107" s="625"/>
      <c r="D107" s="625"/>
      <c r="E107" s="625"/>
      <c r="F107" s="513"/>
      <c r="G107" s="543"/>
      <c r="H107" s="513"/>
      <c r="I107" s="543"/>
      <c r="J107" s="513"/>
      <c r="K107" s="544"/>
      <c r="L107" s="543"/>
      <c r="M107" s="543"/>
      <c r="N107" s="543"/>
      <c r="O107" s="694"/>
      <c r="P107" s="513"/>
      <c r="Q107" s="543"/>
      <c r="R107" s="513"/>
      <c r="S107" s="543"/>
      <c r="T107" s="544"/>
      <c r="U107" s="542"/>
      <c r="V107" s="695"/>
      <c r="W107" s="625"/>
      <c r="X107" s="695"/>
      <c r="Y107" s="513"/>
      <c r="Z107" s="543"/>
      <c r="AA107" s="545"/>
      <c r="AB107" s="636"/>
      <c r="AC107" s="637"/>
      <c r="AD107" s="555"/>
      <c r="AE107" s="555"/>
      <c r="AF107" s="556"/>
      <c r="AG107" s="556"/>
      <c r="AH107" s="556"/>
      <c r="AI107" s="556"/>
      <c r="AJ107" s="556"/>
      <c r="AK107" s="556"/>
      <c r="AL107" s="556"/>
      <c r="AM107" s="556"/>
      <c r="AN107" s="556"/>
    </row>
    <row r="108" spans="1:40" x14ac:dyDescent="0.25">
      <c r="A108" s="35" t="s">
        <v>36</v>
      </c>
      <c r="B108" s="696"/>
      <c r="C108" s="634"/>
      <c r="D108" s="634"/>
      <c r="E108" s="634"/>
      <c r="F108" s="517"/>
      <c r="G108" s="517"/>
      <c r="H108" s="517"/>
      <c r="I108" s="517"/>
      <c r="J108" s="517"/>
      <c r="K108" s="518"/>
      <c r="L108" s="697"/>
      <c r="M108" s="517"/>
      <c r="N108" s="517"/>
      <c r="O108" s="698"/>
      <c r="P108" s="517"/>
      <c r="Q108" s="517"/>
      <c r="R108" s="517"/>
      <c r="S108" s="517"/>
      <c r="T108" s="518"/>
      <c r="U108" s="550"/>
      <c r="V108" s="699"/>
      <c r="W108" s="699"/>
      <c r="X108" s="699"/>
      <c r="Y108" s="548"/>
      <c r="Z108" s="548"/>
      <c r="AA108" s="512"/>
      <c r="AB108" s="639"/>
      <c r="AC108" s="640"/>
      <c r="AD108" s="555"/>
      <c r="AE108" s="555"/>
      <c r="AF108" s="556"/>
      <c r="AG108" s="556"/>
      <c r="AH108" s="556"/>
      <c r="AI108" s="556"/>
      <c r="AJ108" s="556"/>
      <c r="AK108" s="556"/>
      <c r="AL108" s="556"/>
      <c r="AM108" s="556"/>
      <c r="AN108" s="556"/>
    </row>
    <row r="109" spans="1:40" x14ac:dyDescent="0.25">
      <c r="A109" s="35" t="s">
        <v>37</v>
      </c>
      <c r="B109" s="696"/>
      <c r="C109" s="634"/>
      <c r="D109" s="634"/>
      <c r="E109" s="634"/>
      <c r="F109" s="517"/>
      <c r="G109" s="517"/>
      <c r="H109" s="517"/>
      <c r="I109" s="517"/>
      <c r="J109" s="517"/>
      <c r="K109" s="518"/>
      <c r="L109" s="697"/>
      <c r="M109" s="517"/>
      <c r="N109" s="517"/>
      <c r="O109" s="698"/>
      <c r="P109" s="517"/>
      <c r="Q109" s="517"/>
      <c r="R109" s="517"/>
      <c r="S109" s="517"/>
      <c r="T109" s="518"/>
      <c r="U109" s="551"/>
      <c r="V109" s="699"/>
      <c r="W109" s="699"/>
      <c r="X109" s="699"/>
      <c r="Y109" s="548"/>
      <c r="Z109" s="548"/>
      <c r="AA109" s="700"/>
      <c r="AB109" s="639"/>
      <c r="AC109" s="640"/>
      <c r="AD109" s="555"/>
      <c r="AE109" s="555"/>
      <c r="AF109" s="556"/>
      <c r="AG109" s="556"/>
      <c r="AH109" s="556"/>
      <c r="AI109" s="556"/>
      <c r="AJ109" s="556"/>
      <c r="AK109" s="556"/>
      <c r="AL109" s="556"/>
      <c r="AM109" s="556"/>
      <c r="AN109" s="556"/>
    </row>
    <row r="110" spans="1:40" x14ac:dyDescent="0.25">
      <c r="A110" s="35" t="s">
        <v>38</v>
      </c>
      <c r="B110" s="696"/>
      <c r="C110" s="634"/>
      <c r="D110" s="634"/>
      <c r="E110" s="634"/>
      <c r="F110" s="517"/>
      <c r="G110" s="517"/>
      <c r="H110" s="517"/>
      <c r="I110" s="517"/>
      <c r="J110" s="517"/>
      <c r="K110" s="518"/>
      <c r="L110" s="697"/>
      <c r="M110" s="517"/>
      <c r="N110" s="517"/>
      <c r="O110" s="698"/>
      <c r="P110" s="517"/>
      <c r="Q110" s="517"/>
      <c r="R110" s="517"/>
      <c r="S110" s="517"/>
      <c r="T110" s="518"/>
      <c r="U110" s="551"/>
      <c r="V110" s="699"/>
      <c r="W110" s="699"/>
      <c r="X110" s="699"/>
      <c r="Y110" s="548"/>
      <c r="Z110" s="548"/>
      <c r="AA110" s="700"/>
      <c r="AB110" s="639"/>
      <c r="AC110" s="640"/>
      <c r="AD110" s="555"/>
      <c r="AE110" s="555"/>
      <c r="AF110" s="556"/>
      <c r="AG110" s="556"/>
      <c r="AH110" s="556"/>
      <c r="AI110" s="556"/>
      <c r="AJ110" s="556"/>
      <c r="AK110" s="556"/>
      <c r="AL110" s="556"/>
      <c r="AM110" s="556"/>
      <c r="AN110" s="556"/>
    </row>
    <row r="111" spans="1:40" x14ac:dyDescent="0.25">
      <c r="A111" s="35" t="s">
        <v>39</v>
      </c>
      <c r="B111" s="696"/>
      <c r="C111" s="634"/>
      <c r="D111" s="634"/>
      <c r="E111" s="634"/>
      <c r="F111" s="517"/>
      <c r="G111" s="517"/>
      <c r="H111" s="517"/>
      <c r="I111" s="517"/>
      <c r="J111" s="517"/>
      <c r="K111" s="518"/>
      <c r="L111" s="697"/>
      <c r="M111" s="517"/>
      <c r="N111" s="517"/>
      <c r="O111" s="698"/>
      <c r="P111" s="517"/>
      <c r="Q111" s="517"/>
      <c r="R111" s="517"/>
      <c r="S111" s="517"/>
      <c r="T111" s="518"/>
      <c r="U111" s="551"/>
      <c r="V111" s="699"/>
      <c r="W111" s="699"/>
      <c r="X111" s="699"/>
      <c r="Y111" s="548"/>
      <c r="Z111" s="548"/>
      <c r="AA111" s="700"/>
      <c r="AB111" s="639"/>
      <c r="AC111" s="640"/>
      <c r="AD111" s="555"/>
      <c r="AE111" s="555"/>
      <c r="AF111" s="556"/>
      <c r="AG111" s="556"/>
      <c r="AH111" s="556"/>
      <c r="AI111" s="556"/>
      <c r="AJ111" s="556"/>
      <c r="AK111" s="556"/>
      <c r="AL111" s="556"/>
      <c r="AM111" s="556"/>
      <c r="AN111" s="556"/>
    </row>
    <row r="112" spans="1:40" x14ac:dyDescent="0.25">
      <c r="A112" s="35" t="s">
        <v>40</v>
      </c>
      <c r="B112" s="696"/>
      <c r="C112" s="634"/>
      <c r="D112" s="634"/>
      <c r="E112" s="634"/>
      <c r="F112" s="517"/>
      <c r="G112" s="517"/>
      <c r="H112" s="517"/>
      <c r="I112" s="517"/>
      <c r="J112" s="517"/>
      <c r="K112" s="518"/>
      <c r="L112" s="697"/>
      <c r="M112" s="517"/>
      <c r="N112" s="517"/>
      <c r="O112" s="698"/>
      <c r="P112" s="517"/>
      <c r="Q112" s="517"/>
      <c r="R112" s="517"/>
      <c r="S112" s="517"/>
      <c r="T112" s="518"/>
      <c r="U112" s="551"/>
      <c r="V112" s="699"/>
      <c r="W112" s="699"/>
      <c r="X112" s="699"/>
      <c r="Y112" s="548"/>
      <c r="Z112" s="548"/>
      <c r="AA112" s="700"/>
      <c r="AB112" s="639"/>
      <c r="AC112" s="640"/>
      <c r="AD112" s="555"/>
      <c r="AE112" s="555"/>
      <c r="AF112" s="556"/>
      <c r="AG112" s="556"/>
      <c r="AH112" s="556"/>
      <c r="AI112" s="556"/>
      <c r="AJ112" s="556"/>
      <c r="AK112" s="556"/>
      <c r="AL112" s="556"/>
      <c r="AM112" s="556"/>
      <c r="AN112" s="556"/>
    </row>
    <row r="113" spans="1:40" x14ac:dyDescent="0.25">
      <c r="A113" s="35" t="s">
        <v>41</v>
      </c>
      <c r="B113" s="696"/>
      <c r="C113" s="634"/>
      <c r="D113" s="634"/>
      <c r="E113" s="634"/>
      <c r="F113" s="517"/>
      <c r="G113" s="517"/>
      <c r="H113" s="517"/>
      <c r="I113" s="517"/>
      <c r="J113" s="517"/>
      <c r="K113" s="518"/>
      <c r="L113" s="697"/>
      <c r="M113" s="517"/>
      <c r="N113" s="517"/>
      <c r="O113" s="698"/>
      <c r="P113" s="517"/>
      <c r="Q113" s="517"/>
      <c r="R113" s="517"/>
      <c r="S113" s="517"/>
      <c r="T113" s="518"/>
      <c r="U113" s="518"/>
      <c r="V113" s="652"/>
      <c r="W113" s="652"/>
      <c r="X113" s="652"/>
      <c r="Y113" s="518"/>
      <c r="Z113" s="518"/>
      <c r="AA113" s="635"/>
      <c r="AB113" s="635"/>
      <c r="AC113" s="635"/>
      <c r="AD113" s="635"/>
      <c r="AE113" s="635"/>
      <c r="AF113" s="635"/>
      <c r="AG113" s="635"/>
      <c r="AH113" s="635"/>
      <c r="AI113" s="635"/>
      <c r="AJ113" s="635"/>
      <c r="AK113" s="635"/>
      <c r="AL113" s="635"/>
      <c r="AM113" s="635"/>
      <c r="AN113" s="635"/>
    </row>
    <row r="114" spans="1:40" x14ac:dyDescent="0.25">
      <c r="A114" s="701" t="s">
        <v>24</v>
      </c>
      <c r="B114" s="696"/>
      <c r="C114" s="634"/>
      <c r="D114" s="634"/>
      <c r="E114" s="634"/>
      <c r="F114" s="555"/>
      <c r="G114" s="555"/>
      <c r="H114" s="555"/>
      <c r="I114" s="555"/>
      <c r="J114" s="555"/>
      <c r="K114" s="556"/>
      <c r="L114" s="644"/>
      <c r="M114" s="555"/>
      <c r="N114" s="555"/>
      <c r="O114" s="702"/>
      <c r="P114" s="555"/>
      <c r="Q114" s="555"/>
      <c r="R114" s="555"/>
      <c r="S114" s="555"/>
      <c r="T114" s="556"/>
      <c r="U114" s="557"/>
      <c r="V114" s="699"/>
      <c r="W114" s="687"/>
      <c r="X114" s="699"/>
      <c r="Y114" s="541"/>
      <c r="Z114" s="554"/>
      <c r="AA114" s="688"/>
      <c r="AB114" s="636"/>
      <c r="AC114" s="637"/>
      <c r="AD114" s="555"/>
      <c r="AE114" s="555"/>
      <c r="AF114" s="556"/>
      <c r="AG114" s="556"/>
      <c r="AH114" s="556"/>
      <c r="AI114" s="556"/>
      <c r="AJ114" s="556"/>
      <c r="AK114" s="556"/>
      <c r="AL114" s="556"/>
      <c r="AM114" s="556"/>
      <c r="AN114" s="556"/>
    </row>
    <row r="115" spans="1:40" x14ac:dyDescent="0.25">
      <c r="A115" s="35" t="s">
        <v>36</v>
      </c>
      <c r="B115" s="696"/>
      <c r="C115" s="634"/>
      <c r="D115" s="634"/>
      <c r="E115" s="634"/>
      <c r="F115" s="562"/>
      <c r="G115" s="562"/>
      <c r="H115" s="562"/>
      <c r="I115" s="562"/>
      <c r="J115" s="562"/>
      <c r="K115" s="703"/>
      <c r="L115" s="704"/>
      <c r="M115" s="562"/>
      <c r="N115" s="562"/>
      <c r="O115" s="705"/>
      <c r="P115" s="562"/>
      <c r="Q115" s="562"/>
      <c r="R115" s="562"/>
      <c r="S115" s="562"/>
      <c r="T115" s="703"/>
      <c r="U115" s="563"/>
      <c r="V115" s="699"/>
      <c r="W115" s="699"/>
      <c r="X115" s="699"/>
      <c r="Y115" s="560"/>
      <c r="Z115" s="560"/>
      <c r="AA115" s="706"/>
      <c r="AB115" s="639"/>
      <c r="AC115" s="640"/>
      <c r="AD115" s="555"/>
      <c r="AE115" s="555"/>
      <c r="AF115" s="556"/>
      <c r="AG115" s="556"/>
      <c r="AH115" s="556"/>
      <c r="AI115" s="556"/>
      <c r="AJ115" s="556"/>
      <c r="AK115" s="556"/>
      <c r="AL115" s="556"/>
      <c r="AM115" s="556"/>
      <c r="AN115" s="556"/>
    </row>
    <row r="116" spans="1:40" x14ac:dyDescent="0.25">
      <c r="A116" s="35" t="s">
        <v>37</v>
      </c>
      <c r="B116" s="696"/>
      <c r="C116" s="634"/>
      <c r="D116" s="634"/>
      <c r="E116" s="634"/>
      <c r="F116" s="562"/>
      <c r="G116" s="562"/>
      <c r="H116" s="562"/>
      <c r="I116" s="562"/>
      <c r="J116" s="562"/>
      <c r="K116" s="703"/>
      <c r="L116" s="704"/>
      <c r="M116" s="562"/>
      <c r="N116" s="562"/>
      <c r="O116" s="705"/>
      <c r="P116" s="562"/>
      <c r="Q116" s="562"/>
      <c r="R116" s="562"/>
      <c r="S116" s="562"/>
      <c r="T116" s="703"/>
      <c r="U116" s="563"/>
      <c r="V116" s="699"/>
      <c r="W116" s="699"/>
      <c r="X116" s="699"/>
      <c r="Y116" s="560"/>
      <c r="Z116" s="560"/>
      <c r="AA116" s="706"/>
      <c r="AB116" s="639"/>
      <c r="AC116" s="640"/>
      <c r="AD116" s="555"/>
      <c r="AE116" s="555"/>
      <c r="AF116" s="556"/>
      <c r="AG116" s="556"/>
      <c r="AH116" s="556"/>
      <c r="AI116" s="556"/>
      <c r="AJ116" s="556"/>
      <c r="AK116" s="556"/>
      <c r="AL116" s="556"/>
      <c r="AM116" s="556"/>
      <c r="AN116" s="556"/>
    </row>
    <row r="117" spans="1:40" x14ac:dyDescent="0.25">
      <c r="A117" s="35" t="s">
        <v>38</v>
      </c>
      <c r="B117" s="696"/>
      <c r="C117" s="634"/>
      <c r="D117" s="634"/>
      <c r="E117" s="634"/>
      <c r="F117" s="562"/>
      <c r="G117" s="562"/>
      <c r="H117" s="562"/>
      <c r="I117" s="562"/>
      <c r="J117" s="634"/>
      <c r="K117" s="703"/>
      <c r="L117" s="704"/>
      <c r="M117" s="562"/>
      <c r="N117" s="562"/>
      <c r="O117" s="705"/>
      <c r="P117" s="562"/>
      <c r="Q117" s="562"/>
      <c r="R117" s="562"/>
      <c r="S117" s="562"/>
      <c r="T117" s="703"/>
      <c r="U117" s="563"/>
      <c r="V117" s="699"/>
      <c r="W117" s="699"/>
      <c r="X117" s="699"/>
      <c r="Y117" s="560"/>
      <c r="Z117" s="560"/>
      <c r="AA117" s="706"/>
      <c r="AB117" s="639"/>
      <c r="AC117" s="640"/>
      <c r="AD117" s="555"/>
      <c r="AE117" s="555"/>
      <c r="AF117" s="556"/>
      <c r="AG117" s="556"/>
      <c r="AH117" s="556"/>
      <c r="AI117" s="556"/>
      <c r="AJ117" s="556"/>
      <c r="AK117" s="556"/>
      <c r="AL117" s="556"/>
      <c r="AM117" s="556"/>
      <c r="AN117" s="556"/>
    </row>
    <row r="118" spans="1:40" x14ac:dyDescent="0.25">
      <c r="A118" s="35" t="s">
        <v>39</v>
      </c>
      <c r="B118" s="696"/>
      <c r="C118" s="634"/>
      <c r="D118" s="634"/>
      <c r="E118" s="634"/>
      <c r="F118" s="562"/>
      <c r="G118" s="562"/>
      <c r="H118" s="562"/>
      <c r="I118" s="562"/>
      <c r="J118" s="562"/>
      <c r="K118" s="703"/>
      <c r="L118" s="704"/>
      <c r="M118" s="562"/>
      <c r="N118" s="562"/>
      <c r="O118" s="705"/>
      <c r="P118" s="562"/>
      <c r="Q118" s="562"/>
      <c r="R118" s="562"/>
      <c r="S118" s="562"/>
      <c r="T118" s="703"/>
      <c r="U118" s="563"/>
      <c r="V118" s="699"/>
      <c r="W118" s="699"/>
      <c r="X118" s="699"/>
      <c r="Y118" s="560"/>
      <c r="Z118" s="560"/>
      <c r="AA118" s="706"/>
      <c r="AB118" s="639"/>
      <c r="AC118" s="640"/>
      <c r="AD118" s="555"/>
      <c r="AE118" s="555"/>
      <c r="AF118" s="556"/>
      <c r="AG118" s="556"/>
      <c r="AH118" s="556"/>
      <c r="AI118" s="556"/>
      <c r="AJ118" s="556"/>
      <c r="AK118" s="556"/>
      <c r="AL118" s="556"/>
      <c r="AM118" s="556"/>
      <c r="AN118" s="556"/>
    </row>
    <row r="119" spans="1:40" x14ac:dyDescent="0.25">
      <c r="A119" s="35" t="s">
        <v>40</v>
      </c>
      <c r="B119" s="696"/>
      <c r="C119" s="634"/>
      <c r="D119" s="634"/>
      <c r="E119" s="634"/>
      <c r="F119" s="562"/>
      <c r="G119" s="562"/>
      <c r="H119" s="562"/>
      <c r="I119" s="562"/>
      <c r="J119" s="562"/>
      <c r="K119" s="703"/>
      <c r="L119" s="707"/>
      <c r="M119" s="565"/>
      <c r="N119" s="565"/>
      <c r="O119" s="708"/>
      <c r="P119" s="565"/>
      <c r="Q119" s="565"/>
      <c r="R119" s="565"/>
      <c r="S119" s="565"/>
      <c r="T119" s="709"/>
      <c r="U119" s="563"/>
      <c r="V119" s="699"/>
      <c r="W119" s="699"/>
      <c r="X119" s="699"/>
      <c r="Y119" s="560"/>
      <c r="Z119" s="560"/>
      <c r="AA119" s="706"/>
      <c r="AB119" s="639"/>
      <c r="AC119" s="640"/>
      <c r="AD119" s="555"/>
      <c r="AE119" s="555"/>
      <c r="AF119" s="556"/>
      <c r="AG119" s="556"/>
      <c r="AH119" s="556"/>
      <c r="AI119" s="556"/>
      <c r="AJ119" s="556"/>
      <c r="AK119" s="556"/>
      <c r="AL119" s="556"/>
      <c r="AM119" s="556"/>
      <c r="AN119" s="556"/>
    </row>
    <row r="120" spans="1:40" ht="15.75" thickBot="1" x14ac:dyDescent="0.3">
      <c r="A120" s="36" t="s">
        <v>41</v>
      </c>
      <c r="B120" s="710"/>
      <c r="C120" s="711"/>
      <c r="D120" s="711"/>
      <c r="E120" s="711"/>
      <c r="F120" s="569"/>
      <c r="G120" s="569"/>
      <c r="H120" s="569"/>
      <c r="I120" s="569"/>
      <c r="J120" s="569"/>
      <c r="K120" s="572"/>
      <c r="L120" s="569"/>
      <c r="M120" s="571"/>
      <c r="N120" s="569"/>
      <c r="O120" s="712"/>
      <c r="P120" s="569"/>
      <c r="Q120" s="569"/>
      <c r="R120" s="569"/>
      <c r="S120" s="569"/>
      <c r="T120" s="572"/>
      <c r="U120" s="572"/>
      <c r="V120" s="713"/>
      <c r="W120" s="713"/>
      <c r="X120" s="713"/>
      <c r="Y120" s="572"/>
      <c r="Z120" s="714"/>
      <c r="AA120" s="715"/>
      <c r="AB120" s="715"/>
      <c r="AC120" s="715"/>
      <c r="AD120" s="715"/>
      <c r="AE120" s="715"/>
      <c r="AF120" s="715"/>
      <c r="AG120" s="715"/>
      <c r="AH120" s="715"/>
      <c r="AI120" s="715"/>
      <c r="AJ120" s="715"/>
      <c r="AK120" s="715"/>
      <c r="AL120" s="715"/>
      <c r="AM120" s="715"/>
      <c r="AN120" s="715"/>
    </row>
    <row r="121" spans="1:40" ht="15.75" thickTop="1" x14ac:dyDescent="0.25">
      <c r="A121" s="553" t="s">
        <v>46</v>
      </c>
      <c r="B121" s="554"/>
      <c r="C121" s="547"/>
      <c r="D121" s="541"/>
      <c r="E121" s="541"/>
      <c r="F121" s="541"/>
      <c r="G121" s="554"/>
      <c r="H121" s="541"/>
      <c r="I121" s="554"/>
      <c r="J121" s="541"/>
      <c r="K121" s="716"/>
      <c r="L121" s="554"/>
      <c r="M121" s="554"/>
      <c r="N121" s="554"/>
      <c r="O121" s="717"/>
      <c r="P121" s="541"/>
      <c r="Q121" s="554"/>
      <c r="R121" s="541"/>
      <c r="S121" s="554"/>
      <c r="T121" s="716"/>
      <c r="U121" s="557"/>
      <c r="V121" s="699"/>
      <c r="W121" s="687"/>
      <c r="X121" s="699"/>
      <c r="Y121" s="541"/>
      <c r="Z121" s="554"/>
      <c r="AA121" s="688"/>
      <c r="AB121" s="647"/>
      <c r="AC121" s="648"/>
      <c r="AD121" s="513"/>
      <c r="AE121" s="513"/>
      <c r="AF121" s="514"/>
      <c r="AG121" s="514"/>
      <c r="AH121" s="514"/>
      <c r="AI121" s="514"/>
      <c r="AJ121" s="514"/>
      <c r="AK121" s="514"/>
      <c r="AL121" s="514"/>
      <c r="AM121" s="514"/>
      <c r="AN121" s="514"/>
    </row>
    <row r="122" spans="1:40" x14ac:dyDescent="0.25">
      <c r="A122" s="35" t="s">
        <v>36</v>
      </c>
      <c r="B122" s="704"/>
      <c r="C122" s="517"/>
      <c r="D122" s="562"/>
      <c r="E122" s="562"/>
      <c r="F122" s="562"/>
      <c r="G122" s="562"/>
      <c r="H122" s="562"/>
      <c r="I122" s="562"/>
      <c r="J122" s="562"/>
      <c r="K122" s="703"/>
      <c r="L122" s="718"/>
      <c r="M122" s="566"/>
      <c r="N122" s="566"/>
      <c r="O122" s="719"/>
      <c r="P122" s="566"/>
      <c r="Q122" s="566"/>
      <c r="R122" s="566"/>
      <c r="S122" s="566"/>
      <c r="T122" s="720"/>
      <c r="U122" s="563"/>
      <c r="V122" s="699"/>
      <c r="W122" s="699"/>
      <c r="X122" s="699"/>
      <c r="Y122" s="560"/>
      <c r="Z122" s="560"/>
      <c r="AA122" s="706"/>
      <c r="AB122" s="639"/>
      <c r="AC122" s="640"/>
      <c r="AD122" s="555"/>
      <c r="AE122" s="555"/>
      <c r="AF122" s="556"/>
      <c r="AG122" s="556"/>
      <c r="AH122" s="556"/>
      <c r="AI122" s="556"/>
      <c r="AJ122" s="556"/>
      <c r="AK122" s="556"/>
      <c r="AL122" s="556"/>
      <c r="AM122" s="556"/>
      <c r="AN122" s="556"/>
    </row>
    <row r="123" spans="1:40" x14ac:dyDescent="0.25">
      <c r="A123" s="35" t="s">
        <v>37</v>
      </c>
      <c r="B123" s="704"/>
      <c r="C123" s="517"/>
      <c r="D123" s="562"/>
      <c r="E123" s="562"/>
      <c r="F123" s="562"/>
      <c r="G123" s="562"/>
      <c r="H123" s="562"/>
      <c r="I123" s="562"/>
      <c r="J123" s="562"/>
      <c r="K123" s="703"/>
      <c r="L123" s="704"/>
      <c r="M123" s="562"/>
      <c r="N123" s="562"/>
      <c r="O123" s="705"/>
      <c r="P123" s="562"/>
      <c r="Q123" s="562"/>
      <c r="R123" s="562"/>
      <c r="S123" s="562"/>
      <c r="T123" s="703"/>
      <c r="U123" s="563"/>
      <c r="V123" s="699"/>
      <c r="W123" s="699"/>
      <c r="X123" s="699"/>
      <c r="Y123" s="560"/>
      <c r="Z123" s="560"/>
      <c r="AA123" s="706"/>
      <c r="AB123" s="639"/>
      <c r="AC123" s="640"/>
      <c r="AD123" s="555"/>
      <c r="AE123" s="555"/>
      <c r="AF123" s="556"/>
      <c r="AG123" s="556"/>
      <c r="AH123" s="556"/>
      <c r="AI123" s="556"/>
      <c r="AJ123" s="556"/>
      <c r="AK123" s="556"/>
      <c r="AL123" s="556"/>
      <c r="AM123" s="556"/>
      <c r="AN123" s="556"/>
    </row>
    <row r="124" spans="1:40" x14ac:dyDescent="0.25">
      <c r="A124" s="35" t="s">
        <v>38</v>
      </c>
      <c r="B124" s="704"/>
      <c r="C124" s="517"/>
      <c r="D124" s="562"/>
      <c r="E124" s="562"/>
      <c r="F124" s="562"/>
      <c r="G124" s="562"/>
      <c r="H124" s="562"/>
      <c r="I124" s="562"/>
      <c r="J124" s="562"/>
      <c r="K124" s="703"/>
      <c r="L124" s="704"/>
      <c r="M124" s="562"/>
      <c r="N124" s="562"/>
      <c r="O124" s="705"/>
      <c r="P124" s="562"/>
      <c r="Q124" s="562"/>
      <c r="R124" s="562"/>
      <c r="S124" s="562"/>
      <c r="T124" s="703"/>
      <c r="U124" s="563"/>
      <c r="V124" s="699"/>
      <c r="W124" s="699"/>
      <c r="X124" s="699"/>
      <c r="Y124" s="560"/>
      <c r="Z124" s="560"/>
      <c r="AA124" s="706"/>
      <c r="AB124" s="639"/>
      <c r="AC124" s="640"/>
      <c r="AD124" s="555"/>
      <c r="AE124" s="555"/>
      <c r="AF124" s="556"/>
      <c r="AG124" s="556"/>
      <c r="AH124" s="556"/>
      <c r="AI124" s="556"/>
      <c r="AJ124" s="556"/>
      <c r="AK124" s="556"/>
      <c r="AL124" s="556"/>
      <c r="AM124" s="556"/>
      <c r="AN124" s="556"/>
    </row>
    <row r="125" spans="1:40" x14ac:dyDescent="0.25">
      <c r="A125" s="35" t="s">
        <v>39</v>
      </c>
      <c r="B125" s="704"/>
      <c r="C125" s="517"/>
      <c r="D125" s="562"/>
      <c r="E125" s="562"/>
      <c r="F125" s="562"/>
      <c r="G125" s="562"/>
      <c r="H125" s="562"/>
      <c r="I125" s="562"/>
      <c r="J125" s="562"/>
      <c r="K125" s="703"/>
      <c r="L125" s="704"/>
      <c r="M125" s="562"/>
      <c r="N125" s="562"/>
      <c r="O125" s="705"/>
      <c r="P125" s="562"/>
      <c r="Q125" s="562"/>
      <c r="R125" s="562"/>
      <c r="S125" s="562"/>
      <c r="T125" s="703"/>
      <c r="U125" s="563"/>
      <c r="V125" s="699"/>
      <c r="W125" s="699"/>
      <c r="X125" s="699"/>
      <c r="Y125" s="560"/>
      <c r="Z125" s="560"/>
      <c r="AA125" s="706"/>
      <c r="AB125" s="639"/>
      <c r="AC125" s="640"/>
      <c r="AD125" s="555"/>
      <c r="AE125" s="555"/>
      <c r="AF125" s="556"/>
      <c r="AG125" s="556"/>
      <c r="AH125" s="556"/>
      <c r="AI125" s="556"/>
      <c r="AJ125" s="556"/>
      <c r="AK125" s="556"/>
      <c r="AL125" s="556"/>
      <c r="AM125" s="556"/>
      <c r="AN125" s="556"/>
    </row>
    <row r="126" spans="1:40" x14ac:dyDescent="0.25">
      <c r="A126" s="35" t="s">
        <v>40</v>
      </c>
      <c r="B126" s="704"/>
      <c r="C126" s="517"/>
      <c r="D126" s="562"/>
      <c r="E126" s="562"/>
      <c r="F126" s="562"/>
      <c r="G126" s="562"/>
      <c r="H126" s="562"/>
      <c r="I126" s="562"/>
      <c r="J126" s="562"/>
      <c r="K126" s="703"/>
      <c r="L126" s="707"/>
      <c r="M126" s="565"/>
      <c r="N126" s="565"/>
      <c r="O126" s="708"/>
      <c r="P126" s="565"/>
      <c r="Q126" s="565"/>
      <c r="R126" s="565"/>
      <c r="S126" s="565"/>
      <c r="T126" s="709"/>
      <c r="U126" s="563"/>
      <c r="V126" s="699"/>
      <c r="W126" s="699"/>
      <c r="X126" s="699"/>
      <c r="Y126" s="560"/>
      <c r="Z126" s="560"/>
      <c r="AA126" s="706"/>
      <c r="AB126" s="639"/>
      <c r="AC126" s="640"/>
      <c r="AD126" s="555"/>
      <c r="AE126" s="555"/>
      <c r="AF126" s="556"/>
      <c r="AG126" s="556"/>
      <c r="AH126" s="556"/>
      <c r="AI126" s="556"/>
      <c r="AJ126" s="556"/>
      <c r="AK126" s="556"/>
      <c r="AL126" s="556"/>
      <c r="AM126" s="556"/>
      <c r="AN126" s="556"/>
    </row>
    <row r="127" spans="1:40" ht="15.75" thickBot="1" x14ac:dyDescent="0.3">
      <c r="A127" s="36" t="s">
        <v>41</v>
      </c>
      <c r="B127" s="568"/>
      <c r="C127" s="721"/>
      <c r="D127" s="569"/>
      <c r="E127" s="569"/>
      <c r="F127" s="569"/>
      <c r="G127" s="569"/>
      <c r="H127" s="569"/>
      <c r="I127" s="569"/>
      <c r="J127" s="569"/>
      <c r="K127" s="570"/>
      <c r="L127" s="569"/>
      <c r="M127" s="571"/>
      <c r="N127" s="569"/>
      <c r="O127" s="712"/>
      <c r="P127" s="569"/>
      <c r="Q127" s="569"/>
      <c r="R127" s="569"/>
      <c r="S127" s="569"/>
      <c r="T127" s="572"/>
      <c r="U127" s="572"/>
      <c r="V127" s="713"/>
      <c r="W127" s="713"/>
      <c r="X127" s="713"/>
      <c r="Y127" s="572"/>
      <c r="Z127" s="714"/>
      <c r="AA127" s="715"/>
      <c r="AB127" s="715"/>
      <c r="AC127" s="715"/>
      <c r="AD127" s="715"/>
      <c r="AE127" s="715"/>
      <c r="AF127" s="715"/>
      <c r="AG127" s="715"/>
      <c r="AH127" s="715"/>
      <c r="AI127" s="715"/>
      <c r="AJ127" s="715"/>
      <c r="AK127" s="715"/>
      <c r="AL127" s="715"/>
      <c r="AM127" s="715"/>
      <c r="AN127" s="715"/>
    </row>
    <row r="128" spans="1:40" ht="15.75" thickTop="1" x14ac:dyDescent="0.25">
      <c r="A128" s="553" t="s">
        <v>47</v>
      </c>
      <c r="B128" s="722"/>
      <c r="C128" s="547"/>
      <c r="D128" s="541"/>
      <c r="E128" s="541"/>
      <c r="F128" s="541"/>
      <c r="G128" s="554"/>
      <c r="H128" s="541"/>
      <c r="I128" s="554"/>
      <c r="J128" s="541"/>
      <c r="K128" s="716"/>
      <c r="L128" s="554"/>
      <c r="M128" s="554"/>
      <c r="N128" s="554"/>
      <c r="O128" s="717"/>
      <c r="P128" s="541"/>
      <c r="Q128" s="554"/>
      <c r="R128" s="541"/>
      <c r="S128" s="554"/>
      <c r="T128" s="716"/>
      <c r="U128" s="723"/>
      <c r="V128" s="699"/>
      <c r="W128" s="687"/>
      <c r="X128" s="699"/>
      <c r="Y128" s="541"/>
      <c r="Z128" s="554"/>
      <c r="AA128" s="688"/>
      <c r="AB128" s="724"/>
      <c r="AC128" s="725"/>
      <c r="AD128" s="513"/>
      <c r="AE128" s="513"/>
      <c r="AF128" s="514"/>
      <c r="AG128" s="514"/>
      <c r="AH128" s="514"/>
      <c r="AI128" s="514"/>
      <c r="AJ128" s="514"/>
      <c r="AK128" s="514"/>
      <c r="AL128" s="514"/>
      <c r="AM128" s="514"/>
      <c r="AN128" s="514"/>
    </row>
    <row r="129" spans="1:40" x14ac:dyDescent="0.25">
      <c r="A129" s="35" t="s">
        <v>36</v>
      </c>
      <c r="B129" s="704"/>
      <c r="C129" s="517"/>
      <c r="D129" s="562"/>
      <c r="E129" s="562"/>
      <c r="F129" s="562"/>
      <c r="G129" s="562"/>
      <c r="H129" s="562"/>
      <c r="I129" s="562"/>
      <c r="J129" s="562"/>
      <c r="K129" s="720"/>
      <c r="L129" s="718"/>
      <c r="M129" s="566"/>
      <c r="N129" s="566"/>
      <c r="O129" s="719"/>
      <c r="P129" s="566"/>
      <c r="Q129" s="566"/>
      <c r="R129" s="566"/>
      <c r="S129" s="566"/>
      <c r="T129" s="720"/>
      <c r="U129" s="704"/>
      <c r="V129" s="634"/>
      <c r="W129" s="634"/>
      <c r="X129" s="634"/>
      <c r="Y129" s="562"/>
      <c r="Z129" s="562"/>
      <c r="AA129" s="726"/>
      <c r="AB129" s="727"/>
      <c r="AC129" s="728"/>
      <c r="AD129" s="555"/>
      <c r="AE129" s="555"/>
      <c r="AF129" s="556"/>
      <c r="AG129" s="556"/>
      <c r="AH129" s="556"/>
      <c r="AI129" s="556"/>
      <c r="AJ129" s="556"/>
      <c r="AK129" s="556"/>
      <c r="AL129" s="556"/>
      <c r="AM129" s="556"/>
      <c r="AN129" s="556"/>
    </row>
    <row r="130" spans="1:40" x14ac:dyDescent="0.25">
      <c r="A130" s="35" t="s">
        <v>37</v>
      </c>
      <c r="B130" s="704"/>
      <c r="C130" s="517"/>
      <c r="D130" s="562"/>
      <c r="E130" s="562"/>
      <c r="F130" s="562"/>
      <c r="G130" s="562"/>
      <c r="H130" s="562"/>
      <c r="I130" s="562"/>
      <c r="J130" s="562"/>
      <c r="K130" s="703"/>
      <c r="L130" s="704"/>
      <c r="M130" s="562"/>
      <c r="N130" s="562"/>
      <c r="O130" s="705"/>
      <c r="P130" s="562"/>
      <c r="Q130" s="562"/>
      <c r="R130" s="562"/>
      <c r="S130" s="562"/>
      <c r="T130" s="703"/>
      <c r="U130" s="704"/>
      <c r="V130" s="634"/>
      <c r="W130" s="634"/>
      <c r="X130" s="634"/>
      <c r="Y130" s="562"/>
      <c r="Z130" s="562"/>
      <c r="AA130" s="726"/>
      <c r="AB130" s="727"/>
      <c r="AC130" s="728"/>
      <c r="AD130" s="555"/>
      <c r="AE130" s="555"/>
      <c r="AF130" s="556"/>
      <c r="AG130" s="556"/>
      <c r="AH130" s="556"/>
      <c r="AI130" s="556"/>
      <c r="AJ130" s="556"/>
      <c r="AK130" s="556"/>
      <c r="AL130" s="556"/>
      <c r="AM130" s="556"/>
      <c r="AN130" s="556"/>
    </row>
    <row r="131" spans="1:40" x14ac:dyDescent="0.25">
      <c r="A131" s="35" t="s">
        <v>38</v>
      </c>
      <c r="B131" s="704"/>
      <c r="C131" s="517"/>
      <c r="D131" s="562"/>
      <c r="E131" s="562"/>
      <c r="F131" s="562"/>
      <c r="G131" s="562"/>
      <c r="H131" s="562"/>
      <c r="I131" s="562"/>
      <c r="J131" s="562"/>
      <c r="K131" s="703"/>
      <c r="L131" s="704"/>
      <c r="M131" s="562"/>
      <c r="N131" s="562"/>
      <c r="O131" s="705"/>
      <c r="P131" s="562"/>
      <c r="Q131" s="562"/>
      <c r="R131" s="562"/>
      <c r="S131" s="562"/>
      <c r="T131" s="703"/>
      <c r="U131" s="704"/>
      <c r="V131" s="634"/>
      <c r="W131" s="634"/>
      <c r="X131" s="634"/>
      <c r="Y131" s="562"/>
      <c r="Z131" s="562"/>
      <c r="AA131" s="726"/>
      <c r="AB131" s="727"/>
      <c r="AC131" s="728"/>
      <c r="AD131" s="555"/>
      <c r="AE131" s="555"/>
      <c r="AF131" s="556"/>
      <c r="AG131" s="556"/>
      <c r="AH131" s="556"/>
      <c r="AI131" s="556"/>
      <c r="AJ131" s="556"/>
      <c r="AK131" s="556"/>
      <c r="AL131" s="556"/>
      <c r="AM131" s="556"/>
      <c r="AN131" s="556"/>
    </row>
    <row r="132" spans="1:40" x14ac:dyDescent="0.25">
      <c r="A132" s="35" t="s">
        <v>39</v>
      </c>
      <c r="B132" s="704"/>
      <c r="C132" s="517"/>
      <c r="D132" s="562"/>
      <c r="E132" s="562"/>
      <c r="F132" s="562"/>
      <c r="G132" s="562"/>
      <c r="H132" s="562"/>
      <c r="I132" s="562"/>
      <c r="J132" s="562"/>
      <c r="K132" s="703"/>
      <c r="L132" s="704"/>
      <c r="M132" s="562"/>
      <c r="N132" s="562"/>
      <c r="O132" s="705"/>
      <c r="P132" s="562"/>
      <c r="Q132" s="562"/>
      <c r="R132" s="562"/>
      <c r="S132" s="562"/>
      <c r="T132" s="703"/>
      <c r="U132" s="704"/>
      <c r="V132" s="634"/>
      <c r="W132" s="634"/>
      <c r="X132" s="634"/>
      <c r="Y132" s="562"/>
      <c r="Z132" s="562"/>
      <c r="AA132" s="726"/>
      <c r="AB132" s="727"/>
      <c r="AC132" s="728"/>
      <c r="AD132" s="555"/>
      <c r="AE132" s="555"/>
      <c r="AF132" s="556"/>
      <c r="AG132" s="556"/>
      <c r="AH132" s="556"/>
      <c r="AI132" s="556"/>
      <c r="AJ132" s="556"/>
      <c r="AK132" s="556"/>
      <c r="AL132" s="556"/>
      <c r="AM132" s="556"/>
      <c r="AN132" s="556"/>
    </row>
    <row r="133" spans="1:40" x14ac:dyDescent="0.25">
      <c r="A133" s="35" t="s">
        <v>40</v>
      </c>
      <c r="B133" s="707"/>
      <c r="C133" s="517"/>
      <c r="D133" s="562"/>
      <c r="E133" s="562"/>
      <c r="F133" s="562"/>
      <c r="G133" s="562"/>
      <c r="H133" s="562"/>
      <c r="I133" s="562"/>
      <c r="J133" s="562"/>
      <c r="K133" s="709"/>
      <c r="L133" s="707"/>
      <c r="M133" s="565"/>
      <c r="N133" s="565"/>
      <c r="O133" s="708"/>
      <c r="P133" s="565"/>
      <c r="Q133" s="565"/>
      <c r="R133" s="565"/>
      <c r="S133" s="565"/>
      <c r="T133" s="709"/>
      <c r="U133" s="707"/>
      <c r="V133" s="680"/>
      <c r="W133" s="680"/>
      <c r="X133" s="680"/>
      <c r="Y133" s="565"/>
      <c r="Z133" s="565"/>
      <c r="AA133" s="729"/>
      <c r="AB133" s="730"/>
      <c r="AC133" s="728"/>
      <c r="AD133" s="555"/>
      <c r="AE133" s="555"/>
      <c r="AF133" s="556"/>
      <c r="AG133" s="556"/>
      <c r="AH133" s="556"/>
      <c r="AI133" s="556"/>
      <c r="AJ133" s="556"/>
      <c r="AK133" s="556"/>
      <c r="AL133" s="556"/>
      <c r="AM133" s="556"/>
      <c r="AN133" s="556"/>
    </row>
    <row r="134" spans="1:40" ht="15.75" thickBot="1" x14ac:dyDescent="0.3">
      <c r="A134" s="36" t="s">
        <v>41</v>
      </c>
      <c r="B134" s="731"/>
      <c r="C134" s="732"/>
      <c r="D134" s="571"/>
      <c r="E134" s="571"/>
      <c r="F134" s="571"/>
      <c r="G134" s="571"/>
      <c r="H134" s="571"/>
      <c r="I134" s="571"/>
      <c r="J134" s="571"/>
      <c r="K134" s="733"/>
      <c r="L134" s="569"/>
      <c r="M134" s="571"/>
      <c r="N134" s="569"/>
      <c r="O134" s="712"/>
      <c r="P134" s="569"/>
      <c r="Q134" s="569"/>
      <c r="R134" s="569"/>
      <c r="S134" s="569"/>
      <c r="T134" s="572"/>
      <c r="U134" s="734"/>
      <c r="V134" s="711"/>
      <c r="W134" s="711"/>
      <c r="X134" s="711"/>
      <c r="Y134" s="569"/>
      <c r="Z134" s="569"/>
      <c r="AA134" s="735"/>
      <c r="AB134" s="736"/>
      <c r="AC134" s="736"/>
      <c r="AD134" s="736"/>
      <c r="AE134" s="737"/>
      <c r="AF134" s="737"/>
      <c r="AG134" s="737"/>
      <c r="AH134" s="737"/>
      <c r="AI134" s="737"/>
      <c r="AJ134" s="737"/>
      <c r="AK134" s="737"/>
      <c r="AL134" s="737"/>
      <c r="AM134" s="737"/>
      <c r="AN134" s="737"/>
    </row>
    <row r="135" spans="1:40" ht="15.75" thickTop="1" x14ac:dyDescent="0.25"/>
    <row r="136" spans="1:40" x14ac:dyDescent="0.25">
      <c r="A136" s="1" t="s">
        <v>27</v>
      </c>
    </row>
    <row r="137" spans="1:40" x14ac:dyDescent="0.25">
      <c r="A137" s="18" t="s">
        <v>28</v>
      </c>
    </row>
    <row r="140" spans="1:40" x14ac:dyDescent="0.25">
      <c r="A140" s="577" t="s">
        <v>26</v>
      </c>
    </row>
    <row r="141" spans="1:40" ht="97.5" customHeight="1" x14ac:dyDescent="0.25">
      <c r="A141" s="578"/>
      <c r="B141" s="906"/>
      <c r="C141" s="906"/>
      <c r="D141" s="906"/>
      <c r="E141" s="906"/>
      <c r="F141" s="906"/>
      <c r="G141" s="906"/>
      <c r="H141" s="906"/>
      <c r="I141" s="906"/>
      <c r="J141" s="906"/>
      <c r="K141" s="906"/>
    </row>
    <row r="142" spans="1:40" ht="52.5" customHeight="1" x14ac:dyDescent="0.25">
      <c r="A142" s="578"/>
      <c r="B142" s="902"/>
      <c r="C142" s="902"/>
      <c r="D142" s="902"/>
      <c r="E142" s="902"/>
      <c r="F142" s="902"/>
      <c r="G142" s="902"/>
      <c r="H142" s="902"/>
      <c r="I142" s="902"/>
      <c r="J142" s="902"/>
      <c r="K142" s="902"/>
    </row>
    <row r="143" spans="1:40" ht="36.75" customHeight="1" x14ac:dyDescent="0.25">
      <c r="A143" s="578"/>
      <c r="B143" s="906"/>
      <c r="C143" s="906"/>
      <c r="D143" s="906"/>
      <c r="E143" s="906"/>
      <c r="F143" s="906"/>
      <c r="G143" s="906"/>
      <c r="H143" s="906"/>
      <c r="I143" s="906"/>
      <c r="J143" s="906"/>
      <c r="K143" s="906"/>
    </row>
    <row r="144" spans="1:40" ht="54" customHeight="1" x14ac:dyDescent="0.25">
      <c r="A144" s="578"/>
      <c r="B144" s="906"/>
      <c r="C144" s="906"/>
      <c r="D144" s="906"/>
      <c r="E144" s="906"/>
      <c r="F144" s="906"/>
      <c r="G144" s="906"/>
      <c r="H144" s="906"/>
      <c r="I144" s="906"/>
      <c r="J144" s="906"/>
      <c r="K144" s="906"/>
    </row>
  </sheetData>
  <mergeCells count="8">
    <mergeCell ref="B143:K143"/>
    <mergeCell ref="B144:K144"/>
    <mergeCell ref="A1:V1"/>
    <mergeCell ref="B2:H2"/>
    <mergeCell ref="B3:H3"/>
    <mergeCell ref="B4:H4"/>
    <mergeCell ref="B141:K141"/>
    <mergeCell ref="B142:K14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90" zoomScaleNormal="90" workbookViewId="0">
      <pane xSplit="1" ySplit="8" topLeftCell="AQ9" activePane="bottomRight" state="frozen"/>
      <selection pane="topRight" activeCell="B1" sqref="B1"/>
      <selection pane="bottomLeft" activeCell="A9" sqref="A9"/>
      <selection pane="bottomRight" activeCell="AQ107" sqref="AQ107"/>
    </sheetView>
  </sheetViews>
  <sheetFormatPr defaultColWidth="9.140625" defaultRowHeight="15" x14ac:dyDescent="0.25"/>
  <cols>
    <col min="1" max="1" width="63.28515625" customWidth="1"/>
    <col min="2" max="2" width="12.7109375" bestFit="1" customWidth="1"/>
    <col min="3" max="3" width="11.85546875" bestFit="1" customWidth="1"/>
    <col min="4" max="11" width="10.85546875" bestFit="1" customWidth="1"/>
    <col min="12" max="14" width="11.85546875" bestFit="1" customWidth="1"/>
    <col min="15" max="20" width="10.85546875" bestFit="1" customWidth="1"/>
    <col min="21" max="33" width="10.85546875" customWidth="1"/>
    <col min="34" max="34" width="11.85546875" bestFit="1" customWidth="1"/>
    <col min="35" max="35" width="12" bestFit="1" customWidth="1"/>
    <col min="36" max="36" width="14.7109375" hidden="1" customWidth="1"/>
    <col min="37" max="37" width="18.7109375" hidden="1" customWidth="1"/>
    <col min="38" max="42" width="14.7109375" hidden="1" customWidth="1"/>
    <col min="43" max="47" width="14.7109375" customWidth="1"/>
    <col min="55" max="57" width="11.5703125" bestFit="1" customWidth="1"/>
    <col min="58" max="59" width="10.85546875" style="500" bestFit="1" customWidth="1"/>
    <col min="60" max="60" width="12.140625" style="500" bestFit="1" customWidth="1"/>
    <col min="61" max="62" width="11.5703125" customWidth="1"/>
    <col min="63" max="63" width="12.5703125" customWidth="1"/>
    <col min="64" max="64" width="15" customWidth="1"/>
    <col min="66" max="66" width="14.5703125" customWidth="1"/>
    <col min="67" max="67" width="13.5703125" style="756" customWidth="1"/>
    <col min="68" max="68" width="11.140625" bestFit="1" customWidth="1"/>
    <col min="69" max="69" width="12.140625" bestFit="1" customWidth="1"/>
  </cols>
  <sheetData>
    <row r="1" spans="1:71" ht="16.5" thickTop="1" thickBot="1" x14ac:dyDescent="0.3">
      <c r="A1" s="487" t="s">
        <v>19</v>
      </c>
      <c r="B1" s="488"/>
      <c r="C1" s="488"/>
      <c r="D1" s="488"/>
      <c r="E1" s="488"/>
      <c r="F1" s="488"/>
      <c r="G1" s="488"/>
      <c r="H1" s="488"/>
      <c r="I1" s="488"/>
      <c r="J1" s="488"/>
      <c r="K1" s="488"/>
      <c r="L1" s="488"/>
      <c r="M1" s="488"/>
      <c r="N1" s="488"/>
      <c r="O1" s="488"/>
      <c r="P1" s="488"/>
      <c r="Q1" s="488"/>
      <c r="R1" s="488"/>
      <c r="S1" s="488"/>
      <c r="T1" s="488"/>
      <c r="U1" s="488"/>
      <c r="V1" s="488"/>
      <c r="W1" s="488"/>
      <c r="X1" s="764"/>
      <c r="Y1" s="764"/>
      <c r="Z1" s="764"/>
      <c r="AA1" s="764"/>
      <c r="AB1" s="764"/>
      <c r="AC1" s="764"/>
      <c r="AD1" s="764"/>
      <c r="AE1" s="764"/>
      <c r="AF1" s="764"/>
      <c r="AG1" s="764"/>
      <c r="AH1" s="764"/>
      <c r="AI1" s="764"/>
      <c r="AJ1" s="810"/>
      <c r="AK1" s="810"/>
      <c r="AL1" s="810"/>
      <c r="AM1" s="810"/>
      <c r="AN1" s="810"/>
      <c r="AO1" s="810"/>
      <c r="AP1" s="810"/>
      <c r="AQ1" s="810"/>
      <c r="AR1" s="810"/>
      <c r="AS1" s="810"/>
      <c r="AT1" s="810"/>
      <c r="AU1" s="810"/>
      <c r="AV1" s="488"/>
      <c r="AW1" s="488"/>
      <c r="AX1" s="497"/>
      <c r="AY1" s="497"/>
      <c r="AZ1" s="497"/>
      <c r="BA1" s="497"/>
      <c r="BB1" s="498"/>
      <c r="BC1" s="499"/>
      <c r="BD1" s="499"/>
      <c r="BE1" s="499"/>
    </row>
    <row r="2" spans="1:71" ht="27.6" customHeight="1" thickTop="1" thickBot="1" x14ac:dyDescent="0.3">
      <c r="A2" s="5" t="s">
        <v>0</v>
      </c>
      <c r="B2" s="489" t="s">
        <v>57</v>
      </c>
      <c r="C2" s="490"/>
      <c r="D2" s="490"/>
      <c r="E2" s="490"/>
      <c r="F2" s="490"/>
      <c r="G2" s="490"/>
      <c r="H2" s="490"/>
      <c r="I2" s="9"/>
      <c r="J2" s="501"/>
      <c r="K2" s="501"/>
      <c r="L2" s="489"/>
      <c r="M2" s="490"/>
      <c r="N2" s="490"/>
      <c r="O2" s="490"/>
      <c r="P2" s="490"/>
      <c r="Q2" s="490"/>
      <c r="R2" s="490"/>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11"/>
    </row>
    <row r="3" spans="1:71" ht="27.6" customHeight="1" thickTop="1" thickBot="1" x14ac:dyDescent="0.3">
      <c r="A3" s="5" t="s">
        <v>1</v>
      </c>
      <c r="B3" s="489" t="s">
        <v>48</v>
      </c>
      <c r="C3" s="490"/>
      <c r="D3" s="490"/>
      <c r="E3" s="490"/>
      <c r="F3" s="490"/>
      <c r="G3" s="490"/>
      <c r="H3" s="490"/>
      <c r="I3" s="9"/>
      <c r="J3" s="9"/>
      <c r="K3" s="9"/>
      <c r="L3" s="489"/>
      <c r="M3" s="490"/>
      <c r="N3" s="490"/>
      <c r="O3" s="490"/>
      <c r="P3" s="490"/>
      <c r="Q3" s="490"/>
      <c r="R3" s="49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10"/>
    </row>
    <row r="4" spans="1:71" ht="27.6" customHeight="1" thickTop="1" thickBot="1" x14ac:dyDescent="0.3">
      <c r="A4" s="5" t="s">
        <v>2</v>
      </c>
      <c r="B4" s="491"/>
      <c r="C4" s="492"/>
      <c r="D4" s="492"/>
      <c r="E4" s="492"/>
      <c r="F4" s="492"/>
      <c r="G4" s="492"/>
      <c r="H4" s="492"/>
      <c r="I4" s="9"/>
      <c r="J4" s="9"/>
      <c r="K4" s="9"/>
      <c r="L4" s="491"/>
      <c r="M4" s="492"/>
      <c r="N4" s="492"/>
      <c r="O4" s="492"/>
      <c r="P4" s="492"/>
      <c r="Q4" s="492"/>
      <c r="R4" s="492"/>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11"/>
    </row>
    <row r="5" spans="1:71" ht="15.75" thickTop="1" x14ac:dyDescent="0.25">
      <c r="A5" s="5"/>
      <c r="B5" s="502"/>
      <c r="C5" s="502"/>
      <c r="D5" s="502"/>
      <c r="E5" s="9"/>
      <c r="F5" s="501"/>
      <c r="G5" s="9"/>
      <c r="H5" s="501"/>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11"/>
    </row>
    <row r="6" spans="1:71" ht="15.75" thickBot="1" x14ac:dyDescent="0.3">
      <c r="A6" s="13"/>
      <c r="B6" s="503"/>
      <c r="C6" s="18"/>
      <c r="D6" s="18"/>
      <c r="E6" s="18"/>
      <c r="F6" s="17"/>
      <c r="G6" s="18"/>
      <c r="H6" s="17"/>
      <c r="I6" s="504"/>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20"/>
    </row>
    <row r="7" spans="1:71" s="507" customFormat="1" ht="15.75" thickBot="1" x14ac:dyDescent="0.3">
      <c r="A7" s="21"/>
      <c r="B7" s="910">
        <v>2019</v>
      </c>
      <c r="C7" s="911"/>
      <c r="D7" s="911"/>
      <c r="E7" s="911"/>
      <c r="F7" s="911"/>
      <c r="G7" s="911"/>
      <c r="H7" s="911"/>
      <c r="I7" s="911"/>
      <c r="J7" s="911"/>
      <c r="K7" s="912"/>
      <c r="L7" s="913">
        <v>2020</v>
      </c>
      <c r="M7" s="911"/>
      <c r="N7" s="911"/>
      <c r="O7" s="911"/>
      <c r="P7" s="911"/>
      <c r="Q7" s="911"/>
      <c r="R7" s="911"/>
      <c r="S7" s="911"/>
      <c r="T7" s="911"/>
      <c r="U7" s="911"/>
      <c r="V7" s="911"/>
      <c r="W7" s="911"/>
      <c r="X7" s="914">
        <v>2021</v>
      </c>
      <c r="Y7" s="915"/>
      <c r="Z7" s="915"/>
      <c r="AA7" s="915"/>
      <c r="AB7" s="915"/>
      <c r="AC7" s="915"/>
      <c r="AD7" s="915"/>
      <c r="AE7" s="915"/>
      <c r="AF7" s="915"/>
      <c r="AG7" s="915"/>
      <c r="AH7" s="915"/>
      <c r="AI7" s="916"/>
      <c r="AJ7" s="914">
        <v>2022</v>
      </c>
      <c r="AK7" s="915"/>
      <c r="AL7" s="915"/>
      <c r="AM7" s="915"/>
      <c r="AN7" s="915"/>
      <c r="AO7" s="915"/>
      <c r="AP7" s="915"/>
      <c r="AQ7" s="915"/>
      <c r="AR7" s="915"/>
      <c r="AS7" s="915"/>
      <c r="AT7" s="915"/>
      <c r="AU7" s="916"/>
      <c r="AV7" s="911" t="s">
        <v>15</v>
      </c>
      <c r="AW7" s="911"/>
      <c r="AX7" s="911"/>
      <c r="AY7" s="911"/>
      <c r="AZ7" s="911"/>
      <c r="BA7" s="911"/>
      <c r="BB7" s="911"/>
      <c r="BC7" s="911"/>
      <c r="BD7" s="911"/>
      <c r="BE7" s="911"/>
      <c r="BF7" s="779"/>
      <c r="BG7" s="779"/>
      <c r="BH7" s="779"/>
      <c r="BI7" s="780"/>
      <c r="BJ7" s="780"/>
      <c r="BK7" s="780"/>
      <c r="BL7" s="780"/>
      <c r="BM7" s="780"/>
      <c r="BN7" s="780"/>
      <c r="BO7" s="766"/>
      <c r="BP7" s="780"/>
      <c r="BQ7" s="780"/>
      <c r="BR7" s="780"/>
      <c r="BS7" s="780"/>
    </row>
    <row r="8" spans="1:71" ht="15.75" thickBot="1" x14ac:dyDescent="0.3">
      <c r="A8" s="27"/>
      <c r="B8" s="28" t="s">
        <v>9</v>
      </c>
      <c r="C8" s="29" t="s">
        <v>10</v>
      </c>
      <c r="D8" s="29" t="s">
        <v>16</v>
      </c>
      <c r="E8" s="29" t="s">
        <v>11</v>
      </c>
      <c r="F8" s="29" t="s">
        <v>17</v>
      </c>
      <c r="G8" s="29" t="s">
        <v>3</v>
      </c>
      <c r="H8" s="29" t="s">
        <v>13</v>
      </c>
      <c r="I8" s="29" t="s">
        <v>4</v>
      </c>
      <c r="J8" s="29" t="s">
        <v>5</v>
      </c>
      <c r="K8" s="196" t="s">
        <v>6</v>
      </c>
      <c r="L8" s="30" t="s">
        <v>7</v>
      </c>
      <c r="M8" s="198" t="s">
        <v>8</v>
      </c>
      <c r="N8" s="30" t="s">
        <v>9</v>
      </c>
      <c r="O8" s="29" t="s">
        <v>10</v>
      </c>
      <c r="P8" s="29" t="s">
        <v>16</v>
      </c>
      <c r="Q8" s="29" t="s">
        <v>11</v>
      </c>
      <c r="R8" s="29" t="s">
        <v>12</v>
      </c>
      <c r="S8" s="29" t="s">
        <v>3</v>
      </c>
      <c r="T8" s="31" t="s">
        <v>13</v>
      </c>
      <c r="U8" s="318" t="s">
        <v>4</v>
      </c>
      <c r="V8" s="318" t="s">
        <v>5</v>
      </c>
      <c r="W8" s="318" t="s">
        <v>6</v>
      </c>
      <c r="X8" s="509" t="s">
        <v>7</v>
      </c>
      <c r="Y8" s="510" t="s">
        <v>8</v>
      </c>
      <c r="Z8" s="510" t="s">
        <v>66</v>
      </c>
      <c r="AA8" s="510" t="s">
        <v>68</v>
      </c>
      <c r="AB8" s="510" t="s">
        <v>16</v>
      </c>
      <c r="AC8" s="590" t="s">
        <v>71</v>
      </c>
      <c r="AD8" s="510" t="s">
        <v>17</v>
      </c>
      <c r="AE8" s="510" t="s">
        <v>72</v>
      </c>
      <c r="AF8" s="510" t="s">
        <v>73</v>
      </c>
      <c r="AG8" s="757" t="s">
        <v>74</v>
      </c>
      <c r="AH8" s="510" t="s">
        <v>75</v>
      </c>
      <c r="AI8" s="837" t="s">
        <v>76</v>
      </c>
      <c r="AJ8" s="510" t="s">
        <v>77</v>
      </c>
      <c r="AK8" s="510" t="s">
        <v>78</v>
      </c>
      <c r="AL8" s="510" t="s">
        <v>66</v>
      </c>
      <c r="AM8" s="510" t="s">
        <v>68</v>
      </c>
      <c r="AN8" s="510" t="s">
        <v>16</v>
      </c>
      <c r="AO8" s="510" t="s">
        <v>71</v>
      </c>
      <c r="AP8" s="510" t="s">
        <v>17</v>
      </c>
      <c r="AQ8" s="510" t="s">
        <v>72</v>
      </c>
      <c r="AR8" s="510" t="s">
        <v>73</v>
      </c>
      <c r="AS8" s="510" t="s">
        <v>74</v>
      </c>
      <c r="AT8" s="510" t="s">
        <v>75</v>
      </c>
      <c r="AU8" s="856" t="s">
        <v>76</v>
      </c>
      <c r="AV8" s="30" t="s">
        <v>9</v>
      </c>
      <c r="AW8" s="29" t="s">
        <v>10</v>
      </c>
      <c r="AX8" s="29" t="s">
        <v>16</v>
      </c>
      <c r="AY8" s="29" t="s">
        <v>11</v>
      </c>
      <c r="AZ8" s="29" t="s">
        <v>12</v>
      </c>
      <c r="BA8" s="29" t="s">
        <v>3</v>
      </c>
      <c r="BB8" s="828" t="s">
        <v>13</v>
      </c>
      <c r="BC8" s="508" t="s">
        <v>4</v>
      </c>
      <c r="BD8" s="508" t="s">
        <v>5</v>
      </c>
      <c r="BE8" s="508" t="s">
        <v>6</v>
      </c>
      <c r="BF8" s="781"/>
      <c r="BG8" s="590"/>
      <c r="BH8" s="590"/>
      <c r="BI8" s="590"/>
      <c r="BJ8" s="590"/>
      <c r="BK8" s="590"/>
      <c r="BL8" s="590"/>
      <c r="BM8" s="590"/>
      <c r="BN8" s="590"/>
      <c r="BO8" s="782"/>
      <c r="BP8" s="590"/>
      <c r="BQ8" s="590"/>
      <c r="BR8" s="783"/>
      <c r="BS8" s="783"/>
    </row>
    <row r="9" spans="1:71" x14ac:dyDescent="0.25">
      <c r="A9" s="40" t="s">
        <v>14</v>
      </c>
      <c r="B9" s="48"/>
      <c r="C9" s="49"/>
      <c r="D9" s="49"/>
      <c r="E9" s="49"/>
      <c r="F9" s="49"/>
      <c r="G9" s="49"/>
      <c r="H9" s="49"/>
      <c r="I9" s="49"/>
      <c r="J9" s="49"/>
      <c r="K9" s="50"/>
      <c r="L9" s="51"/>
      <c r="M9" s="49"/>
      <c r="N9" s="51"/>
      <c r="O9" s="49"/>
      <c r="P9" s="49"/>
      <c r="Q9" s="49"/>
      <c r="R9" s="49"/>
      <c r="S9" s="49"/>
      <c r="T9" s="816"/>
      <c r="U9" s="319"/>
      <c r="V9" s="319"/>
      <c r="W9" s="319"/>
      <c r="X9" s="500"/>
      <c r="Y9" s="500"/>
      <c r="Z9" s="500"/>
      <c r="AC9" s="2"/>
      <c r="AG9" s="756"/>
      <c r="AI9" s="838"/>
      <c r="AU9" s="857"/>
      <c r="AV9" s="51"/>
      <c r="AW9" s="52"/>
      <c r="AX9" s="511"/>
      <c r="AY9" s="511"/>
      <c r="AZ9" s="511"/>
      <c r="BA9" s="511"/>
      <c r="BB9" s="829"/>
      <c r="BC9" s="512"/>
      <c r="BD9" s="512"/>
      <c r="BE9" s="777"/>
      <c r="BF9" s="779"/>
      <c r="BG9" s="779"/>
      <c r="BH9" s="779"/>
      <c r="BI9" s="783"/>
      <c r="BJ9" s="783"/>
      <c r="BK9" s="784"/>
      <c r="BL9" s="783"/>
      <c r="BM9" s="783"/>
      <c r="BN9" s="783"/>
      <c r="BO9" s="766"/>
      <c r="BP9" s="783"/>
      <c r="BQ9" s="783"/>
      <c r="BR9" s="783"/>
      <c r="BS9" s="783"/>
    </row>
    <row r="10" spans="1:71" x14ac:dyDescent="0.25">
      <c r="A10" s="35" t="s">
        <v>36</v>
      </c>
      <c r="B10" s="55">
        <v>1628</v>
      </c>
      <c r="C10" s="56">
        <v>1607</v>
      </c>
      <c r="D10" s="56">
        <v>1601</v>
      </c>
      <c r="E10" s="56">
        <v>1598</v>
      </c>
      <c r="F10" s="56">
        <v>1596</v>
      </c>
      <c r="G10" s="56">
        <v>1594</v>
      </c>
      <c r="H10" s="56">
        <v>1603</v>
      </c>
      <c r="I10" s="56">
        <v>1608</v>
      </c>
      <c r="J10" s="56">
        <v>1634</v>
      </c>
      <c r="K10" s="57">
        <v>1642</v>
      </c>
      <c r="L10" s="58">
        <v>1638</v>
      </c>
      <c r="M10" s="56">
        <v>1634</v>
      </c>
      <c r="N10" s="58">
        <v>1631</v>
      </c>
      <c r="O10" s="56">
        <v>1625</v>
      </c>
      <c r="P10" s="56">
        <v>1627</v>
      </c>
      <c r="Q10" s="56">
        <v>1628</v>
      </c>
      <c r="R10" s="56">
        <v>1631</v>
      </c>
      <c r="S10" s="56">
        <v>1634</v>
      </c>
      <c r="T10" s="264">
        <v>1637</v>
      </c>
      <c r="U10" s="130">
        <v>1643</v>
      </c>
      <c r="V10" s="57">
        <v>1646</v>
      </c>
      <c r="W10" s="57">
        <v>1646</v>
      </c>
      <c r="X10" s="500">
        <v>1641</v>
      </c>
      <c r="Y10" s="500">
        <v>1638</v>
      </c>
      <c r="Z10" s="500">
        <v>1638</v>
      </c>
      <c r="AA10" s="500">
        <v>1660</v>
      </c>
      <c r="AB10" s="500">
        <v>1657</v>
      </c>
      <c r="AC10" s="591">
        <v>1656</v>
      </c>
      <c r="AD10" s="500">
        <v>1651</v>
      </c>
      <c r="AE10" s="500">
        <v>1647</v>
      </c>
      <c r="AF10" s="500">
        <v>1646</v>
      </c>
      <c r="AG10" s="758">
        <v>1642</v>
      </c>
      <c r="AH10" s="500">
        <v>1648</v>
      </c>
      <c r="AI10" s="839">
        <v>1651</v>
      </c>
      <c r="AJ10" s="500">
        <v>1654</v>
      </c>
      <c r="AK10" s="500">
        <v>1655</v>
      </c>
      <c r="AL10" s="500">
        <v>1662</v>
      </c>
      <c r="AM10" s="500">
        <v>1661</v>
      </c>
      <c r="AN10" s="500">
        <v>1654</v>
      </c>
      <c r="AO10" s="500">
        <v>1648</v>
      </c>
      <c r="AP10" s="500">
        <v>1647</v>
      </c>
      <c r="AQ10" s="500">
        <v>1645</v>
      </c>
      <c r="AR10" s="500"/>
      <c r="AS10" s="500"/>
      <c r="AT10" s="500"/>
      <c r="AU10" s="716"/>
      <c r="AV10" s="58"/>
      <c r="AW10" s="58"/>
      <c r="AX10" s="58"/>
      <c r="AY10" s="58"/>
      <c r="AZ10" s="58"/>
      <c r="BA10" s="58"/>
      <c r="BB10" s="242"/>
      <c r="BC10" s="251"/>
      <c r="BD10" s="162"/>
      <c r="BE10" s="242"/>
      <c r="BF10" s="779"/>
      <c r="BG10" s="779"/>
      <c r="BH10" s="779"/>
      <c r="BI10" s="779"/>
      <c r="BJ10" s="779"/>
      <c r="BK10" s="591"/>
      <c r="BL10" s="779"/>
      <c r="BM10" s="779"/>
      <c r="BN10" s="779"/>
      <c r="BO10" s="785"/>
      <c r="BP10" s="779"/>
      <c r="BQ10" s="779"/>
      <c r="BR10" s="783"/>
      <c r="BS10" s="783"/>
    </row>
    <row r="11" spans="1:71" x14ac:dyDescent="0.25">
      <c r="A11" s="35" t="s">
        <v>37</v>
      </c>
      <c r="B11" s="55">
        <v>104</v>
      </c>
      <c r="C11" s="56">
        <v>115</v>
      </c>
      <c r="D11" s="56">
        <v>118</v>
      </c>
      <c r="E11" s="56">
        <v>117</v>
      </c>
      <c r="F11" s="56">
        <v>116</v>
      </c>
      <c r="G11" s="56">
        <v>114</v>
      </c>
      <c r="H11" s="56">
        <v>116</v>
      </c>
      <c r="I11" s="56">
        <v>117</v>
      </c>
      <c r="J11" s="56">
        <v>113</v>
      </c>
      <c r="K11" s="57">
        <v>105</v>
      </c>
      <c r="L11" s="58">
        <v>112</v>
      </c>
      <c r="M11" s="56">
        <v>114</v>
      </c>
      <c r="N11" s="58">
        <v>116</v>
      </c>
      <c r="O11" s="56">
        <v>122</v>
      </c>
      <c r="P11" s="56">
        <v>122</v>
      </c>
      <c r="Q11" s="56">
        <v>123</v>
      </c>
      <c r="R11" s="56">
        <v>122</v>
      </c>
      <c r="S11" s="56">
        <v>121</v>
      </c>
      <c r="T11" s="264">
        <v>123</v>
      </c>
      <c r="U11" s="130">
        <v>123</v>
      </c>
      <c r="V11" s="57">
        <v>123</v>
      </c>
      <c r="W11" s="57">
        <v>127</v>
      </c>
      <c r="X11" s="500">
        <v>132</v>
      </c>
      <c r="Y11" s="500">
        <v>134</v>
      </c>
      <c r="Z11" s="500">
        <v>134</v>
      </c>
      <c r="AA11" s="500">
        <v>111</v>
      </c>
      <c r="AB11" s="500">
        <v>114</v>
      </c>
      <c r="AC11" s="591">
        <v>115</v>
      </c>
      <c r="AD11" s="500">
        <v>121</v>
      </c>
      <c r="AE11" s="500">
        <v>126</v>
      </c>
      <c r="AF11" s="500">
        <v>123</v>
      </c>
      <c r="AG11" s="758">
        <v>126</v>
      </c>
      <c r="AH11" s="500">
        <v>126</v>
      </c>
      <c r="AI11" s="839">
        <v>128</v>
      </c>
      <c r="AJ11" s="500">
        <v>132</v>
      </c>
      <c r="AK11" s="500">
        <v>132</v>
      </c>
      <c r="AL11" s="500">
        <v>129</v>
      </c>
      <c r="AM11" s="500">
        <v>130</v>
      </c>
      <c r="AN11" s="500">
        <v>134</v>
      </c>
      <c r="AO11" s="500">
        <v>134</v>
      </c>
      <c r="AP11" s="500">
        <v>135</v>
      </c>
      <c r="AQ11" s="500">
        <v>136</v>
      </c>
      <c r="AR11" s="500"/>
      <c r="AS11" s="500"/>
      <c r="AT11" s="500"/>
      <c r="AU11" s="716"/>
      <c r="AV11" s="58"/>
      <c r="AW11" s="58"/>
      <c r="AX11" s="58"/>
      <c r="AY11" s="58"/>
      <c r="AZ11" s="58"/>
      <c r="BA11" s="58"/>
      <c r="BB11" s="242"/>
      <c r="BC11" s="251"/>
      <c r="BD11" s="162"/>
      <c r="BE11" s="242"/>
      <c r="BF11" s="779"/>
      <c r="BG11" s="779"/>
      <c r="BH11" s="779"/>
      <c r="BI11" s="779"/>
      <c r="BJ11" s="779"/>
      <c r="BK11" s="591"/>
      <c r="BL11" s="779"/>
      <c r="BM11" s="779"/>
      <c r="BN11" s="779"/>
      <c r="BO11" s="785"/>
      <c r="BP11" s="779"/>
      <c r="BQ11" s="779"/>
      <c r="BR11" s="783"/>
      <c r="BS11" s="783"/>
    </row>
    <row r="12" spans="1:71" x14ac:dyDescent="0.25">
      <c r="A12" s="35" t="s">
        <v>38</v>
      </c>
      <c r="B12" s="55">
        <v>184</v>
      </c>
      <c r="C12" s="56">
        <v>185</v>
      </c>
      <c r="D12" s="56">
        <v>184</v>
      </c>
      <c r="E12" s="56">
        <v>182</v>
      </c>
      <c r="F12" s="56">
        <v>182</v>
      </c>
      <c r="G12" s="56">
        <v>182</v>
      </c>
      <c r="H12" s="56">
        <v>179</v>
      </c>
      <c r="I12" s="56">
        <v>181</v>
      </c>
      <c r="J12" s="56">
        <v>182</v>
      </c>
      <c r="K12" s="57">
        <v>184</v>
      </c>
      <c r="L12" s="58">
        <v>184</v>
      </c>
      <c r="M12" s="56">
        <v>184</v>
      </c>
      <c r="N12" s="58">
        <v>184</v>
      </c>
      <c r="O12" s="56">
        <v>184</v>
      </c>
      <c r="P12" s="56">
        <v>183</v>
      </c>
      <c r="Q12" s="56">
        <v>183</v>
      </c>
      <c r="R12" s="56">
        <v>182</v>
      </c>
      <c r="S12" s="56">
        <v>183</v>
      </c>
      <c r="T12" s="264">
        <v>183</v>
      </c>
      <c r="U12" s="130">
        <v>183</v>
      </c>
      <c r="V12" s="57">
        <v>184</v>
      </c>
      <c r="W12" s="57">
        <v>185</v>
      </c>
      <c r="X12" s="500">
        <v>186</v>
      </c>
      <c r="Y12" s="500">
        <v>186</v>
      </c>
      <c r="Z12" s="500">
        <v>186</v>
      </c>
      <c r="AA12" s="500">
        <v>187</v>
      </c>
      <c r="AB12" s="500">
        <v>187</v>
      </c>
      <c r="AC12" s="591">
        <v>187</v>
      </c>
      <c r="AD12" s="500">
        <v>187</v>
      </c>
      <c r="AE12" s="500">
        <v>187</v>
      </c>
      <c r="AF12" s="500">
        <v>186</v>
      </c>
      <c r="AG12" s="758">
        <v>190</v>
      </c>
      <c r="AH12" s="500">
        <v>190</v>
      </c>
      <c r="AI12" s="839">
        <v>190</v>
      </c>
      <c r="AJ12" s="500">
        <v>190</v>
      </c>
      <c r="AK12" s="500">
        <v>190</v>
      </c>
      <c r="AL12" s="500">
        <v>190</v>
      </c>
      <c r="AM12" s="500">
        <v>190</v>
      </c>
      <c r="AN12" s="500">
        <v>190</v>
      </c>
      <c r="AO12" s="500">
        <v>188</v>
      </c>
      <c r="AP12" s="500">
        <v>187</v>
      </c>
      <c r="AQ12" s="500">
        <v>185</v>
      </c>
      <c r="AR12" s="500"/>
      <c r="AS12" s="500"/>
      <c r="AT12" s="500"/>
      <c r="AU12" s="716"/>
      <c r="AV12" s="58"/>
      <c r="AW12" s="58"/>
      <c r="AX12" s="58"/>
      <c r="AY12" s="58"/>
      <c r="AZ12" s="58"/>
      <c r="BA12" s="58"/>
      <c r="BB12" s="264"/>
      <c r="BC12" s="251"/>
      <c r="BD12" s="162"/>
      <c r="BE12" s="242"/>
      <c r="BF12" s="779"/>
      <c r="BG12" s="779"/>
      <c r="BH12" s="779"/>
      <c r="BI12" s="779"/>
      <c r="BJ12" s="779"/>
      <c r="BK12" s="591"/>
      <c r="BL12" s="779"/>
      <c r="BM12" s="779"/>
      <c r="BN12" s="779"/>
      <c r="BO12" s="785"/>
      <c r="BP12" s="779"/>
      <c r="BQ12" s="779"/>
      <c r="BR12" s="783"/>
      <c r="BS12" s="783"/>
    </row>
    <row r="13" spans="1:71" x14ac:dyDescent="0.25">
      <c r="A13" s="35" t="s">
        <v>39</v>
      </c>
      <c r="B13" s="55"/>
      <c r="C13" s="56"/>
      <c r="D13" s="56"/>
      <c r="E13" s="56"/>
      <c r="F13" s="56"/>
      <c r="G13" s="56"/>
      <c r="H13" s="56"/>
      <c r="I13" s="56"/>
      <c r="J13" s="56"/>
      <c r="K13" s="57"/>
      <c r="L13" s="58"/>
      <c r="M13" s="56"/>
      <c r="N13" s="58"/>
      <c r="O13" s="56"/>
      <c r="P13" s="56"/>
      <c r="Q13" s="56"/>
      <c r="R13" s="56"/>
      <c r="S13" s="56"/>
      <c r="T13" s="264"/>
      <c r="U13" s="130"/>
      <c r="V13" s="57"/>
      <c r="W13" s="57"/>
      <c r="X13" s="500"/>
      <c r="Y13" s="500"/>
      <c r="Z13" s="500"/>
      <c r="AC13" s="2"/>
      <c r="AG13" s="758"/>
      <c r="AI13" s="838"/>
      <c r="AU13" s="857"/>
      <c r="AV13" s="58"/>
      <c r="AW13" s="58"/>
      <c r="AX13" s="58"/>
      <c r="AY13" s="58"/>
      <c r="AZ13" s="58"/>
      <c r="BA13" s="58"/>
      <c r="BB13" s="264"/>
      <c r="BC13" s="251"/>
      <c r="BD13" s="162"/>
      <c r="BE13" s="242"/>
      <c r="BF13" s="779"/>
      <c r="BG13" s="779"/>
      <c r="BH13" s="779"/>
      <c r="BI13" s="783"/>
      <c r="BJ13" s="783"/>
      <c r="BK13" s="784"/>
      <c r="BL13" s="783"/>
      <c r="BM13" s="783"/>
      <c r="BN13" s="783"/>
      <c r="BO13" s="785"/>
      <c r="BP13" s="783"/>
      <c r="BQ13" s="783"/>
      <c r="BR13" s="783"/>
      <c r="BS13" s="783"/>
    </row>
    <row r="14" spans="1:71" x14ac:dyDescent="0.25">
      <c r="A14" s="35" t="s">
        <v>61</v>
      </c>
      <c r="B14" s="55">
        <v>1</v>
      </c>
      <c r="C14" s="56">
        <v>1</v>
      </c>
      <c r="D14" s="56">
        <v>1</v>
      </c>
      <c r="E14" s="56">
        <v>1</v>
      </c>
      <c r="F14" s="56" t="s">
        <v>70</v>
      </c>
      <c r="G14" s="56" t="s">
        <v>70</v>
      </c>
      <c r="H14" s="56">
        <v>4</v>
      </c>
      <c r="I14" s="56">
        <v>4</v>
      </c>
      <c r="J14" s="56">
        <v>4</v>
      </c>
      <c r="K14" s="57">
        <v>4</v>
      </c>
      <c r="L14" s="58">
        <v>4</v>
      </c>
      <c r="M14" s="56">
        <v>4</v>
      </c>
      <c r="N14" s="58">
        <v>4</v>
      </c>
      <c r="O14" s="56">
        <v>4</v>
      </c>
      <c r="P14" s="56">
        <v>4</v>
      </c>
      <c r="Q14" s="56">
        <v>4</v>
      </c>
      <c r="R14" s="56">
        <v>4</v>
      </c>
      <c r="S14" s="56">
        <v>4</v>
      </c>
      <c r="T14" s="264">
        <v>4</v>
      </c>
      <c r="U14" s="130">
        <v>4</v>
      </c>
      <c r="V14" s="57">
        <v>4</v>
      </c>
      <c r="W14" s="57">
        <v>4</v>
      </c>
      <c r="X14" s="500">
        <v>4</v>
      </c>
      <c r="Y14" s="500">
        <v>4</v>
      </c>
      <c r="Z14" s="500">
        <v>4</v>
      </c>
      <c r="AA14" s="500">
        <v>4</v>
      </c>
      <c r="AB14" s="500">
        <v>4</v>
      </c>
      <c r="AC14" s="591">
        <v>4</v>
      </c>
      <c r="AD14" s="500">
        <v>4</v>
      </c>
      <c r="AE14" s="500">
        <v>4</v>
      </c>
      <c r="AF14" s="500">
        <v>4</v>
      </c>
      <c r="AG14" s="758">
        <v>0</v>
      </c>
      <c r="AI14" s="838"/>
      <c r="AU14" s="857"/>
      <c r="AV14" s="58"/>
      <c r="AW14" s="58"/>
      <c r="AX14" s="58"/>
      <c r="AY14" s="58"/>
      <c r="AZ14" s="58"/>
      <c r="BA14" s="58"/>
      <c r="BB14" s="264"/>
      <c r="BC14" s="251"/>
      <c r="BD14" s="162"/>
      <c r="BE14" s="242"/>
      <c r="BF14" s="779"/>
      <c r="BG14" s="779"/>
      <c r="BH14" s="779"/>
      <c r="BI14" s="779"/>
      <c r="BJ14" s="779"/>
      <c r="BK14" s="591"/>
      <c r="BL14" s="779"/>
      <c r="BM14" s="779"/>
      <c r="BN14" s="779"/>
      <c r="BO14" s="785"/>
      <c r="BP14" s="783"/>
      <c r="BQ14" s="783"/>
      <c r="BR14" s="783"/>
      <c r="BS14" s="783"/>
    </row>
    <row r="15" spans="1:71" ht="15.75" thickBot="1" x14ac:dyDescent="0.3">
      <c r="A15" s="37" t="s">
        <v>41</v>
      </c>
      <c r="B15" s="122">
        <f t="shared" ref="B15:W15" si="0">SUM(B10:B14)</f>
        <v>1917</v>
      </c>
      <c r="C15" s="122">
        <f t="shared" si="0"/>
        <v>1908</v>
      </c>
      <c r="D15" s="122">
        <f t="shared" si="0"/>
        <v>1904</v>
      </c>
      <c r="E15" s="122">
        <f t="shared" si="0"/>
        <v>1898</v>
      </c>
      <c r="F15" s="122">
        <f t="shared" si="0"/>
        <v>1894</v>
      </c>
      <c r="G15" s="122">
        <f t="shared" si="0"/>
        <v>1890</v>
      </c>
      <c r="H15" s="122">
        <f t="shared" si="0"/>
        <v>1902</v>
      </c>
      <c r="I15" s="122">
        <f t="shared" si="0"/>
        <v>1910</v>
      </c>
      <c r="J15" s="122">
        <f t="shared" si="0"/>
        <v>1933</v>
      </c>
      <c r="K15" s="122">
        <f t="shared" si="0"/>
        <v>1935</v>
      </c>
      <c r="L15" s="122">
        <f t="shared" si="0"/>
        <v>1938</v>
      </c>
      <c r="M15" s="122">
        <f t="shared" si="0"/>
        <v>1936</v>
      </c>
      <c r="N15" s="122">
        <f t="shared" si="0"/>
        <v>1935</v>
      </c>
      <c r="O15" s="122">
        <f t="shared" si="0"/>
        <v>1935</v>
      </c>
      <c r="P15" s="122">
        <f t="shared" si="0"/>
        <v>1936</v>
      </c>
      <c r="Q15" s="122">
        <f t="shared" si="0"/>
        <v>1938</v>
      </c>
      <c r="R15" s="122">
        <f t="shared" si="0"/>
        <v>1939</v>
      </c>
      <c r="S15" s="122">
        <f t="shared" si="0"/>
        <v>1942</v>
      </c>
      <c r="T15" s="122">
        <f t="shared" si="0"/>
        <v>1947</v>
      </c>
      <c r="U15" s="252">
        <f t="shared" si="0"/>
        <v>1953</v>
      </c>
      <c r="V15" s="122">
        <f t="shared" si="0"/>
        <v>1957</v>
      </c>
      <c r="W15" s="122">
        <f t="shared" si="0"/>
        <v>1962</v>
      </c>
      <c r="X15" s="500">
        <f t="shared" ref="X15:AG15" si="1">SUM(X10:X14)</f>
        <v>1963</v>
      </c>
      <c r="Y15" s="500">
        <f t="shared" si="1"/>
        <v>1962</v>
      </c>
      <c r="Z15" s="500">
        <f t="shared" si="1"/>
        <v>1962</v>
      </c>
      <c r="AA15" s="500">
        <f t="shared" si="1"/>
        <v>1962</v>
      </c>
      <c r="AB15" s="500">
        <f t="shared" si="1"/>
        <v>1962</v>
      </c>
      <c r="AC15" s="4">
        <f t="shared" si="1"/>
        <v>1962</v>
      </c>
      <c r="AD15" s="500">
        <f t="shared" si="1"/>
        <v>1963</v>
      </c>
      <c r="AE15" s="500">
        <f t="shared" si="1"/>
        <v>1964</v>
      </c>
      <c r="AF15" s="500">
        <f t="shared" si="1"/>
        <v>1959</v>
      </c>
      <c r="AG15" s="758">
        <f t="shared" si="1"/>
        <v>1958</v>
      </c>
      <c r="AH15" s="500">
        <v>1964</v>
      </c>
      <c r="AI15" s="839">
        <v>1969</v>
      </c>
      <c r="AJ15" s="500">
        <f>SUM(AJ10:AJ14)</f>
        <v>1976</v>
      </c>
      <c r="AK15" s="500">
        <f>SUM(AK10:AK14)</f>
        <v>1977</v>
      </c>
      <c r="AL15" s="500">
        <f>SUM(AL10:AL14)</f>
        <v>1981</v>
      </c>
      <c r="AM15" s="500">
        <f>SUM(AM10:AM14)</f>
        <v>1981</v>
      </c>
      <c r="AN15" s="500">
        <v>1978</v>
      </c>
      <c r="AO15" s="500">
        <v>1970</v>
      </c>
      <c r="AP15" s="500">
        <v>1969</v>
      </c>
      <c r="AQ15" s="500">
        <v>1966</v>
      </c>
      <c r="AR15" s="500"/>
      <c r="AS15" s="500"/>
      <c r="AT15" s="500"/>
      <c r="AU15" s="716"/>
      <c r="AV15" s="60"/>
      <c r="AW15" s="60"/>
      <c r="AX15" s="60"/>
      <c r="AY15" s="60"/>
      <c r="AZ15" s="60"/>
      <c r="BA15" s="60"/>
      <c r="BB15" s="262"/>
      <c r="BC15" s="252"/>
      <c r="BD15" s="163"/>
      <c r="BE15" s="262"/>
      <c r="BF15" s="779"/>
      <c r="BG15" s="779"/>
      <c r="BH15" s="779"/>
      <c r="BI15" s="779"/>
      <c r="BJ15" s="779"/>
      <c r="BK15" s="591"/>
      <c r="BL15" s="779"/>
      <c r="BM15" s="779"/>
      <c r="BN15" s="779"/>
      <c r="BO15" s="785"/>
      <c r="BP15" s="779"/>
      <c r="BQ15" s="779"/>
      <c r="BR15" s="783"/>
      <c r="BS15" s="783"/>
    </row>
    <row r="16" spans="1:71" x14ac:dyDescent="0.25">
      <c r="A16" s="41" t="s">
        <v>18</v>
      </c>
      <c r="B16" s="61"/>
      <c r="C16" s="62"/>
      <c r="D16" s="62"/>
      <c r="E16" s="62"/>
      <c r="F16" s="62"/>
      <c r="G16" s="62"/>
      <c r="H16" s="62"/>
      <c r="I16" s="62"/>
      <c r="J16" s="62"/>
      <c r="K16" s="63"/>
      <c r="L16" s="64"/>
      <c r="M16" s="62"/>
      <c r="N16" s="64"/>
      <c r="O16" s="62"/>
      <c r="P16" s="62"/>
      <c r="Q16" s="62"/>
      <c r="R16" s="62"/>
      <c r="S16" s="62"/>
      <c r="T16" s="817"/>
      <c r="U16" s="320"/>
      <c r="V16" s="320"/>
      <c r="W16" s="320"/>
      <c r="X16" s="500"/>
      <c r="Y16" s="500"/>
      <c r="Z16" s="500"/>
      <c r="AC16" s="2"/>
      <c r="AG16" s="756"/>
      <c r="AI16" s="838"/>
      <c r="AU16" s="857"/>
      <c r="AV16" s="64"/>
      <c r="AW16" s="65"/>
      <c r="AX16" s="513"/>
      <c r="AY16" s="513"/>
      <c r="AZ16" s="513"/>
      <c r="BA16" s="513"/>
      <c r="BB16" s="626"/>
      <c r="BC16" s="776"/>
      <c r="BD16" s="500"/>
      <c r="BE16" s="500"/>
      <c r="BF16" s="779"/>
      <c r="BG16" s="779"/>
      <c r="BH16" s="779"/>
      <c r="BI16" s="783"/>
      <c r="BJ16" s="783"/>
      <c r="BK16" s="784"/>
      <c r="BL16" s="783"/>
      <c r="BM16" s="783"/>
      <c r="BN16" s="783"/>
      <c r="BO16" s="766"/>
      <c r="BP16" s="783"/>
      <c r="BQ16" s="783"/>
      <c r="BR16" s="783"/>
      <c r="BS16" s="783"/>
    </row>
    <row r="17" spans="1:71" x14ac:dyDescent="0.25">
      <c r="A17" s="35" t="s">
        <v>36</v>
      </c>
      <c r="B17" s="131">
        <v>671</v>
      </c>
      <c r="C17" s="69">
        <v>339</v>
      </c>
      <c r="D17" s="69">
        <v>901</v>
      </c>
      <c r="E17" s="69">
        <v>453</v>
      </c>
      <c r="F17" s="69">
        <v>775</v>
      </c>
      <c r="G17" s="69">
        <v>740</v>
      </c>
      <c r="H17" s="69">
        <v>398</v>
      </c>
      <c r="I17" s="69">
        <v>644</v>
      </c>
      <c r="J17" s="69">
        <v>312</v>
      </c>
      <c r="K17" s="70">
        <v>593</v>
      </c>
      <c r="L17" s="71">
        <v>454</v>
      </c>
      <c r="M17" s="71">
        <v>185</v>
      </c>
      <c r="N17" s="71">
        <v>484</v>
      </c>
      <c r="O17" s="71">
        <v>265</v>
      </c>
      <c r="P17" s="71">
        <v>861</v>
      </c>
      <c r="Q17" s="71">
        <v>582</v>
      </c>
      <c r="R17" s="71">
        <v>936</v>
      </c>
      <c r="S17" s="71">
        <v>980</v>
      </c>
      <c r="T17" s="131">
        <v>600</v>
      </c>
      <c r="U17" s="71">
        <v>948</v>
      </c>
      <c r="V17" s="68">
        <v>632</v>
      </c>
      <c r="W17" s="68">
        <v>876</v>
      </c>
      <c r="X17" s="500">
        <v>910</v>
      </c>
      <c r="Y17" s="500">
        <v>648</v>
      </c>
      <c r="Z17" s="500">
        <v>928</v>
      </c>
      <c r="AA17" s="500">
        <v>652</v>
      </c>
      <c r="AB17" s="515"/>
      <c r="AC17" s="2"/>
      <c r="AG17" s="756"/>
      <c r="AI17" s="838"/>
      <c r="AU17" s="857"/>
      <c r="AV17" s="71"/>
      <c r="AW17" s="71"/>
      <c r="AX17" s="71"/>
      <c r="AY17" s="71"/>
      <c r="AZ17" s="71"/>
      <c r="BA17" s="71"/>
      <c r="BB17" s="242"/>
      <c r="BC17" s="251"/>
      <c r="BD17" s="162"/>
      <c r="BE17" s="242"/>
      <c r="BF17" s="779"/>
      <c r="BG17" s="779"/>
      <c r="BH17" s="779"/>
      <c r="BI17" s="779"/>
      <c r="BJ17" s="783"/>
      <c r="BK17" s="784"/>
      <c r="BL17" s="783"/>
      <c r="BM17" s="783"/>
      <c r="BN17" s="783"/>
      <c r="BO17" s="766"/>
      <c r="BP17" s="783"/>
      <c r="BQ17" s="783"/>
      <c r="BR17" s="783"/>
      <c r="BS17" s="783"/>
    </row>
    <row r="18" spans="1:71" x14ac:dyDescent="0.25">
      <c r="A18" s="35" t="s">
        <v>37</v>
      </c>
      <c r="B18" s="131"/>
      <c r="C18" s="69"/>
      <c r="D18" s="69"/>
      <c r="E18" s="69"/>
      <c r="F18" s="69"/>
      <c r="G18" s="69"/>
      <c r="H18" s="69"/>
      <c r="I18" s="69"/>
      <c r="J18" s="69"/>
      <c r="K18" s="70"/>
      <c r="L18" s="71"/>
      <c r="M18" s="71"/>
      <c r="N18" s="71"/>
      <c r="O18" s="71"/>
      <c r="P18" s="71"/>
      <c r="Q18" s="71"/>
      <c r="R18" s="71"/>
      <c r="S18" s="71"/>
      <c r="T18" s="131"/>
      <c r="U18" s="71"/>
      <c r="V18" s="68"/>
      <c r="W18" s="68"/>
      <c r="X18" s="500"/>
      <c r="Y18" s="500"/>
      <c r="Z18" s="500"/>
      <c r="AB18" s="515"/>
      <c r="AC18" s="2"/>
      <c r="AG18" s="756"/>
      <c r="AI18" s="838"/>
      <c r="AU18" s="857"/>
      <c r="AV18" s="71"/>
      <c r="AW18" s="71"/>
      <c r="AX18" s="71"/>
      <c r="AY18" s="71"/>
      <c r="AZ18" s="71"/>
      <c r="BA18" s="71"/>
      <c r="BB18" s="242"/>
      <c r="BC18" s="251"/>
      <c r="BD18" s="162"/>
      <c r="BE18" s="242"/>
      <c r="BF18" s="779"/>
      <c r="BG18" s="779"/>
      <c r="BH18" s="779"/>
      <c r="BI18" s="783"/>
      <c r="BJ18" s="783"/>
      <c r="BK18" s="784"/>
      <c r="BL18" s="783"/>
      <c r="BM18" s="783"/>
      <c r="BN18" s="783"/>
      <c r="BO18" s="766"/>
      <c r="BP18" s="783"/>
      <c r="BQ18" s="783"/>
      <c r="BR18" s="783"/>
      <c r="BS18" s="783"/>
    </row>
    <row r="19" spans="1:71" x14ac:dyDescent="0.25">
      <c r="A19" s="35" t="s">
        <v>38</v>
      </c>
      <c r="B19" s="131">
        <v>41</v>
      </c>
      <c r="C19" s="69">
        <v>27</v>
      </c>
      <c r="D19" s="69">
        <v>45</v>
      </c>
      <c r="E19" s="69">
        <v>32</v>
      </c>
      <c r="F19" s="69">
        <v>45</v>
      </c>
      <c r="G19" s="69">
        <v>48</v>
      </c>
      <c r="H19" s="69">
        <v>28</v>
      </c>
      <c r="I19" s="69">
        <v>48</v>
      </c>
      <c r="J19" s="69">
        <v>33</v>
      </c>
      <c r="K19" s="70">
        <v>57</v>
      </c>
      <c r="L19" s="71">
        <v>48</v>
      </c>
      <c r="M19" s="71">
        <v>31</v>
      </c>
      <c r="N19" s="71">
        <v>57</v>
      </c>
      <c r="O19" s="71">
        <v>44</v>
      </c>
      <c r="P19" s="71">
        <v>87</v>
      </c>
      <c r="Q19" s="71">
        <v>69</v>
      </c>
      <c r="R19" s="71">
        <v>77</v>
      </c>
      <c r="S19" s="71">
        <v>96</v>
      </c>
      <c r="T19" s="131">
        <v>44</v>
      </c>
      <c r="U19" s="71">
        <v>65</v>
      </c>
      <c r="V19" s="68">
        <v>40</v>
      </c>
      <c r="W19" s="68">
        <v>61</v>
      </c>
      <c r="X19" s="500">
        <v>88</v>
      </c>
      <c r="Y19" s="500">
        <v>43</v>
      </c>
      <c r="Z19" s="500">
        <v>96</v>
      </c>
      <c r="AA19" s="500">
        <v>117</v>
      </c>
      <c r="AB19" s="515"/>
      <c r="AC19" s="2"/>
      <c r="AG19" s="756"/>
      <c r="AI19" s="838"/>
      <c r="AU19" s="857"/>
      <c r="AV19" s="71"/>
      <c r="AW19" s="71"/>
      <c r="AX19" s="71"/>
      <c r="AY19" s="71"/>
      <c r="AZ19" s="71"/>
      <c r="BA19" s="71"/>
      <c r="BB19" s="242"/>
      <c r="BC19" s="251"/>
      <c r="BD19" s="162"/>
      <c r="BE19" s="242"/>
      <c r="BF19" s="779"/>
      <c r="BG19" s="779"/>
      <c r="BH19" s="779"/>
      <c r="BI19" s="779"/>
      <c r="BJ19" s="783"/>
      <c r="BK19" s="784"/>
      <c r="BL19" s="783"/>
      <c r="BM19" s="783"/>
      <c r="BN19" s="783"/>
      <c r="BO19" s="766"/>
      <c r="BP19" s="783"/>
      <c r="BQ19" s="783"/>
      <c r="BR19" s="783"/>
      <c r="BS19" s="783"/>
    </row>
    <row r="20" spans="1:71" x14ac:dyDescent="0.25">
      <c r="A20" s="35" t="s">
        <v>39</v>
      </c>
      <c r="B20" s="131"/>
      <c r="C20" s="69"/>
      <c r="D20" s="69"/>
      <c r="E20" s="69"/>
      <c r="F20" s="69"/>
      <c r="G20" s="69"/>
      <c r="H20" s="69"/>
      <c r="I20" s="69"/>
      <c r="J20" s="69"/>
      <c r="K20" s="70"/>
      <c r="L20" s="71"/>
      <c r="M20" s="71"/>
      <c r="N20" s="71"/>
      <c r="O20" s="71"/>
      <c r="P20" s="71"/>
      <c r="Q20" s="71"/>
      <c r="R20" s="71"/>
      <c r="S20" s="71"/>
      <c r="T20" s="131"/>
      <c r="U20" s="71"/>
      <c r="V20" s="68"/>
      <c r="W20" s="68"/>
      <c r="X20" s="500"/>
      <c r="Y20" s="500"/>
      <c r="Z20" s="500"/>
      <c r="AB20" s="515"/>
      <c r="AC20" s="2"/>
      <c r="AG20" s="756"/>
      <c r="AI20" s="838"/>
      <c r="AU20" s="857"/>
      <c r="AV20" s="71"/>
      <c r="AW20" s="71"/>
      <c r="AX20" s="71"/>
      <c r="AY20" s="71"/>
      <c r="AZ20" s="71"/>
      <c r="BA20" s="71"/>
      <c r="BB20" s="242"/>
      <c r="BC20" s="251"/>
      <c r="BD20" s="162"/>
      <c r="BE20" s="242"/>
      <c r="BF20" s="779"/>
      <c r="BG20" s="779"/>
      <c r="BH20" s="779"/>
      <c r="BI20" s="783"/>
      <c r="BJ20" s="783"/>
      <c r="BK20" s="784"/>
      <c r="BL20" s="783"/>
      <c r="BM20" s="783"/>
      <c r="BN20" s="783"/>
      <c r="BO20" s="766"/>
      <c r="BP20" s="783"/>
      <c r="BQ20" s="783"/>
      <c r="BR20" s="783"/>
      <c r="BS20" s="783"/>
    </row>
    <row r="21" spans="1:71" x14ac:dyDescent="0.25">
      <c r="A21" s="35" t="s">
        <v>61</v>
      </c>
      <c r="B21" s="131"/>
      <c r="C21" s="69"/>
      <c r="D21" s="69"/>
      <c r="E21" s="69"/>
      <c r="F21" s="69"/>
      <c r="G21" s="69"/>
      <c r="H21" s="69"/>
      <c r="I21" s="69"/>
      <c r="J21" s="69"/>
      <c r="K21" s="70"/>
      <c r="L21" s="71"/>
      <c r="M21" s="71"/>
      <c r="N21" s="71"/>
      <c r="O21" s="71"/>
      <c r="P21" s="71"/>
      <c r="Q21" s="71"/>
      <c r="R21" s="71"/>
      <c r="S21" s="71"/>
      <c r="T21" s="131"/>
      <c r="U21" s="71"/>
      <c r="V21" s="68"/>
      <c r="W21" s="68"/>
      <c r="X21" s="500"/>
      <c r="Y21" s="500"/>
      <c r="Z21" s="500"/>
      <c r="AB21" s="515"/>
      <c r="AC21" s="2"/>
      <c r="AG21" s="756"/>
      <c r="AI21" s="838"/>
      <c r="AU21" s="857"/>
      <c r="AV21" s="71"/>
      <c r="AW21" s="71"/>
      <c r="AX21" s="71"/>
      <c r="AY21" s="71"/>
      <c r="AZ21" s="71"/>
      <c r="BA21" s="71"/>
      <c r="BB21" s="242"/>
      <c r="BC21" s="251"/>
      <c r="BD21" s="162"/>
      <c r="BE21" s="242"/>
      <c r="BF21" s="779"/>
      <c r="BG21" s="779"/>
      <c r="BH21" s="779"/>
      <c r="BI21" s="783"/>
      <c r="BJ21" s="783"/>
      <c r="BK21" s="784"/>
      <c r="BL21" s="783"/>
      <c r="BM21" s="783"/>
      <c r="BN21" s="783"/>
      <c r="BO21" s="766"/>
      <c r="BP21" s="783"/>
      <c r="BQ21" s="783"/>
      <c r="BR21" s="783"/>
      <c r="BS21" s="783"/>
    </row>
    <row r="22" spans="1:71" x14ac:dyDescent="0.25">
      <c r="A22" s="35" t="s">
        <v>41</v>
      </c>
      <c r="B22" s="131">
        <f t="shared" ref="B22:BE22" si="2">SUM(B17:B20)</f>
        <v>712</v>
      </c>
      <c r="C22" s="131">
        <f t="shared" si="2"/>
        <v>366</v>
      </c>
      <c r="D22" s="131">
        <f t="shared" si="2"/>
        <v>946</v>
      </c>
      <c r="E22" s="131">
        <f t="shared" si="2"/>
        <v>485</v>
      </c>
      <c r="F22" s="131">
        <f t="shared" si="2"/>
        <v>820</v>
      </c>
      <c r="G22" s="131">
        <f t="shared" si="2"/>
        <v>788</v>
      </c>
      <c r="H22" s="131">
        <f t="shared" si="2"/>
        <v>426</v>
      </c>
      <c r="I22" s="131">
        <f t="shared" si="2"/>
        <v>692</v>
      </c>
      <c r="J22" s="131">
        <f t="shared" si="2"/>
        <v>345</v>
      </c>
      <c r="K22" s="131">
        <f t="shared" si="2"/>
        <v>650</v>
      </c>
      <c r="L22" s="131">
        <f t="shared" si="2"/>
        <v>502</v>
      </c>
      <c r="M22" s="131">
        <f t="shared" si="2"/>
        <v>216</v>
      </c>
      <c r="N22" s="131">
        <f t="shared" si="2"/>
        <v>541</v>
      </c>
      <c r="O22" s="131">
        <f t="shared" si="2"/>
        <v>309</v>
      </c>
      <c r="P22" s="131">
        <f t="shared" si="2"/>
        <v>948</v>
      </c>
      <c r="Q22" s="131">
        <f t="shared" si="2"/>
        <v>651</v>
      </c>
      <c r="R22" s="131">
        <f t="shared" si="2"/>
        <v>1013</v>
      </c>
      <c r="S22" s="131">
        <f t="shared" si="2"/>
        <v>1076</v>
      </c>
      <c r="T22" s="131">
        <f t="shared" si="2"/>
        <v>644</v>
      </c>
      <c r="U22" s="251">
        <f t="shared" si="2"/>
        <v>1013</v>
      </c>
      <c r="V22" s="131">
        <f t="shared" si="2"/>
        <v>672</v>
      </c>
      <c r="W22" s="131">
        <f t="shared" si="2"/>
        <v>937</v>
      </c>
      <c r="X22" s="131">
        <f t="shared" ref="X22:AC22" si="3">SUM(X17:X20)</f>
        <v>998</v>
      </c>
      <c r="Y22" s="131">
        <f t="shared" si="3"/>
        <v>691</v>
      </c>
      <c r="Z22" s="131">
        <f t="shared" si="3"/>
        <v>1024</v>
      </c>
      <c r="AA22" s="131">
        <f t="shared" si="3"/>
        <v>769</v>
      </c>
      <c r="AB22" s="516">
        <f t="shared" si="3"/>
        <v>0</v>
      </c>
      <c r="AC22" s="131">
        <f t="shared" si="3"/>
        <v>0</v>
      </c>
      <c r="AG22" s="756"/>
      <c r="AI22" s="838"/>
      <c r="AU22" s="857"/>
      <c r="AV22" s="251">
        <f t="shared" si="2"/>
        <v>0</v>
      </c>
      <c r="AW22" s="131">
        <f t="shared" si="2"/>
        <v>0</v>
      </c>
      <c r="AX22" s="131">
        <f t="shared" si="2"/>
        <v>0</v>
      </c>
      <c r="AY22" s="131">
        <f t="shared" si="2"/>
        <v>0</v>
      </c>
      <c r="AZ22" s="131">
        <f t="shared" si="2"/>
        <v>0</v>
      </c>
      <c r="BA22" s="131">
        <f t="shared" si="2"/>
        <v>0</v>
      </c>
      <c r="BB22" s="131">
        <f t="shared" si="2"/>
        <v>0</v>
      </c>
      <c r="BC22" s="251">
        <f t="shared" si="2"/>
        <v>0</v>
      </c>
      <c r="BD22" s="251">
        <f t="shared" si="2"/>
        <v>0</v>
      </c>
      <c r="BE22" s="131">
        <f t="shared" si="2"/>
        <v>0</v>
      </c>
      <c r="BF22" s="786"/>
      <c r="BG22" s="786"/>
      <c r="BH22" s="786"/>
      <c r="BI22" s="786"/>
      <c r="BJ22" s="786"/>
      <c r="BK22" s="786"/>
      <c r="BL22" s="783"/>
      <c r="BM22" s="783"/>
      <c r="BN22" s="783"/>
      <c r="BO22" s="766"/>
      <c r="BP22" s="783"/>
      <c r="BQ22" s="783"/>
      <c r="BR22" s="783"/>
      <c r="BS22" s="783"/>
    </row>
    <row r="23" spans="1:71" x14ac:dyDescent="0.25">
      <c r="A23" s="42" t="s">
        <v>21</v>
      </c>
      <c r="B23" s="68"/>
      <c r="C23" s="69"/>
      <c r="D23" s="69"/>
      <c r="E23" s="69"/>
      <c r="F23" s="69"/>
      <c r="G23" s="69"/>
      <c r="H23" s="69"/>
      <c r="I23" s="69"/>
      <c r="J23" s="69"/>
      <c r="K23" s="70"/>
      <c r="L23" s="71"/>
      <c r="M23" s="69"/>
      <c r="N23" s="71"/>
      <c r="O23" s="69"/>
      <c r="P23" s="69"/>
      <c r="Q23" s="69"/>
      <c r="R23" s="69"/>
      <c r="S23" s="69"/>
      <c r="T23" s="242"/>
      <c r="U23" s="251"/>
      <c r="V23" s="251"/>
      <c r="W23" s="251"/>
      <c r="X23" s="500"/>
      <c r="Y23" s="500"/>
      <c r="Z23" s="500"/>
      <c r="AB23" s="515"/>
      <c r="AC23" s="2"/>
      <c r="AG23" s="756"/>
      <c r="AI23" s="838"/>
      <c r="AU23" s="857"/>
      <c r="AV23" s="71"/>
      <c r="AW23" s="72"/>
      <c r="AX23" s="517"/>
      <c r="AY23" s="517"/>
      <c r="AZ23" s="517"/>
      <c r="BA23" s="517"/>
      <c r="BB23" s="635"/>
      <c r="BC23" s="775"/>
      <c r="BD23" s="512"/>
      <c r="BE23" s="512"/>
      <c r="BF23" s="779"/>
      <c r="BG23" s="779"/>
      <c r="BH23" s="779"/>
      <c r="BI23" s="783"/>
      <c r="BJ23" s="783"/>
      <c r="BK23" s="784"/>
      <c r="BL23" s="783"/>
      <c r="BM23" s="783"/>
      <c r="BN23" s="783"/>
      <c r="BO23" s="766"/>
      <c r="BP23" s="783"/>
      <c r="BQ23" s="783"/>
      <c r="BR23" s="783"/>
      <c r="BS23" s="783"/>
    </row>
    <row r="24" spans="1:71" x14ac:dyDescent="0.25">
      <c r="A24" s="35" t="s">
        <v>36</v>
      </c>
      <c r="B24" s="68">
        <v>564</v>
      </c>
      <c r="C24" s="69">
        <v>14</v>
      </c>
      <c r="D24" s="69">
        <v>490</v>
      </c>
      <c r="E24" s="69">
        <v>26</v>
      </c>
      <c r="F24" s="69">
        <v>408</v>
      </c>
      <c r="G24" s="69">
        <v>399</v>
      </c>
      <c r="H24" s="69">
        <v>52</v>
      </c>
      <c r="I24" s="69">
        <v>359</v>
      </c>
      <c r="J24" s="69">
        <v>56</v>
      </c>
      <c r="K24" s="70">
        <v>391</v>
      </c>
      <c r="L24" s="71">
        <v>318</v>
      </c>
      <c r="M24" s="69">
        <v>126</v>
      </c>
      <c r="N24" s="71">
        <v>411</v>
      </c>
      <c r="O24" s="69">
        <v>12</v>
      </c>
      <c r="P24" s="69">
        <v>397</v>
      </c>
      <c r="Q24" s="69">
        <v>44</v>
      </c>
      <c r="R24" s="69">
        <v>386</v>
      </c>
      <c r="S24" s="69">
        <v>399</v>
      </c>
      <c r="T24" s="251">
        <v>52</v>
      </c>
      <c r="U24" s="71">
        <v>389</v>
      </c>
      <c r="V24" s="71">
        <v>63</v>
      </c>
      <c r="W24" s="71">
        <v>361</v>
      </c>
      <c r="X24" s="500">
        <v>411</v>
      </c>
      <c r="Y24" s="500">
        <v>238</v>
      </c>
      <c r="Z24" s="500">
        <v>645</v>
      </c>
      <c r="AA24" s="500">
        <v>450</v>
      </c>
      <c r="AB24" s="519"/>
      <c r="AC24" s="2"/>
      <c r="AG24" s="756"/>
      <c r="AI24" s="838"/>
      <c r="AU24" s="857"/>
      <c r="AV24" s="71"/>
      <c r="AW24" s="71"/>
      <c r="AX24" s="71"/>
      <c r="AY24" s="71"/>
      <c r="AZ24" s="71"/>
      <c r="BA24" s="71"/>
      <c r="BB24" s="242"/>
      <c r="BC24" s="251"/>
      <c r="BD24" s="162"/>
      <c r="BE24" s="242"/>
      <c r="BF24" s="779"/>
      <c r="BG24" s="779"/>
      <c r="BH24" s="779"/>
      <c r="BI24" s="779"/>
      <c r="BJ24" s="779"/>
      <c r="BK24" s="784"/>
      <c r="BL24" s="783"/>
      <c r="BM24" s="783"/>
      <c r="BN24" s="783"/>
      <c r="BO24" s="766"/>
      <c r="BP24" s="783"/>
      <c r="BQ24" s="783"/>
      <c r="BR24" s="783"/>
      <c r="BS24" s="783"/>
    </row>
    <row r="25" spans="1:71" x14ac:dyDescent="0.25">
      <c r="A25" s="35" t="s">
        <v>37</v>
      </c>
      <c r="B25" s="68">
        <v>72</v>
      </c>
      <c r="C25" s="69">
        <v>6</v>
      </c>
      <c r="D25" s="69">
        <v>65</v>
      </c>
      <c r="E25" s="69">
        <v>7</v>
      </c>
      <c r="F25" s="69">
        <v>73</v>
      </c>
      <c r="G25" s="69">
        <v>69</v>
      </c>
      <c r="H25" s="69">
        <v>1</v>
      </c>
      <c r="I25" s="69">
        <v>55</v>
      </c>
      <c r="J25" s="69">
        <v>1</v>
      </c>
      <c r="K25" s="70">
        <v>83</v>
      </c>
      <c r="L25" s="71">
        <v>81</v>
      </c>
      <c r="M25" s="69">
        <v>17</v>
      </c>
      <c r="N25" s="71">
        <v>40</v>
      </c>
      <c r="O25" s="69">
        <v>13</v>
      </c>
      <c r="P25" s="69">
        <v>87</v>
      </c>
      <c r="Q25" s="69">
        <v>7</v>
      </c>
      <c r="R25" s="69">
        <v>78</v>
      </c>
      <c r="S25" s="69">
        <v>72</v>
      </c>
      <c r="T25" s="251">
        <v>6</v>
      </c>
      <c r="U25" s="71">
        <v>66</v>
      </c>
      <c r="V25" s="71">
        <v>3</v>
      </c>
      <c r="W25" s="71">
        <v>73</v>
      </c>
      <c r="X25" s="500">
        <v>87</v>
      </c>
      <c r="Y25" s="500">
        <v>79</v>
      </c>
      <c r="Z25" s="500">
        <v>133</v>
      </c>
      <c r="AA25" s="500">
        <v>84</v>
      </c>
      <c r="AB25" s="515"/>
      <c r="AC25" s="2"/>
      <c r="AG25" s="756"/>
      <c r="AI25" s="838"/>
      <c r="AU25" s="857"/>
      <c r="AV25" s="71"/>
      <c r="AW25" s="71"/>
      <c r="AX25" s="71"/>
      <c r="AY25" s="71"/>
      <c r="AZ25" s="71"/>
      <c r="BA25" s="71"/>
      <c r="BB25" s="242"/>
      <c r="BC25" s="251"/>
      <c r="BD25" s="162"/>
      <c r="BE25" s="242"/>
      <c r="BF25" s="779"/>
      <c r="BG25" s="779"/>
      <c r="BH25" s="779"/>
      <c r="BI25" s="779"/>
      <c r="BJ25" s="783"/>
      <c r="BK25" s="784"/>
      <c r="BL25" s="783"/>
      <c r="BM25" s="783"/>
      <c r="BN25" s="783"/>
      <c r="BO25" s="766"/>
      <c r="BP25" s="783"/>
      <c r="BQ25" s="783"/>
      <c r="BR25" s="783"/>
      <c r="BS25" s="783"/>
    </row>
    <row r="26" spans="1:71" x14ac:dyDescent="0.25">
      <c r="A26" s="35" t="s">
        <v>38</v>
      </c>
      <c r="B26" s="131">
        <v>34</v>
      </c>
      <c r="C26" s="69">
        <v>10</v>
      </c>
      <c r="D26" s="69">
        <v>30</v>
      </c>
      <c r="E26" s="69">
        <v>9</v>
      </c>
      <c r="F26" s="69">
        <v>27</v>
      </c>
      <c r="G26" s="69">
        <v>28</v>
      </c>
      <c r="H26" s="69">
        <v>11</v>
      </c>
      <c r="I26" s="69">
        <v>27</v>
      </c>
      <c r="J26" s="69">
        <v>6</v>
      </c>
      <c r="K26" s="70">
        <v>29</v>
      </c>
      <c r="L26" s="71">
        <v>33</v>
      </c>
      <c r="M26" s="69">
        <v>21</v>
      </c>
      <c r="N26" s="71">
        <v>39</v>
      </c>
      <c r="O26" s="69">
        <v>13</v>
      </c>
      <c r="P26" s="69">
        <v>36</v>
      </c>
      <c r="Q26" s="69">
        <v>15</v>
      </c>
      <c r="R26" s="69">
        <v>32</v>
      </c>
      <c r="S26" s="69">
        <v>48</v>
      </c>
      <c r="T26" s="251">
        <v>6</v>
      </c>
      <c r="U26" s="71">
        <v>28</v>
      </c>
      <c r="V26" s="71">
        <v>4</v>
      </c>
      <c r="W26" s="71">
        <v>31</v>
      </c>
      <c r="X26" s="500">
        <v>54</v>
      </c>
      <c r="Y26" s="500">
        <v>18</v>
      </c>
      <c r="Z26" s="500">
        <v>74</v>
      </c>
      <c r="AA26" s="500">
        <v>59</v>
      </c>
      <c r="AB26" s="515"/>
      <c r="AC26" s="2"/>
      <c r="AG26" s="756"/>
      <c r="AI26" s="838"/>
      <c r="AU26" s="857"/>
      <c r="AV26" s="71"/>
      <c r="AW26" s="71"/>
      <c r="AX26" s="71"/>
      <c r="AY26" s="71"/>
      <c r="AZ26" s="71"/>
      <c r="BA26" s="71"/>
      <c r="BB26" s="242"/>
      <c r="BC26" s="251"/>
      <c r="BD26" s="162"/>
      <c r="BE26" s="242"/>
      <c r="BF26" s="779"/>
      <c r="BG26" s="779"/>
      <c r="BH26" s="779"/>
      <c r="BI26" s="779"/>
      <c r="BJ26" s="783"/>
      <c r="BK26" s="784"/>
      <c r="BL26" s="783"/>
      <c r="BM26" s="783"/>
      <c r="BN26" s="783"/>
      <c r="BO26" s="766"/>
      <c r="BP26" s="783"/>
      <c r="BQ26" s="783"/>
      <c r="BR26" s="783"/>
      <c r="BS26" s="783"/>
    </row>
    <row r="27" spans="1:71" x14ac:dyDescent="0.25">
      <c r="A27" s="35" t="s">
        <v>39</v>
      </c>
      <c r="B27" s="131"/>
      <c r="C27" s="69"/>
      <c r="D27" s="69"/>
      <c r="E27" s="69"/>
      <c r="F27" s="69"/>
      <c r="G27" s="69"/>
      <c r="H27" s="69"/>
      <c r="I27" s="69"/>
      <c r="J27" s="69"/>
      <c r="K27" s="70"/>
      <c r="L27" s="71"/>
      <c r="M27" s="69"/>
      <c r="N27" s="71"/>
      <c r="O27" s="69"/>
      <c r="P27" s="69"/>
      <c r="Q27" s="69"/>
      <c r="R27" s="69"/>
      <c r="S27" s="69"/>
      <c r="T27" s="251"/>
      <c r="U27" s="71"/>
      <c r="V27" s="71"/>
      <c r="W27" s="71"/>
      <c r="X27" s="500"/>
      <c r="Y27" s="500"/>
      <c r="Z27" s="500"/>
      <c r="AB27" s="515"/>
      <c r="AC27" s="2"/>
      <c r="AG27" s="756"/>
      <c r="AI27" s="838"/>
      <c r="AU27" s="857"/>
      <c r="AV27" s="71"/>
      <c r="AW27" s="71"/>
      <c r="AX27" s="71"/>
      <c r="AY27" s="71"/>
      <c r="AZ27" s="71"/>
      <c r="BA27" s="71"/>
      <c r="BB27" s="242"/>
      <c r="BC27" s="251"/>
      <c r="BD27" s="162"/>
      <c r="BE27" s="242"/>
      <c r="BF27" s="779"/>
      <c r="BG27" s="779"/>
      <c r="BH27" s="779"/>
      <c r="BI27" s="783"/>
      <c r="BJ27" s="783"/>
      <c r="BK27" s="784"/>
      <c r="BL27" s="783"/>
      <c r="BM27" s="783"/>
      <c r="BN27" s="783"/>
      <c r="BO27" s="766"/>
      <c r="BP27" s="783"/>
      <c r="BQ27" s="783"/>
      <c r="BR27" s="783"/>
      <c r="BS27" s="783"/>
    </row>
    <row r="28" spans="1:71" x14ac:dyDescent="0.25">
      <c r="A28" s="35" t="s">
        <v>61</v>
      </c>
      <c r="B28" s="68"/>
      <c r="C28" s="69"/>
      <c r="D28" s="69"/>
      <c r="E28" s="69"/>
      <c r="F28" s="69"/>
      <c r="G28" s="69"/>
      <c r="H28" s="69"/>
      <c r="I28" s="69"/>
      <c r="J28" s="69"/>
      <c r="K28" s="70"/>
      <c r="L28" s="71"/>
      <c r="M28" s="69"/>
      <c r="N28" s="71"/>
      <c r="O28" s="69"/>
      <c r="P28" s="69"/>
      <c r="Q28" s="69"/>
      <c r="R28" s="69"/>
      <c r="S28" s="69"/>
      <c r="T28" s="251"/>
      <c r="U28" s="71"/>
      <c r="V28" s="71"/>
      <c r="W28" s="71"/>
      <c r="X28" s="500"/>
      <c r="Y28" s="500"/>
      <c r="Z28" s="500"/>
      <c r="AB28" s="515"/>
      <c r="AC28" s="2"/>
      <c r="AG28" s="756"/>
      <c r="AI28" s="838"/>
      <c r="AU28" s="857"/>
      <c r="AV28" s="71"/>
      <c r="AW28" s="71"/>
      <c r="AX28" s="71"/>
      <c r="AY28" s="71"/>
      <c r="AZ28" s="71"/>
      <c r="BA28" s="71"/>
      <c r="BB28" s="242"/>
      <c r="BC28" s="251"/>
      <c r="BD28" s="162"/>
      <c r="BE28" s="242"/>
      <c r="BF28" s="779"/>
      <c r="BG28" s="779"/>
      <c r="BH28" s="779"/>
      <c r="BI28" s="783"/>
      <c r="BJ28" s="783"/>
      <c r="BK28" s="784"/>
      <c r="BL28" s="783"/>
      <c r="BM28" s="783"/>
      <c r="BN28" s="783"/>
      <c r="BO28" s="766"/>
      <c r="BP28" s="783"/>
      <c r="BQ28" s="783"/>
      <c r="BR28" s="783"/>
      <c r="BS28" s="783"/>
    </row>
    <row r="29" spans="1:71" x14ac:dyDescent="0.25">
      <c r="A29" s="35" t="s">
        <v>41</v>
      </c>
      <c r="B29" s="131">
        <f t="shared" ref="B29:BE29" si="4">SUM(B24:B28)</f>
        <v>670</v>
      </c>
      <c r="C29" s="131">
        <f t="shared" si="4"/>
        <v>30</v>
      </c>
      <c r="D29" s="131">
        <f t="shared" si="4"/>
        <v>585</v>
      </c>
      <c r="E29" s="131">
        <f t="shared" si="4"/>
        <v>42</v>
      </c>
      <c r="F29" s="131">
        <f t="shared" si="4"/>
        <v>508</v>
      </c>
      <c r="G29" s="131">
        <f t="shared" si="4"/>
        <v>496</v>
      </c>
      <c r="H29" s="131">
        <f t="shared" si="4"/>
        <v>64</v>
      </c>
      <c r="I29" s="131">
        <f t="shared" si="4"/>
        <v>441</v>
      </c>
      <c r="J29" s="131">
        <f t="shared" si="4"/>
        <v>63</v>
      </c>
      <c r="K29" s="131">
        <f t="shared" si="4"/>
        <v>503</v>
      </c>
      <c r="L29" s="131">
        <f t="shared" si="4"/>
        <v>432</v>
      </c>
      <c r="M29" s="131">
        <f t="shared" si="4"/>
        <v>164</v>
      </c>
      <c r="N29" s="131">
        <f t="shared" si="4"/>
        <v>490</v>
      </c>
      <c r="O29" s="131">
        <f t="shared" si="4"/>
        <v>38</v>
      </c>
      <c r="P29" s="131">
        <f t="shared" si="4"/>
        <v>520</v>
      </c>
      <c r="Q29" s="131">
        <f t="shared" si="4"/>
        <v>66</v>
      </c>
      <c r="R29" s="131">
        <f t="shared" si="4"/>
        <v>496</v>
      </c>
      <c r="S29" s="131">
        <f t="shared" si="4"/>
        <v>519</v>
      </c>
      <c r="T29" s="131">
        <f t="shared" si="4"/>
        <v>64</v>
      </c>
      <c r="U29" s="251">
        <f t="shared" si="4"/>
        <v>483</v>
      </c>
      <c r="V29" s="131">
        <f t="shared" si="4"/>
        <v>70</v>
      </c>
      <c r="W29" s="131">
        <f t="shared" si="4"/>
        <v>465</v>
      </c>
      <c r="X29" s="131">
        <f t="shared" ref="X29:AC29" si="5">SUM(X24:X28)</f>
        <v>552</v>
      </c>
      <c r="Y29" s="131">
        <f t="shared" si="5"/>
        <v>335</v>
      </c>
      <c r="Z29" s="131">
        <f t="shared" si="5"/>
        <v>852</v>
      </c>
      <c r="AA29" s="131">
        <f t="shared" si="5"/>
        <v>593</v>
      </c>
      <c r="AB29" s="516">
        <f t="shared" si="5"/>
        <v>0</v>
      </c>
      <c r="AC29" s="131">
        <f t="shared" si="5"/>
        <v>0</v>
      </c>
      <c r="AG29" s="756"/>
      <c r="AI29" s="838"/>
      <c r="AU29" s="857"/>
      <c r="AV29" s="251">
        <f t="shared" si="4"/>
        <v>0</v>
      </c>
      <c r="AW29" s="131">
        <f t="shared" si="4"/>
        <v>0</v>
      </c>
      <c r="AX29" s="131">
        <f t="shared" si="4"/>
        <v>0</v>
      </c>
      <c r="AY29" s="131">
        <f t="shared" si="4"/>
        <v>0</v>
      </c>
      <c r="AZ29" s="131">
        <f t="shared" si="4"/>
        <v>0</v>
      </c>
      <c r="BA29" s="131">
        <f t="shared" si="4"/>
        <v>0</v>
      </c>
      <c r="BB29" s="131">
        <f t="shared" si="4"/>
        <v>0</v>
      </c>
      <c r="BC29" s="251">
        <f t="shared" si="4"/>
        <v>0</v>
      </c>
      <c r="BD29" s="251">
        <f t="shared" si="4"/>
        <v>0</v>
      </c>
      <c r="BE29" s="131">
        <f t="shared" si="4"/>
        <v>0</v>
      </c>
      <c r="BF29" s="786"/>
      <c r="BG29" s="786"/>
      <c r="BH29" s="786"/>
      <c r="BI29" s="786"/>
      <c r="BJ29" s="786"/>
      <c r="BK29" s="786"/>
      <c r="BL29" s="783"/>
      <c r="BM29" s="783"/>
      <c r="BN29" s="783"/>
      <c r="BO29" s="766"/>
      <c r="BP29" s="783"/>
      <c r="BQ29" s="783"/>
      <c r="BR29" s="783"/>
      <c r="BS29" s="783"/>
    </row>
    <row r="30" spans="1:71" x14ac:dyDescent="0.25">
      <c r="A30" s="42" t="s">
        <v>22</v>
      </c>
      <c r="B30" s="131"/>
      <c r="C30" s="71"/>
      <c r="D30" s="71"/>
      <c r="E30" s="71"/>
      <c r="F30" s="71"/>
      <c r="G30" s="71"/>
      <c r="H30" s="71"/>
      <c r="I30" s="71"/>
      <c r="J30" s="71"/>
      <c r="K30" s="162"/>
      <c r="L30" s="71"/>
      <c r="M30" s="71"/>
      <c r="N30" s="71"/>
      <c r="O30" s="71"/>
      <c r="P30" s="71"/>
      <c r="Q30" s="71"/>
      <c r="R30" s="71"/>
      <c r="S30" s="71"/>
      <c r="T30" s="251"/>
      <c r="U30" s="251"/>
      <c r="V30" s="251"/>
      <c r="W30" s="251"/>
      <c r="X30" s="500"/>
      <c r="Y30" s="500"/>
      <c r="Z30" s="500"/>
      <c r="AB30" s="515"/>
      <c r="AC30" s="2"/>
      <c r="AG30" s="756"/>
      <c r="AI30" s="838"/>
      <c r="AU30" s="857"/>
      <c r="AV30" s="71"/>
      <c r="AW30" s="71"/>
      <c r="AX30" s="71"/>
      <c r="AY30" s="71"/>
      <c r="AZ30" s="71"/>
      <c r="BA30" s="71"/>
      <c r="BB30" s="242"/>
      <c r="BC30" s="313"/>
      <c r="BD30" s="520"/>
      <c r="BE30" s="520"/>
      <c r="BF30" s="779"/>
      <c r="BG30" s="779"/>
      <c r="BH30" s="779"/>
      <c r="BI30" s="783"/>
      <c r="BJ30" s="783"/>
      <c r="BK30" s="784"/>
      <c r="BL30" s="783"/>
      <c r="BM30" s="783"/>
      <c r="BN30" s="783"/>
      <c r="BO30" s="766"/>
      <c r="BP30" s="783"/>
      <c r="BQ30" s="783"/>
      <c r="BR30" s="783"/>
      <c r="BS30" s="783"/>
    </row>
    <row r="31" spans="1:71" x14ac:dyDescent="0.25">
      <c r="A31" s="35" t="s">
        <v>36</v>
      </c>
      <c r="B31" s="131">
        <v>70</v>
      </c>
      <c r="C31" s="71">
        <v>257</v>
      </c>
      <c r="D31" s="71">
        <v>266</v>
      </c>
      <c r="E31" s="71">
        <v>250</v>
      </c>
      <c r="F31" s="71">
        <v>198</v>
      </c>
      <c r="G31" s="71">
        <v>180</v>
      </c>
      <c r="H31" s="71">
        <v>184</v>
      </c>
      <c r="I31" s="71">
        <v>136</v>
      </c>
      <c r="J31" s="71">
        <v>133</v>
      </c>
      <c r="K31" s="162">
        <v>142</v>
      </c>
      <c r="L31" s="71">
        <v>93</v>
      </c>
      <c r="M31" s="71">
        <v>8</v>
      </c>
      <c r="N31" s="71">
        <v>6</v>
      </c>
      <c r="O31" s="71">
        <v>215</v>
      </c>
      <c r="P31" s="71">
        <v>230</v>
      </c>
      <c r="Q31" s="71">
        <v>247</v>
      </c>
      <c r="R31" s="71">
        <v>235</v>
      </c>
      <c r="S31" s="71">
        <v>246</v>
      </c>
      <c r="T31" s="251">
        <v>243</v>
      </c>
      <c r="U31" s="71">
        <v>236</v>
      </c>
      <c r="V31" s="71">
        <v>238</v>
      </c>
      <c r="W31" s="71">
        <v>216</v>
      </c>
      <c r="X31" s="500">
        <v>212</v>
      </c>
      <c r="Y31" s="500">
        <v>168</v>
      </c>
      <c r="Z31" s="500">
        <v>148</v>
      </c>
      <c r="AA31" s="500">
        <v>63</v>
      </c>
      <c r="AB31" s="519"/>
      <c r="AC31" s="2"/>
      <c r="AG31" s="756"/>
      <c r="AI31" s="838"/>
      <c r="AU31" s="857"/>
      <c r="AV31" s="71"/>
      <c r="AW31" s="71"/>
      <c r="AX31" s="71"/>
      <c r="AY31" s="71"/>
      <c r="AZ31" s="71"/>
      <c r="BA31" s="71"/>
      <c r="BB31" s="242"/>
      <c r="BC31" s="251"/>
      <c r="BD31" s="162"/>
      <c r="BE31" s="242"/>
      <c r="BF31" s="779"/>
      <c r="BG31" s="779"/>
      <c r="BH31" s="779"/>
      <c r="BI31" s="779"/>
      <c r="BJ31" s="779"/>
      <c r="BK31" s="784"/>
      <c r="BL31" s="783"/>
      <c r="BM31" s="783"/>
      <c r="BN31" s="783"/>
      <c r="BO31" s="766"/>
      <c r="BP31" s="783"/>
      <c r="BQ31" s="783"/>
      <c r="BR31" s="783"/>
      <c r="BS31" s="783"/>
    </row>
    <row r="32" spans="1:71" x14ac:dyDescent="0.25">
      <c r="A32" s="35" t="s">
        <v>37</v>
      </c>
      <c r="B32" s="131">
        <v>12</v>
      </c>
      <c r="C32" s="71">
        <v>25</v>
      </c>
      <c r="D32" s="71">
        <v>26</v>
      </c>
      <c r="E32" s="71">
        <v>35</v>
      </c>
      <c r="F32" s="71">
        <v>42</v>
      </c>
      <c r="G32" s="71">
        <v>40</v>
      </c>
      <c r="H32" s="71">
        <v>44</v>
      </c>
      <c r="I32" s="71">
        <v>39</v>
      </c>
      <c r="J32" s="71">
        <v>27</v>
      </c>
      <c r="K32" s="162">
        <v>27</v>
      </c>
      <c r="L32" s="71">
        <v>25</v>
      </c>
      <c r="M32" s="71">
        <v>0</v>
      </c>
      <c r="N32" s="71">
        <v>2</v>
      </c>
      <c r="O32" s="71">
        <v>23</v>
      </c>
      <c r="P32" s="71">
        <v>31</v>
      </c>
      <c r="Q32" s="71">
        <v>60</v>
      </c>
      <c r="R32" s="71">
        <v>61</v>
      </c>
      <c r="S32" s="71">
        <v>57</v>
      </c>
      <c r="T32" s="251">
        <v>57</v>
      </c>
      <c r="U32" s="71">
        <v>56</v>
      </c>
      <c r="V32" s="71">
        <v>49</v>
      </c>
      <c r="W32" s="71">
        <v>50</v>
      </c>
      <c r="X32" s="500">
        <v>64</v>
      </c>
      <c r="Y32" s="500">
        <v>62</v>
      </c>
      <c r="Z32" s="500">
        <v>51</v>
      </c>
      <c r="AA32" s="500">
        <v>84</v>
      </c>
      <c r="AB32" s="515"/>
      <c r="AC32" s="2"/>
      <c r="AG32" s="756"/>
      <c r="AI32" s="838"/>
      <c r="AU32" s="857"/>
      <c r="AV32" s="71"/>
      <c r="AW32" s="71"/>
      <c r="AX32" s="71"/>
      <c r="AY32" s="71"/>
      <c r="AZ32" s="71"/>
      <c r="BA32" s="71"/>
      <c r="BB32" s="242"/>
      <c r="BC32" s="251"/>
      <c r="BD32" s="162"/>
      <c r="BE32" s="242"/>
      <c r="BF32" s="779"/>
      <c r="BG32" s="779"/>
      <c r="BH32" s="779"/>
      <c r="BI32" s="779"/>
      <c r="BJ32" s="783"/>
      <c r="BK32" s="784"/>
      <c r="BL32" s="783"/>
      <c r="BM32" s="783"/>
      <c r="BN32" s="783"/>
      <c r="BO32" s="766"/>
      <c r="BP32" s="783"/>
      <c r="BQ32" s="783"/>
      <c r="BR32" s="783"/>
      <c r="BS32" s="783"/>
    </row>
    <row r="33" spans="1:71" x14ac:dyDescent="0.25">
      <c r="A33" s="35" t="s">
        <v>38</v>
      </c>
      <c r="B33" s="131">
        <v>4</v>
      </c>
      <c r="C33" s="71">
        <v>13</v>
      </c>
      <c r="D33" s="71">
        <v>9</v>
      </c>
      <c r="E33" s="71">
        <v>13</v>
      </c>
      <c r="F33" s="71">
        <v>8</v>
      </c>
      <c r="G33" s="71">
        <v>13</v>
      </c>
      <c r="H33" s="71">
        <v>11</v>
      </c>
      <c r="I33" s="71">
        <v>14</v>
      </c>
      <c r="J33" s="71">
        <v>14</v>
      </c>
      <c r="K33" s="162">
        <v>12</v>
      </c>
      <c r="L33" s="71">
        <v>6</v>
      </c>
      <c r="M33" s="71">
        <v>2</v>
      </c>
      <c r="N33" s="71">
        <v>7</v>
      </c>
      <c r="O33" s="71">
        <v>20</v>
      </c>
      <c r="P33" s="71">
        <v>26</v>
      </c>
      <c r="Q33" s="71">
        <v>23</v>
      </c>
      <c r="R33" s="71">
        <v>18</v>
      </c>
      <c r="S33" s="71">
        <v>21</v>
      </c>
      <c r="T33" s="251">
        <v>17</v>
      </c>
      <c r="U33" s="71">
        <v>15</v>
      </c>
      <c r="V33" s="71">
        <v>16</v>
      </c>
      <c r="W33" s="71">
        <v>12</v>
      </c>
      <c r="X33" s="500">
        <v>15</v>
      </c>
      <c r="Y33" s="500">
        <v>15</v>
      </c>
      <c r="Z33" s="500">
        <v>10</v>
      </c>
      <c r="AA33" s="500">
        <v>53</v>
      </c>
      <c r="AB33" s="515"/>
      <c r="AC33" s="2"/>
      <c r="AG33" s="756"/>
      <c r="AI33" s="838"/>
      <c r="AU33" s="857"/>
      <c r="AV33" s="71"/>
      <c r="AW33" s="71"/>
      <c r="AX33" s="71"/>
      <c r="AY33" s="71"/>
      <c r="AZ33" s="71"/>
      <c r="BA33" s="71"/>
      <c r="BB33" s="242"/>
      <c r="BC33" s="251"/>
      <c r="BD33" s="162"/>
      <c r="BE33" s="242"/>
      <c r="BF33" s="779"/>
      <c r="BG33" s="779"/>
      <c r="BH33" s="779"/>
      <c r="BI33" s="779"/>
      <c r="BJ33" s="783"/>
      <c r="BK33" s="784"/>
      <c r="BL33" s="783"/>
      <c r="BM33" s="783"/>
      <c r="BN33" s="783"/>
      <c r="BO33" s="766"/>
      <c r="BP33" s="783"/>
      <c r="BQ33" s="783"/>
      <c r="BR33" s="783"/>
      <c r="BS33" s="783"/>
    </row>
    <row r="34" spans="1:71" x14ac:dyDescent="0.25">
      <c r="A34" s="35" t="s">
        <v>39</v>
      </c>
      <c r="B34" s="131"/>
      <c r="C34" s="71"/>
      <c r="D34" s="71"/>
      <c r="E34" s="71"/>
      <c r="F34" s="71"/>
      <c r="G34" s="71"/>
      <c r="H34" s="71"/>
      <c r="I34" s="71"/>
      <c r="J34" s="71"/>
      <c r="K34" s="162"/>
      <c r="L34" s="71"/>
      <c r="M34" s="71"/>
      <c r="N34" s="71"/>
      <c r="O34" s="71"/>
      <c r="P34" s="71"/>
      <c r="Q34" s="71"/>
      <c r="R34" s="71"/>
      <c r="S34" s="71"/>
      <c r="T34" s="251"/>
      <c r="U34" s="71"/>
      <c r="V34" s="71"/>
      <c r="W34" s="71"/>
      <c r="X34" s="500"/>
      <c r="Y34" s="500"/>
      <c r="Z34" s="500"/>
      <c r="AB34" s="515"/>
      <c r="AC34" s="2"/>
      <c r="AG34" s="756"/>
      <c r="AI34" s="838"/>
      <c r="AU34" s="857"/>
      <c r="AV34" s="71"/>
      <c r="AW34" s="71"/>
      <c r="AX34" s="71"/>
      <c r="AY34" s="71"/>
      <c r="AZ34" s="71"/>
      <c r="BA34" s="71"/>
      <c r="BB34" s="242"/>
      <c r="BC34" s="251"/>
      <c r="BD34" s="162"/>
      <c r="BE34" s="242"/>
      <c r="BF34" s="779"/>
      <c r="BG34" s="779"/>
      <c r="BH34" s="779"/>
      <c r="BI34" s="783"/>
      <c r="BJ34" s="783"/>
      <c r="BK34" s="784"/>
      <c r="BL34" s="783"/>
      <c r="BM34" s="783"/>
      <c r="BN34" s="783"/>
      <c r="BO34" s="766"/>
      <c r="BP34" s="783"/>
      <c r="BQ34" s="783"/>
      <c r="BR34" s="783"/>
      <c r="BS34" s="783"/>
    </row>
    <row r="35" spans="1:71" x14ac:dyDescent="0.25">
      <c r="A35" s="35" t="s">
        <v>61</v>
      </c>
      <c r="B35" s="131"/>
      <c r="C35" s="71"/>
      <c r="D35" s="71"/>
      <c r="E35" s="71"/>
      <c r="F35" s="71"/>
      <c r="G35" s="71"/>
      <c r="H35" s="71"/>
      <c r="I35" s="71"/>
      <c r="J35" s="71"/>
      <c r="K35" s="162"/>
      <c r="L35" s="71"/>
      <c r="M35" s="71"/>
      <c r="N35" s="71"/>
      <c r="O35" s="71"/>
      <c r="P35" s="71"/>
      <c r="Q35" s="71"/>
      <c r="R35" s="71"/>
      <c r="S35" s="71"/>
      <c r="T35" s="251"/>
      <c r="U35" s="71"/>
      <c r="V35" s="71"/>
      <c r="W35" s="71"/>
      <c r="X35" s="500"/>
      <c r="Y35" s="500"/>
      <c r="Z35" s="500"/>
      <c r="AB35" s="515"/>
      <c r="AC35" s="2"/>
      <c r="AG35" s="756"/>
      <c r="AI35" s="838"/>
      <c r="AU35" s="857"/>
      <c r="AV35" s="71"/>
      <c r="AW35" s="71"/>
      <c r="AX35" s="71"/>
      <c r="AY35" s="71"/>
      <c r="AZ35" s="71"/>
      <c r="BA35" s="71"/>
      <c r="BB35" s="242"/>
      <c r="BC35" s="251"/>
      <c r="BD35" s="162"/>
      <c r="BE35" s="242"/>
      <c r="BF35" s="779"/>
      <c r="BG35" s="779"/>
      <c r="BH35" s="779"/>
      <c r="BI35" s="783"/>
      <c r="BJ35" s="783"/>
      <c r="BK35" s="784"/>
      <c r="BL35" s="783"/>
      <c r="BM35" s="783"/>
      <c r="BN35" s="783"/>
      <c r="BO35" s="766"/>
      <c r="BP35" s="783"/>
      <c r="BQ35" s="783"/>
      <c r="BR35" s="783"/>
      <c r="BS35" s="783"/>
    </row>
    <row r="36" spans="1:71" x14ac:dyDescent="0.25">
      <c r="A36" s="35" t="s">
        <v>41</v>
      </c>
      <c r="B36" s="131">
        <f t="shared" ref="B36:BE36" si="6">SUM(B31:B35)</f>
        <v>86</v>
      </c>
      <c r="C36" s="131">
        <f t="shared" si="6"/>
        <v>295</v>
      </c>
      <c r="D36" s="131">
        <f t="shared" si="6"/>
        <v>301</v>
      </c>
      <c r="E36" s="131">
        <f t="shared" si="6"/>
        <v>298</v>
      </c>
      <c r="F36" s="131">
        <f t="shared" si="6"/>
        <v>248</v>
      </c>
      <c r="G36" s="131">
        <f t="shared" si="6"/>
        <v>233</v>
      </c>
      <c r="H36" s="131">
        <f t="shared" si="6"/>
        <v>239</v>
      </c>
      <c r="I36" s="131">
        <f t="shared" si="6"/>
        <v>189</v>
      </c>
      <c r="J36" s="131">
        <f t="shared" si="6"/>
        <v>174</v>
      </c>
      <c r="K36" s="131">
        <f t="shared" si="6"/>
        <v>181</v>
      </c>
      <c r="L36" s="131">
        <f t="shared" si="6"/>
        <v>124</v>
      </c>
      <c r="M36" s="131">
        <f t="shared" si="6"/>
        <v>10</v>
      </c>
      <c r="N36" s="131">
        <f t="shared" si="6"/>
        <v>15</v>
      </c>
      <c r="O36" s="131">
        <f t="shared" si="6"/>
        <v>258</v>
      </c>
      <c r="P36" s="131">
        <f t="shared" si="6"/>
        <v>287</v>
      </c>
      <c r="Q36" s="131">
        <f t="shared" si="6"/>
        <v>330</v>
      </c>
      <c r="R36" s="131">
        <f t="shared" si="6"/>
        <v>314</v>
      </c>
      <c r="S36" s="131">
        <f t="shared" si="6"/>
        <v>324</v>
      </c>
      <c r="T36" s="131">
        <f t="shared" si="6"/>
        <v>317</v>
      </c>
      <c r="U36" s="251">
        <f t="shared" si="6"/>
        <v>307</v>
      </c>
      <c r="V36" s="131">
        <f t="shared" si="6"/>
        <v>303</v>
      </c>
      <c r="W36" s="131">
        <f t="shared" si="6"/>
        <v>278</v>
      </c>
      <c r="X36" s="131">
        <f t="shared" ref="X36:AC36" si="7">SUM(X31:X35)</f>
        <v>291</v>
      </c>
      <c r="Y36" s="131">
        <f t="shared" si="7"/>
        <v>245</v>
      </c>
      <c r="Z36" s="131">
        <f t="shared" si="7"/>
        <v>209</v>
      </c>
      <c r="AA36" s="131">
        <f t="shared" si="7"/>
        <v>200</v>
      </c>
      <c r="AB36" s="516">
        <f t="shared" si="7"/>
        <v>0</v>
      </c>
      <c r="AC36" s="131">
        <f t="shared" si="7"/>
        <v>0</v>
      </c>
      <c r="AG36" s="756"/>
      <c r="AI36" s="838"/>
      <c r="AU36" s="857"/>
      <c r="AV36" s="251">
        <f t="shared" si="6"/>
        <v>0</v>
      </c>
      <c r="AW36" s="131">
        <f t="shared" si="6"/>
        <v>0</v>
      </c>
      <c r="AX36" s="131">
        <f t="shared" si="6"/>
        <v>0</v>
      </c>
      <c r="AY36" s="131">
        <f t="shared" si="6"/>
        <v>0</v>
      </c>
      <c r="AZ36" s="131">
        <f t="shared" si="6"/>
        <v>0</v>
      </c>
      <c r="BA36" s="131">
        <f t="shared" si="6"/>
        <v>0</v>
      </c>
      <c r="BB36" s="131">
        <f t="shared" si="6"/>
        <v>0</v>
      </c>
      <c r="BC36" s="251">
        <f t="shared" si="6"/>
        <v>0</v>
      </c>
      <c r="BD36" s="251">
        <f t="shared" si="6"/>
        <v>0</v>
      </c>
      <c r="BE36" s="131">
        <f t="shared" si="6"/>
        <v>0</v>
      </c>
      <c r="BF36" s="786"/>
      <c r="BG36" s="786"/>
      <c r="BH36" s="786"/>
      <c r="BI36" s="786"/>
      <c r="BJ36" s="786"/>
      <c r="BK36" s="786"/>
      <c r="BL36" s="783"/>
      <c r="BM36" s="783"/>
      <c r="BN36" s="783"/>
      <c r="BO36" s="766"/>
      <c r="BP36" s="783"/>
      <c r="BQ36" s="783"/>
      <c r="BR36" s="783"/>
      <c r="BS36" s="783"/>
    </row>
    <row r="37" spans="1:71" x14ac:dyDescent="0.25">
      <c r="A37" s="42" t="s">
        <v>23</v>
      </c>
      <c r="B37" s="131"/>
      <c r="C37" s="71"/>
      <c r="D37" s="71"/>
      <c r="E37" s="71"/>
      <c r="F37" s="71"/>
      <c r="G37" s="71"/>
      <c r="H37" s="71"/>
      <c r="I37" s="71"/>
      <c r="J37" s="71"/>
      <c r="K37" s="162"/>
      <c r="L37" s="71"/>
      <c r="M37" s="71"/>
      <c r="N37" s="71"/>
      <c r="O37" s="71"/>
      <c r="P37" s="71"/>
      <c r="Q37" s="71"/>
      <c r="R37" s="71"/>
      <c r="S37" s="71"/>
      <c r="T37" s="251"/>
      <c r="U37" s="251"/>
      <c r="V37" s="251"/>
      <c r="W37" s="251"/>
      <c r="X37" s="500"/>
      <c r="Y37" s="500"/>
      <c r="Z37" s="500"/>
      <c r="AB37" s="515"/>
      <c r="AC37" s="2"/>
      <c r="AG37" s="756"/>
      <c r="AI37" s="838"/>
      <c r="AU37" s="857"/>
      <c r="AV37" s="71"/>
      <c r="AW37" s="71"/>
      <c r="AX37" s="71"/>
      <c r="AY37" s="71"/>
      <c r="AZ37" s="71"/>
      <c r="BA37" s="71"/>
      <c r="BB37" s="242"/>
      <c r="BC37" s="313"/>
      <c r="BD37" s="520"/>
      <c r="BE37" s="520"/>
      <c r="BF37" s="779"/>
      <c r="BG37" s="779"/>
      <c r="BH37" s="779"/>
      <c r="BI37" s="783"/>
      <c r="BJ37" s="783"/>
      <c r="BK37" s="784"/>
      <c r="BL37" s="783"/>
      <c r="BM37" s="783"/>
      <c r="BN37" s="783"/>
      <c r="BO37" s="766"/>
      <c r="BP37" s="783"/>
      <c r="BQ37" s="783"/>
      <c r="BR37" s="783"/>
      <c r="BS37" s="783"/>
    </row>
    <row r="38" spans="1:71" x14ac:dyDescent="0.25">
      <c r="A38" s="35" t="s">
        <v>36</v>
      </c>
      <c r="B38" s="131">
        <v>37</v>
      </c>
      <c r="C38" s="71">
        <v>68</v>
      </c>
      <c r="D38" s="71">
        <v>145</v>
      </c>
      <c r="E38" s="71">
        <v>177</v>
      </c>
      <c r="F38" s="71">
        <v>169</v>
      </c>
      <c r="G38" s="71">
        <v>161</v>
      </c>
      <c r="H38" s="71">
        <v>162</v>
      </c>
      <c r="I38" s="71">
        <v>149</v>
      </c>
      <c r="J38" s="71">
        <v>123</v>
      </c>
      <c r="K38" s="162">
        <v>60</v>
      </c>
      <c r="L38" s="71">
        <v>43</v>
      </c>
      <c r="M38" s="71">
        <v>51</v>
      </c>
      <c r="N38" s="71">
        <v>67</v>
      </c>
      <c r="O38" s="71">
        <v>38</v>
      </c>
      <c r="P38" s="71">
        <v>234</v>
      </c>
      <c r="Q38" s="71">
        <v>291</v>
      </c>
      <c r="R38" s="71">
        <v>315</v>
      </c>
      <c r="S38" s="71">
        <v>335</v>
      </c>
      <c r="T38" s="251">
        <v>305</v>
      </c>
      <c r="U38" s="71">
        <v>323</v>
      </c>
      <c r="V38" s="71">
        <v>331</v>
      </c>
      <c r="W38" s="71">
        <v>299</v>
      </c>
      <c r="X38" s="500">
        <v>287</v>
      </c>
      <c r="Y38" s="500">
        <v>242</v>
      </c>
      <c r="Z38" s="500">
        <v>135</v>
      </c>
      <c r="AA38" s="500">
        <v>139</v>
      </c>
      <c r="AB38" s="515"/>
      <c r="AC38" s="2"/>
      <c r="AG38" s="756"/>
      <c r="AI38" s="838"/>
      <c r="AU38" s="857"/>
      <c r="AV38" s="71"/>
      <c r="AW38" s="71"/>
      <c r="AX38" s="71"/>
      <c r="AY38" s="71"/>
      <c r="AZ38" s="71"/>
      <c r="BA38" s="71"/>
      <c r="BB38" s="242"/>
      <c r="BC38" s="251"/>
      <c r="BD38" s="162"/>
      <c r="BE38" s="242"/>
      <c r="BF38" s="779"/>
      <c r="BG38" s="779"/>
      <c r="BH38" s="779"/>
      <c r="BI38" s="779"/>
      <c r="BJ38" s="783"/>
      <c r="BK38" s="784"/>
      <c r="BL38" s="783"/>
      <c r="BM38" s="783"/>
      <c r="BN38" s="783"/>
      <c r="BO38" s="766"/>
      <c r="BP38" s="783"/>
      <c r="BQ38" s="783"/>
      <c r="BR38" s="783"/>
      <c r="BS38" s="783"/>
    </row>
    <row r="39" spans="1:71" x14ac:dyDescent="0.25">
      <c r="A39" s="35" t="s">
        <v>37</v>
      </c>
      <c r="B39" s="131">
        <v>7</v>
      </c>
      <c r="C39" s="71">
        <v>11</v>
      </c>
      <c r="D39" s="71">
        <v>19</v>
      </c>
      <c r="E39" s="71">
        <v>20</v>
      </c>
      <c r="F39" s="71">
        <v>34</v>
      </c>
      <c r="G39" s="71">
        <v>41</v>
      </c>
      <c r="H39" s="71">
        <v>45</v>
      </c>
      <c r="I39" s="71">
        <v>51</v>
      </c>
      <c r="J39" s="71">
        <v>34</v>
      </c>
      <c r="K39" s="162">
        <v>20</v>
      </c>
      <c r="L39" s="71">
        <v>13</v>
      </c>
      <c r="M39" s="71">
        <v>15</v>
      </c>
      <c r="N39" s="71">
        <v>16</v>
      </c>
      <c r="O39" s="71">
        <v>8</v>
      </c>
      <c r="P39" s="71">
        <v>32</v>
      </c>
      <c r="Q39" s="71">
        <v>44</v>
      </c>
      <c r="R39" s="71">
        <v>77</v>
      </c>
      <c r="S39" s="71">
        <v>96</v>
      </c>
      <c r="T39" s="251">
        <v>99</v>
      </c>
      <c r="U39" s="71">
        <v>95</v>
      </c>
      <c r="V39" s="71">
        <v>78</v>
      </c>
      <c r="W39" s="71">
        <v>65</v>
      </c>
      <c r="X39" s="500">
        <v>75</v>
      </c>
      <c r="Y39" s="500">
        <v>71</v>
      </c>
      <c r="Z39" s="500">
        <v>38</v>
      </c>
      <c r="AA39" s="500">
        <v>20</v>
      </c>
      <c r="AB39" s="515"/>
      <c r="AC39" s="2"/>
      <c r="AG39" s="756"/>
      <c r="AI39" s="838"/>
      <c r="AU39" s="857"/>
      <c r="AV39" s="71"/>
      <c r="AW39" s="71"/>
      <c r="AX39" s="71"/>
      <c r="AY39" s="71"/>
      <c r="AZ39" s="71"/>
      <c r="BA39" s="71"/>
      <c r="BB39" s="242"/>
      <c r="BC39" s="251"/>
      <c r="BD39" s="162"/>
      <c r="BE39" s="242"/>
      <c r="BF39" s="779"/>
      <c r="BG39" s="779"/>
      <c r="BH39" s="779"/>
      <c r="BI39" s="779"/>
      <c r="BJ39" s="783"/>
      <c r="BK39" s="784"/>
      <c r="BL39" s="783"/>
      <c r="BM39" s="783"/>
      <c r="BN39" s="783"/>
      <c r="BO39" s="766"/>
      <c r="BP39" s="783"/>
      <c r="BQ39" s="783"/>
      <c r="BR39" s="783"/>
      <c r="BS39" s="783"/>
    </row>
    <row r="40" spans="1:71" x14ac:dyDescent="0.25">
      <c r="A40" s="35" t="s">
        <v>38</v>
      </c>
      <c r="B40" s="337">
        <v>3</v>
      </c>
      <c r="C40" s="71">
        <v>4</v>
      </c>
      <c r="D40" s="71">
        <v>6</v>
      </c>
      <c r="E40" s="71">
        <v>10</v>
      </c>
      <c r="F40" s="71">
        <v>10</v>
      </c>
      <c r="G40" s="71">
        <v>7</v>
      </c>
      <c r="H40" s="71">
        <v>6</v>
      </c>
      <c r="I40" s="71">
        <v>7</v>
      </c>
      <c r="J40" s="71">
        <v>13</v>
      </c>
      <c r="K40" s="162">
        <v>16</v>
      </c>
      <c r="L40" s="71">
        <v>9</v>
      </c>
      <c r="M40" s="71">
        <v>8</v>
      </c>
      <c r="N40" s="71">
        <v>11</v>
      </c>
      <c r="O40" s="71">
        <v>11</v>
      </c>
      <c r="P40" s="71">
        <v>25</v>
      </c>
      <c r="Q40" s="71">
        <v>31</v>
      </c>
      <c r="R40" s="71">
        <v>27</v>
      </c>
      <c r="S40" s="71">
        <v>27</v>
      </c>
      <c r="T40" s="251">
        <v>21</v>
      </c>
      <c r="U40" s="71">
        <v>22</v>
      </c>
      <c r="V40" s="71">
        <v>20</v>
      </c>
      <c r="W40" s="71">
        <v>18</v>
      </c>
      <c r="X40" s="500">
        <v>19</v>
      </c>
      <c r="Y40" s="500">
        <v>15</v>
      </c>
      <c r="Z40" s="500">
        <v>12</v>
      </c>
      <c r="AA40" s="500">
        <v>5</v>
      </c>
      <c r="AB40" s="515"/>
      <c r="AC40" s="2"/>
      <c r="AG40" s="756"/>
      <c r="AI40" s="838"/>
      <c r="AU40" s="857"/>
      <c r="AV40" s="71"/>
      <c r="AW40" s="71"/>
      <c r="AX40" s="71"/>
      <c r="AY40" s="71"/>
      <c r="AZ40" s="71"/>
      <c r="BA40" s="71"/>
      <c r="BB40" s="242"/>
      <c r="BC40" s="251"/>
      <c r="BD40" s="162"/>
      <c r="BE40" s="242"/>
      <c r="BF40" s="779"/>
      <c r="BG40" s="779"/>
      <c r="BH40" s="779"/>
      <c r="BI40" s="779"/>
      <c r="BJ40" s="783"/>
      <c r="BK40" s="784"/>
      <c r="BL40" s="783"/>
      <c r="BM40" s="783"/>
      <c r="BN40" s="783"/>
      <c r="BO40" s="766"/>
      <c r="BP40" s="783"/>
      <c r="BQ40" s="783"/>
      <c r="BR40" s="783"/>
      <c r="BS40" s="783"/>
    </row>
    <row r="41" spans="1:71" x14ac:dyDescent="0.25">
      <c r="A41" s="35" t="s">
        <v>39</v>
      </c>
      <c r="B41" s="337"/>
      <c r="C41" s="71"/>
      <c r="D41" s="71"/>
      <c r="E41" s="71"/>
      <c r="F41" s="71"/>
      <c r="G41" s="71"/>
      <c r="H41" s="71"/>
      <c r="I41" s="71"/>
      <c r="J41" s="71"/>
      <c r="K41" s="162"/>
      <c r="L41" s="71"/>
      <c r="M41" s="71"/>
      <c r="N41" s="71"/>
      <c r="O41" s="71"/>
      <c r="P41" s="71"/>
      <c r="Q41" s="71"/>
      <c r="R41" s="71"/>
      <c r="S41" s="71"/>
      <c r="T41" s="251"/>
      <c r="U41" s="71"/>
      <c r="V41" s="71"/>
      <c r="W41" s="71"/>
      <c r="X41" s="500"/>
      <c r="Y41" s="500"/>
      <c r="Z41" s="500"/>
      <c r="AB41" s="515"/>
      <c r="AC41" s="2"/>
      <c r="AG41" s="756"/>
      <c r="AI41" s="838"/>
      <c r="AU41" s="857"/>
      <c r="AV41" s="71"/>
      <c r="AW41" s="71"/>
      <c r="AX41" s="71"/>
      <c r="AY41" s="71"/>
      <c r="AZ41" s="71"/>
      <c r="BA41" s="71"/>
      <c r="BB41" s="242"/>
      <c r="BC41" s="251"/>
      <c r="BD41" s="162"/>
      <c r="BE41" s="242"/>
      <c r="BF41" s="779"/>
      <c r="BG41" s="779"/>
      <c r="BH41" s="779"/>
      <c r="BI41" s="783"/>
      <c r="BJ41" s="783"/>
      <c r="BK41" s="784"/>
      <c r="BL41" s="783"/>
      <c r="BM41" s="783"/>
      <c r="BN41" s="783"/>
      <c r="BO41" s="766"/>
      <c r="BP41" s="783"/>
      <c r="BQ41" s="783"/>
      <c r="BR41" s="783"/>
      <c r="BS41" s="783"/>
    </row>
    <row r="42" spans="1:71" x14ac:dyDescent="0.25">
      <c r="A42" s="35" t="s">
        <v>61</v>
      </c>
      <c r="B42" s="131"/>
      <c r="C42" s="71"/>
      <c r="D42" s="71"/>
      <c r="E42" s="71"/>
      <c r="F42" s="71"/>
      <c r="G42" s="71"/>
      <c r="H42" s="71"/>
      <c r="I42" s="71"/>
      <c r="J42" s="71"/>
      <c r="K42" s="162"/>
      <c r="L42" s="71"/>
      <c r="M42" s="71"/>
      <c r="N42" s="71"/>
      <c r="O42" s="71"/>
      <c r="P42" s="71"/>
      <c r="Q42" s="71"/>
      <c r="R42" s="71"/>
      <c r="S42" s="71"/>
      <c r="T42" s="251"/>
      <c r="U42" s="71"/>
      <c r="V42" s="71"/>
      <c r="W42" s="71"/>
      <c r="X42" s="500"/>
      <c r="Y42" s="500"/>
      <c r="Z42" s="500"/>
      <c r="AB42" s="515"/>
      <c r="AC42" s="2"/>
      <c r="AG42" s="756"/>
      <c r="AI42" s="838"/>
      <c r="AU42" s="857"/>
      <c r="AV42" s="71"/>
      <c r="AW42" s="71"/>
      <c r="AX42" s="71"/>
      <c r="AY42" s="71"/>
      <c r="AZ42" s="71"/>
      <c r="BA42" s="71"/>
      <c r="BB42" s="242"/>
      <c r="BC42" s="251"/>
      <c r="BD42" s="162"/>
      <c r="BE42" s="242"/>
      <c r="BF42" s="779"/>
      <c r="BG42" s="779"/>
      <c r="BH42" s="779"/>
      <c r="BI42" s="783"/>
      <c r="BJ42" s="783"/>
      <c r="BK42" s="784"/>
      <c r="BL42" s="783"/>
      <c r="BM42" s="783"/>
      <c r="BN42" s="783"/>
      <c r="BO42" s="766"/>
      <c r="BP42" s="783"/>
      <c r="BQ42" s="783"/>
      <c r="BR42" s="783"/>
      <c r="BS42" s="783"/>
    </row>
    <row r="43" spans="1:71" ht="15.75" thickBot="1" x14ac:dyDescent="0.3">
      <c r="A43" s="37" t="s">
        <v>41</v>
      </c>
      <c r="B43" s="122">
        <f t="shared" ref="B43:BE43" si="8">SUM(B38:B42)</f>
        <v>47</v>
      </c>
      <c r="C43" s="122">
        <f t="shared" si="8"/>
        <v>83</v>
      </c>
      <c r="D43" s="122">
        <f t="shared" si="8"/>
        <v>170</v>
      </c>
      <c r="E43" s="122">
        <f t="shared" si="8"/>
        <v>207</v>
      </c>
      <c r="F43" s="122">
        <f t="shared" si="8"/>
        <v>213</v>
      </c>
      <c r="G43" s="122">
        <f t="shared" si="8"/>
        <v>209</v>
      </c>
      <c r="H43" s="122">
        <f t="shared" si="8"/>
        <v>213</v>
      </c>
      <c r="I43" s="122">
        <f t="shared" si="8"/>
        <v>207</v>
      </c>
      <c r="J43" s="122">
        <f t="shared" si="8"/>
        <v>170</v>
      </c>
      <c r="K43" s="122">
        <f t="shared" si="8"/>
        <v>96</v>
      </c>
      <c r="L43" s="122">
        <f t="shared" si="8"/>
        <v>65</v>
      </c>
      <c r="M43" s="122">
        <f t="shared" si="8"/>
        <v>74</v>
      </c>
      <c r="N43" s="122">
        <f t="shared" si="8"/>
        <v>94</v>
      </c>
      <c r="O43" s="122">
        <f t="shared" si="8"/>
        <v>57</v>
      </c>
      <c r="P43" s="122">
        <f t="shared" si="8"/>
        <v>291</v>
      </c>
      <c r="Q43" s="122">
        <f t="shared" si="8"/>
        <v>366</v>
      </c>
      <c r="R43" s="122">
        <f t="shared" si="8"/>
        <v>419</v>
      </c>
      <c r="S43" s="122">
        <f t="shared" si="8"/>
        <v>458</v>
      </c>
      <c r="T43" s="122">
        <f t="shared" si="8"/>
        <v>425</v>
      </c>
      <c r="U43" s="252">
        <f t="shared" si="8"/>
        <v>440</v>
      </c>
      <c r="V43" s="122">
        <f t="shared" si="8"/>
        <v>429</v>
      </c>
      <c r="W43" s="122">
        <f t="shared" si="8"/>
        <v>382</v>
      </c>
      <c r="X43" s="122">
        <f t="shared" ref="X43:AC43" si="9">SUM(X38:X42)</f>
        <v>381</v>
      </c>
      <c r="Y43" s="122">
        <f t="shared" si="9"/>
        <v>328</v>
      </c>
      <c r="Z43" s="122">
        <f t="shared" si="9"/>
        <v>185</v>
      </c>
      <c r="AA43" s="122">
        <f t="shared" si="9"/>
        <v>164</v>
      </c>
      <c r="AB43" s="521">
        <f t="shared" si="9"/>
        <v>0</v>
      </c>
      <c r="AC43" s="122">
        <f t="shared" si="9"/>
        <v>0</v>
      </c>
      <c r="AG43" s="756"/>
      <c r="AI43" s="838"/>
      <c r="AU43" s="857"/>
      <c r="AV43" s="252">
        <f t="shared" si="8"/>
        <v>0</v>
      </c>
      <c r="AW43" s="122">
        <f t="shared" si="8"/>
        <v>0</v>
      </c>
      <c r="AX43" s="122">
        <f t="shared" si="8"/>
        <v>0</v>
      </c>
      <c r="AY43" s="122">
        <f t="shared" si="8"/>
        <v>0</v>
      </c>
      <c r="AZ43" s="122">
        <f t="shared" si="8"/>
        <v>0</v>
      </c>
      <c r="BA43" s="122">
        <f t="shared" si="8"/>
        <v>0</v>
      </c>
      <c r="BB43" s="122">
        <f t="shared" si="8"/>
        <v>0</v>
      </c>
      <c r="BC43" s="252">
        <f t="shared" si="8"/>
        <v>0</v>
      </c>
      <c r="BD43" s="252">
        <f t="shared" si="8"/>
        <v>0</v>
      </c>
      <c r="BE43" s="122">
        <f t="shared" si="8"/>
        <v>0</v>
      </c>
      <c r="BF43" s="786"/>
      <c r="BG43" s="786"/>
      <c r="BH43" s="786"/>
      <c r="BI43" s="786"/>
      <c r="BJ43" s="786"/>
      <c r="BK43" s="786"/>
      <c r="BL43" s="783"/>
      <c r="BM43" s="783"/>
      <c r="BN43" s="783"/>
      <c r="BO43" s="766"/>
      <c r="BP43" s="783"/>
      <c r="BQ43" s="783"/>
      <c r="BR43" s="783"/>
      <c r="BS43" s="783"/>
    </row>
    <row r="44" spans="1:71" x14ac:dyDescent="0.25">
      <c r="A44" s="41" t="s">
        <v>29</v>
      </c>
      <c r="B44" s="154"/>
      <c r="C44" s="76"/>
      <c r="D44" s="76"/>
      <c r="E44" s="76"/>
      <c r="F44" s="76"/>
      <c r="G44" s="76"/>
      <c r="H44" s="76"/>
      <c r="I44" s="76"/>
      <c r="J44" s="76"/>
      <c r="K44" s="164"/>
      <c r="L44" s="76"/>
      <c r="M44" s="76"/>
      <c r="N44" s="76"/>
      <c r="O44" s="76"/>
      <c r="P44" s="76"/>
      <c r="Q44" s="76"/>
      <c r="R44" s="76"/>
      <c r="S44" s="76"/>
      <c r="T44" s="321"/>
      <c r="U44" s="321"/>
      <c r="V44" s="321"/>
      <c r="W44" s="321"/>
      <c r="X44" s="500"/>
      <c r="Y44" s="500"/>
      <c r="Z44" s="500"/>
      <c r="AC44" s="2"/>
      <c r="AG44" s="756"/>
      <c r="AI44" s="838"/>
      <c r="AU44" s="857"/>
      <c r="AV44" s="76"/>
      <c r="AW44" s="76"/>
      <c r="AX44" s="76"/>
      <c r="AY44" s="76"/>
      <c r="AZ44" s="76"/>
      <c r="BA44" s="76"/>
      <c r="BB44" s="253"/>
      <c r="BC44" s="314"/>
      <c r="BD44" s="522"/>
      <c r="BE44" s="522"/>
      <c r="BF44" s="779"/>
      <c r="BG44" s="779"/>
      <c r="BH44" s="779"/>
      <c r="BI44" s="783"/>
      <c r="BJ44" s="783"/>
      <c r="BK44" s="784"/>
      <c r="BL44" s="783"/>
      <c r="BM44" s="783"/>
      <c r="BN44" s="783"/>
      <c r="BO44" s="766"/>
      <c r="BP44" s="783"/>
      <c r="BQ44" s="783"/>
      <c r="BR44" s="783"/>
      <c r="BS44" s="783"/>
    </row>
    <row r="45" spans="1:71" x14ac:dyDescent="0.25">
      <c r="A45" s="35" t="s">
        <v>36</v>
      </c>
      <c r="B45" s="339">
        <v>141577.26</v>
      </c>
      <c r="C45" s="340">
        <v>84.49</v>
      </c>
      <c r="D45" s="340">
        <v>48209.3</v>
      </c>
      <c r="E45" s="341">
        <v>-4028.61</v>
      </c>
      <c r="F45" s="340">
        <v>7213.76</v>
      </c>
      <c r="G45" s="340">
        <v>3670.91</v>
      </c>
      <c r="H45" s="341">
        <v>-5412.36</v>
      </c>
      <c r="I45" s="340">
        <v>1885.4</v>
      </c>
      <c r="J45" s="341">
        <v>-4797.9799999999996</v>
      </c>
      <c r="K45" s="342">
        <v>28456.61</v>
      </c>
      <c r="L45" s="340">
        <v>35046.68</v>
      </c>
      <c r="M45" s="340">
        <v>9775.57</v>
      </c>
      <c r="N45" s="340">
        <v>78042.3</v>
      </c>
      <c r="O45" s="341">
        <v>-798.76</v>
      </c>
      <c r="P45" s="340">
        <v>35270.99</v>
      </c>
      <c r="Q45" s="341">
        <v>-311.85000000000002</v>
      </c>
      <c r="R45" s="340">
        <v>4479.5600000000004</v>
      </c>
      <c r="S45" s="340">
        <v>2241.65</v>
      </c>
      <c r="T45" s="814">
        <v>-3479.51</v>
      </c>
      <c r="U45" s="340">
        <v>5325.27</v>
      </c>
      <c r="V45" s="341">
        <v>-3478.77</v>
      </c>
      <c r="W45" s="340">
        <v>20562.13</v>
      </c>
      <c r="X45" s="523">
        <v>50689.61</v>
      </c>
      <c r="Y45" s="523">
        <v>24245.16</v>
      </c>
      <c r="Z45" s="524">
        <v>103832.01</v>
      </c>
      <c r="AA45" s="479">
        <v>-2644.5</v>
      </c>
      <c r="AB45" s="525">
        <v>47482.68</v>
      </c>
      <c r="AC45" s="588">
        <v>12070.64</v>
      </c>
      <c r="AD45" s="434">
        <v>-1352.37</v>
      </c>
      <c r="AE45" s="652">
        <v>6611.02</v>
      </c>
      <c r="AF45" s="744">
        <v>-6794.58</v>
      </c>
      <c r="AG45" s="756">
        <v>1053.53</v>
      </c>
      <c r="AH45">
        <v>-7345.42</v>
      </c>
      <c r="AI45" s="840">
        <v>40141.51</v>
      </c>
      <c r="AJ45" s="768">
        <v>55531.94</v>
      </c>
      <c r="AK45" s="768">
        <v>25074.92</v>
      </c>
      <c r="AL45" s="768">
        <v>156541.60999999999</v>
      </c>
      <c r="AM45" s="768">
        <v>-1556.62</v>
      </c>
      <c r="AN45" s="768">
        <v>52367.59</v>
      </c>
      <c r="AO45" s="882">
        <v>-3178.6</v>
      </c>
      <c r="AP45" s="768">
        <v>19645.3</v>
      </c>
      <c r="AQ45" s="882">
        <v>11615.97</v>
      </c>
      <c r="AR45" s="768"/>
      <c r="AS45" s="768"/>
      <c r="AT45" s="768"/>
      <c r="AU45" s="858"/>
      <c r="AV45" s="340"/>
      <c r="AW45" s="340"/>
      <c r="AX45" s="340"/>
      <c r="AY45" s="340"/>
      <c r="AZ45" s="340"/>
      <c r="BA45" s="79"/>
      <c r="BB45" s="254"/>
      <c r="BC45" s="109"/>
      <c r="BD45" s="110"/>
      <c r="BE45" s="254"/>
      <c r="BF45" s="787"/>
      <c r="BG45" s="787"/>
      <c r="BH45" s="788"/>
      <c r="BI45" s="789"/>
      <c r="BJ45" s="790"/>
      <c r="BK45" s="791"/>
      <c r="BL45" s="792"/>
      <c r="BM45" s="787"/>
      <c r="BN45" s="792"/>
      <c r="BO45" s="766"/>
      <c r="BP45" s="783"/>
      <c r="BQ45" s="793"/>
      <c r="BR45" s="783"/>
      <c r="BS45" s="783"/>
    </row>
    <row r="46" spans="1:71" x14ac:dyDescent="0.25">
      <c r="A46" s="35" t="s">
        <v>37</v>
      </c>
      <c r="B46" s="339">
        <v>14673.31</v>
      </c>
      <c r="C46" s="341">
        <v>-761.92</v>
      </c>
      <c r="D46" s="341">
        <v>-1414.08</v>
      </c>
      <c r="E46" s="341">
        <v>-1204.1199999999999</v>
      </c>
      <c r="F46" s="341">
        <v>-969.96</v>
      </c>
      <c r="G46" s="340">
        <v>144.02000000000001</v>
      </c>
      <c r="H46" s="341">
        <v>-257.49</v>
      </c>
      <c r="I46" s="340">
        <v>487.34</v>
      </c>
      <c r="J46" s="341">
        <v>-25</v>
      </c>
      <c r="K46" s="342">
        <v>5303.61</v>
      </c>
      <c r="L46" s="340">
        <v>7517.17</v>
      </c>
      <c r="M46" s="340">
        <v>1129.8800000000001</v>
      </c>
      <c r="N46" s="340">
        <v>3878.08</v>
      </c>
      <c r="O46" s="341">
        <v>-475</v>
      </c>
      <c r="P46" s="340">
        <v>1634.49</v>
      </c>
      <c r="Q46" s="341">
        <v>-441.15</v>
      </c>
      <c r="R46" s="340">
        <v>906.69</v>
      </c>
      <c r="S46" s="340">
        <v>877.58</v>
      </c>
      <c r="T46" s="814">
        <v>-1316.29</v>
      </c>
      <c r="U46" s="340">
        <v>569.14</v>
      </c>
      <c r="V46" s="341">
        <v>-105.45</v>
      </c>
      <c r="W46" s="340">
        <v>4100.3500000000004</v>
      </c>
      <c r="X46" s="523">
        <v>9495.69</v>
      </c>
      <c r="Y46" s="527">
        <v>8519.23</v>
      </c>
      <c r="Z46" s="527">
        <v>9692.64</v>
      </c>
      <c r="AA46" s="528">
        <v>1424.6</v>
      </c>
      <c r="AB46" s="525">
        <v>2123.44</v>
      </c>
      <c r="AC46" s="588">
        <v>-4861.17</v>
      </c>
      <c r="AD46" s="523">
        <v>190.12</v>
      </c>
      <c r="AE46" s="744">
        <v>-297.86</v>
      </c>
      <c r="AF46" s="744">
        <v>-2518.56</v>
      </c>
      <c r="AG46" s="756">
        <v>78.89</v>
      </c>
      <c r="AH46">
        <v>-66.41</v>
      </c>
      <c r="AI46" s="840">
        <v>784.69</v>
      </c>
      <c r="AJ46" s="768">
        <v>-2799.13</v>
      </c>
      <c r="AK46" s="768">
        <v>341.54</v>
      </c>
      <c r="AL46" s="768">
        <v>10181.950000000001</v>
      </c>
      <c r="AM46" s="768">
        <v>-521.44000000000005</v>
      </c>
      <c r="AN46" s="768">
        <v>2201.67</v>
      </c>
      <c r="AO46" s="882">
        <v>-14519.87</v>
      </c>
      <c r="AP46" s="882">
        <v>-7964.1</v>
      </c>
      <c r="AQ46" s="882">
        <v>-146.09</v>
      </c>
      <c r="AR46" s="768"/>
      <c r="AS46" s="768"/>
      <c r="AT46" s="768"/>
      <c r="AU46" s="858"/>
      <c r="AV46" s="340"/>
      <c r="AW46" s="340"/>
      <c r="AX46" s="340"/>
      <c r="AY46" s="340"/>
      <c r="AZ46" s="340"/>
      <c r="BA46" s="79"/>
      <c r="BB46" s="254"/>
      <c r="BC46" s="109"/>
      <c r="BD46" s="110"/>
      <c r="BE46" s="254"/>
      <c r="BF46" s="787"/>
      <c r="BG46" s="794"/>
      <c r="BH46" s="794"/>
      <c r="BI46" s="795"/>
      <c r="BJ46" s="790"/>
      <c r="BK46" s="791"/>
      <c r="BL46" s="787"/>
      <c r="BM46" s="792"/>
      <c r="BN46" s="792"/>
      <c r="BO46" s="766"/>
      <c r="BP46" s="783"/>
      <c r="BQ46" s="793"/>
      <c r="BR46" s="783"/>
      <c r="BS46" s="783"/>
    </row>
    <row r="47" spans="1:71" x14ac:dyDescent="0.25">
      <c r="A47" s="35" t="s">
        <v>38</v>
      </c>
      <c r="B47" s="339">
        <v>11721.1</v>
      </c>
      <c r="C47" s="340">
        <v>44.66</v>
      </c>
      <c r="D47" s="340">
        <v>4688.62</v>
      </c>
      <c r="E47" s="341">
        <v>-368.83</v>
      </c>
      <c r="F47" s="340">
        <v>1359.1</v>
      </c>
      <c r="G47" s="340">
        <v>2033.68</v>
      </c>
      <c r="H47" s="341">
        <v>-7367.34</v>
      </c>
      <c r="I47" s="340">
        <v>1410.45</v>
      </c>
      <c r="J47" s="341">
        <v>-646.51</v>
      </c>
      <c r="K47" s="342">
        <v>3841.44</v>
      </c>
      <c r="L47" s="340">
        <v>8955.39</v>
      </c>
      <c r="M47" s="341">
        <v>-3025.57</v>
      </c>
      <c r="N47" s="340">
        <v>9201.73</v>
      </c>
      <c r="O47" s="341">
        <v>-310.51</v>
      </c>
      <c r="P47" s="340">
        <v>5616.01</v>
      </c>
      <c r="Q47" s="341">
        <v>-544.37</v>
      </c>
      <c r="R47" s="340">
        <v>618.61</v>
      </c>
      <c r="S47" s="340">
        <v>1624.03</v>
      </c>
      <c r="T47" s="814">
        <v>-428.81</v>
      </c>
      <c r="U47" s="340">
        <v>783.28</v>
      </c>
      <c r="V47" s="341">
        <v>-391.89</v>
      </c>
      <c r="W47" s="340">
        <v>4765.71</v>
      </c>
      <c r="X47" s="523">
        <v>17030.150000000001</v>
      </c>
      <c r="Y47" s="527">
        <v>2143.12</v>
      </c>
      <c r="Z47" s="527">
        <v>30792.28</v>
      </c>
      <c r="AA47" s="528">
        <v>7935.02</v>
      </c>
      <c r="AB47" s="531">
        <v>-5111.16</v>
      </c>
      <c r="AC47" s="588">
        <v>1386.6</v>
      </c>
      <c r="AD47" s="523">
        <v>-990.7</v>
      </c>
      <c r="AE47" s="652">
        <v>2457.21</v>
      </c>
      <c r="AF47" s="744">
        <v>-119.07</v>
      </c>
      <c r="AG47" s="756">
        <v>2417.77</v>
      </c>
      <c r="AH47" s="766">
        <v>-129.97999999999999</v>
      </c>
      <c r="AI47" s="841">
        <v>30657.23</v>
      </c>
      <c r="AJ47" s="769">
        <v>10100.23</v>
      </c>
      <c r="AK47" s="769">
        <v>4580.88</v>
      </c>
      <c r="AL47" s="769">
        <v>12419.05</v>
      </c>
      <c r="AM47" s="769">
        <v>-73.89</v>
      </c>
      <c r="AN47" s="769">
        <v>17087.849999999999</v>
      </c>
      <c r="AO47" s="883">
        <v>-220.06</v>
      </c>
      <c r="AP47" s="769">
        <v>9205.65</v>
      </c>
      <c r="AQ47" s="769">
        <v>729.77</v>
      </c>
      <c r="AR47" s="769"/>
      <c r="AS47" s="769"/>
      <c r="AT47" s="769"/>
      <c r="AU47" s="859"/>
      <c r="AV47" s="340"/>
      <c r="AW47" s="340"/>
      <c r="AX47" s="340"/>
      <c r="AY47" s="340"/>
      <c r="AZ47" s="340"/>
      <c r="BA47" s="79"/>
      <c r="BB47" s="254"/>
      <c r="BC47" s="109"/>
      <c r="BD47" s="110"/>
      <c r="BE47" s="254"/>
      <c r="BF47" s="787"/>
      <c r="BG47" s="794"/>
      <c r="BH47" s="794"/>
      <c r="BI47" s="795"/>
      <c r="BJ47" s="796"/>
      <c r="BK47" s="791"/>
      <c r="BL47" s="787"/>
      <c r="BM47" s="787"/>
      <c r="BN47" s="792"/>
      <c r="BO47" s="766"/>
      <c r="BP47" s="766"/>
      <c r="BQ47" s="769"/>
      <c r="BR47" s="783"/>
      <c r="BS47" s="783"/>
    </row>
    <row r="48" spans="1:71" x14ac:dyDescent="0.25">
      <c r="A48" s="35" t="s">
        <v>39</v>
      </c>
      <c r="B48" s="339"/>
      <c r="C48" s="340"/>
      <c r="D48" s="340"/>
      <c r="E48" s="340"/>
      <c r="F48" s="340"/>
      <c r="G48" s="340"/>
      <c r="H48" s="340"/>
      <c r="I48" s="340"/>
      <c r="J48" s="340"/>
      <c r="K48" s="342"/>
      <c r="L48" s="340"/>
      <c r="M48" s="340"/>
      <c r="N48" s="340"/>
      <c r="O48" s="340"/>
      <c r="P48" s="340"/>
      <c r="Q48" s="340"/>
      <c r="R48" s="340"/>
      <c r="S48" s="340"/>
      <c r="T48" s="344"/>
      <c r="U48" s="340"/>
      <c r="V48" s="340"/>
      <c r="W48" s="340"/>
      <c r="X48" s="523"/>
      <c r="Y48" s="500"/>
      <c r="Z48" s="500"/>
      <c r="AC48" s="2"/>
      <c r="AF48" s="652"/>
      <c r="AG48" s="756"/>
      <c r="AI48" s="840"/>
      <c r="AJ48" s="768"/>
      <c r="AK48" s="768"/>
      <c r="AL48" s="768"/>
      <c r="AM48" s="768"/>
      <c r="AN48" s="768"/>
      <c r="AO48" s="768"/>
      <c r="AP48" s="768"/>
      <c r="AQ48" s="768"/>
      <c r="AR48" s="768"/>
      <c r="AS48" s="768"/>
      <c r="AT48" s="768"/>
      <c r="AU48" s="858"/>
      <c r="AV48" s="340"/>
      <c r="AW48" s="340"/>
      <c r="AX48" s="340"/>
      <c r="AY48" s="340"/>
      <c r="AZ48" s="340"/>
      <c r="BA48" s="79"/>
      <c r="BB48" s="254"/>
      <c r="BC48" s="109"/>
      <c r="BD48" s="110"/>
      <c r="BE48" s="254"/>
      <c r="BF48" s="787"/>
      <c r="BG48" s="779"/>
      <c r="BH48" s="779"/>
      <c r="BI48" s="783"/>
      <c r="BJ48" s="783"/>
      <c r="BK48" s="784"/>
      <c r="BL48" s="783"/>
      <c r="BM48" s="783"/>
      <c r="BN48" s="787"/>
      <c r="BO48" s="766"/>
      <c r="BP48" s="783"/>
      <c r="BQ48" s="793"/>
      <c r="BR48" s="783"/>
      <c r="BS48" s="783"/>
    </row>
    <row r="49" spans="1:71" x14ac:dyDescent="0.25">
      <c r="A49" s="35" t="s">
        <v>61</v>
      </c>
      <c r="B49" s="339"/>
      <c r="C49" s="340"/>
      <c r="D49" s="340"/>
      <c r="E49" s="340"/>
      <c r="F49" s="340"/>
      <c r="G49" s="340"/>
      <c r="H49" s="340"/>
      <c r="I49" s="340"/>
      <c r="J49" s="340"/>
      <c r="K49" s="342"/>
      <c r="L49" s="340"/>
      <c r="M49" s="340"/>
      <c r="N49" s="340"/>
      <c r="O49" s="340"/>
      <c r="P49" s="340"/>
      <c r="Q49" s="340"/>
      <c r="R49" s="340"/>
      <c r="S49" s="340"/>
      <c r="T49" s="344"/>
      <c r="U49" s="340"/>
      <c r="V49" s="340"/>
      <c r="W49" s="340"/>
      <c r="X49" s="523"/>
      <c r="Y49" s="526"/>
      <c r="Z49" s="526"/>
      <c r="AC49" s="2"/>
      <c r="AG49" s="756"/>
      <c r="AI49" s="840"/>
      <c r="AJ49" s="768"/>
      <c r="AK49" s="768"/>
      <c r="AL49" s="768"/>
      <c r="AM49" s="768"/>
      <c r="AN49" s="768"/>
      <c r="AO49" s="768"/>
      <c r="AP49" s="768"/>
      <c r="AQ49" s="768"/>
      <c r="AR49" s="768"/>
      <c r="AS49" s="768"/>
      <c r="AT49" s="768"/>
      <c r="AU49" s="858"/>
      <c r="AV49" s="340"/>
      <c r="AW49" s="340"/>
      <c r="AX49" s="340"/>
      <c r="AY49" s="340"/>
      <c r="AZ49" s="340"/>
      <c r="BA49" s="79"/>
      <c r="BB49" s="254"/>
      <c r="BC49" s="109"/>
      <c r="BD49" s="110"/>
      <c r="BE49" s="254"/>
      <c r="BF49" s="787"/>
      <c r="BG49" s="797"/>
      <c r="BH49" s="797"/>
      <c r="BI49" s="783"/>
      <c r="BJ49" s="783"/>
      <c r="BK49" s="784"/>
      <c r="BL49" s="783"/>
      <c r="BM49" s="783"/>
      <c r="BN49" s="783"/>
      <c r="BO49" s="766"/>
      <c r="BP49" s="783"/>
      <c r="BQ49" s="793"/>
      <c r="BR49" s="783"/>
      <c r="BS49" s="783"/>
    </row>
    <row r="50" spans="1:71" x14ac:dyDescent="0.25">
      <c r="A50" s="35" t="s">
        <v>41</v>
      </c>
      <c r="B50" s="339">
        <f t="shared" ref="B50:BE50" si="10">SUM(B45:B49)</f>
        <v>167971.67</v>
      </c>
      <c r="C50" s="343">
        <f t="shared" si="10"/>
        <v>-632.77</v>
      </c>
      <c r="D50" s="339">
        <f t="shared" si="10"/>
        <v>51483.840000000004</v>
      </c>
      <c r="E50" s="343">
        <f t="shared" si="10"/>
        <v>-5601.5599999999995</v>
      </c>
      <c r="F50" s="339">
        <f t="shared" si="10"/>
        <v>7602.9</v>
      </c>
      <c r="G50" s="339">
        <f t="shared" si="10"/>
        <v>5848.61</v>
      </c>
      <c r="H50" s="343">
        <f t="shared" si="10"/>
        <v>-13037.189999999999</v>
      </c>
      <c r="I50" s="339">
        <f t="shared" si="10"/>
        <v>3783.1900000000005</v>
      </c>
      <c r="J50" s="343">
        <f t="shared" si="10"/>
        <v>-5469.49</v>
      </c>
      <c r="K50" s="339">
        <f t="shared" si="10"/>
        <v>37601.660000000003</v>
      </c>
      <c r="L50" s="339">
        <f t="shared" si="10"/>
        <v>51519.24</v>
      </c>
      <c r="M50" s="339">
        <f t="shared" si="10"/>
        <v>7879.880000000001</v>
      </c>
      <c r="N50" s="339">
        <f t="shared" si="10"/>
        <v>91122.11</v>
      </c>
      <c r="O50" s="343">
        <f t="shared" si="10"/>
        <v>-1584.27</v>
      </c>
      <c r="P50" s="339">
        <f t="shared" si="10"/>
        <v>42521.49</v>
      </c>
      <c r="Q50" s="343">
        <f t="shared" si="10"/>
        <v>-1297.3699999999999</v>
      </c>
      <c r="R50" s="339">
        <f t="shared" si="10"/>
        <v>6004.86</v>
      </c>
      <c r="S50" s="339">
        <f t="shared" si="10"/>
        <v>4743.26</v>
      </c>
      <c r="T50" s="343">
        <f t="shared" si="10"/>
        <v>-5224.6100000000006</v>
      </c>
      <c r="U50" s="344">
        <f t="shared" si="10"/>
        <v>6677.6900000000005</v>
      </c>
      <c r="V50" s="343">
        <f t="shared" si="10"/>
        <v>-3976.1099999999997</v>
      </c>
      <c r="W50" s="339">
        <f t="shared" si="10"/>
        <v>29428.190000000002</v>
      </c>
      <c r="X50" s="339">
        <f t="shared" ref="X50:AG50" si="11">SUM(X45:X49)</f>
        <v>77215.450000000012</v>
      </c>
      <c r="Y50" s="339">
        <f t="shared" si="11"/>
        <v>34907.51</v>
      </c>
      <c r="Z50" s="339">
        <f t="shared" si="11"/>
        <v>144316.93</v>
      </c>
      <c r="AA50" s="339">
        <f t="shared" si="11"/>
        <v>6715.1200000000008</v>
      </c>
      <c r="AB50" s="339">
        <f t="shared" si="11"/>
        <v>44494.960000000006</v>
      </c>
      <c r="AC50" s="339">
        <f t="shared" si="11"/>
        <v>8596.07</v>
      </c>
      <c r="AD50" s="339">
        <f t="shared" si="11"/>
        <v>-2152.9499999999998</v>
      </c>
      <c r="AE50" s="339">
        <f t="shared" si="11"/>
        <v>8770.3700000000008</v>
      </c>
      <c r="AF50" s="343">
        <f t="shared" si="11"/>
        <v>-9432.2099999999991</v>
      </c>
      <c r="AG50" s="759">
        <f t="shared" si="11"/>
        <v>3550.19</v>
      </c>
      <c r="AH50">
        <v>-7541.81</v>
      </c>
      <c r="AI50" s="840">
        <f>SUM(AI45:AI47)</f>
        <v>71583.430000000008</v>
      </c>
      <c r="AJ50" s="768">
        <v>62833.04</v>
      </c>
      <c r="AK50" s="768">
        <f>SUM(AK45:AK49)</f>
        <v>29997.34</v>
      </c>
      <c r="AL50" s="768">
        <f>SUM(AL45:AL49)</f>
        <v>179142.61</v>
      </c>
      <c r="AM50" s="768">
        <f>SUM(AM45:AM49)</f>
        <v>-2151.9499999999998</v>
      </c>
      <c r="AN50" s="768">
        <v>71657.11</v>
      </c>
      <c r="AO50" s="882">
        <f>SUM(AO45:AO47)</f>
        <v>-17918.530000000002</v>
      </c>
      <c r="AP50" s="768">
        <v>20886.849999999999</v>
      </c>
      <c r="AQ50" s="768">
        <v>12199.65</v>
      </c>
      <c r="AR50" s="768"/>
      <c r="AS50" s="768"/>
      <c r="AT50" s="768"/>
      <c r="AU50" s="858"/>
      <c r="AV50" s="344">
        <f t="shared" si="10"/>
        <v>0</v>
      </c>
      <c r="AW50" s="339">
        <f t="shared" si="10"/>
        <v>0</v>
      </c>
      <c r="AX50" s="339">
        <f t="shared" si="10"/>
        <v>0</v>
      </c>
      <c r="AY50" s="339">
        <f t="shared" si="10"/>
        <v>0</v>
      </c>
      <c r="AZ50" s="339">
        <f t="shared" si="10"/>
        <v>0</v>
      </c>
      <c r="BA50" s="339">
        <f t="shared" si="10"/>
        <v>0</v>
      </c>
      <c r="BB50" s="339">
        <f t="shared" si="10"/>
        <v>0</v>
      </c>
      <c r="BC50" s="344">
        <f t="shared" si="10"/>
        <v>0</v>
      </c>
      <c r="BD50" s="344">
        <f t="shared" si="10"/>
        <v>0</v>
      </c>
      <c r="BE50" s="339">
        <f t="shared" si="10"/>
        <v>0</v>
      </c>
      <c r="BF50" s="593"/>
      <c r="BG50" s="593"/>
      <c r="BH50" s="593"/>
      <c r="BI50" s="593"/>
      <c r="BJ50" s="593"/>
      <c r="BK50" s="593"/>
      <c r="BL50" s="593"/>
      <c r="BM50" s="593"/>
      <c r="BN50" s="792"/>
      <c r="BO50" s="787"/>
      <c r="BP50" s="783"/>
      <c r="BQ50" s="793"/>
      <c r="BR50" s="783"/>
      <c r="BS50" s="783"/>
    </row>
    <row r="51" spans="1:71" x14ac:dyDescent="0.25">
      <c r="A51" s="42" t="s">
        <v>30</v>
      </c>
      <c r="B51" s="339"/>
      <c r="C51" s="340"/>
      <c r="D51" s="340"/>
      <c r="E51" s="340"/>
      <c r="F51" s="340"/>
      <c r="G51" s="340"/>
      <c r="H51" s="340"/>
      <c r="I51" s="340"/>
      <c r="J51" s="340"/>
      <c r="K51" s="342"/>
      <c r="L51" s="340"/>
      <c r="M51" s="340"/>
      <c r="N51" s="340"/>
      <c r="O51" s="340"/>
      <c r="P51" s="340"/>
      <c r="Q51" s="340"/>
      <c r="R51" s="340"/>
      <c r="S51" s="340"/>
      <c r="T51" s="344"/>
      <c r="U51" s="344"/>
      <c r="V51" s="344"/>
      <c r="W51" s="344"/>
      <c r="X51" s="523"/>
      <c r="Y51" s="529"/>
      <c r="Z51" s="529"/>
      <c r="AA51" s="530"/>
      <c r="AC51" s="2"/>
      <c r="AF51" s="744"/>
      <c r="AG51" s="756"/>
      <c r="AI51" s="840"/>
      <c r="AJ51" s="768"/>
      <c r="AK51" s="768"/>
      <c r="AL51" s="768"/>
      <c r="AM51" s="768"/>
      <c r="AN51" s="768"/>
      <c r="AO51" s="768"/>
      <c r="AP51" s="768"/>
      <c r="AQ51" s="768"/>
      <c r="AR51" s="768"/>
      <c r="AS51" s="768"/>
      <c r="AT51" s="768"/>
      <c r="AU51" s="858"/>
      <c r="AV51" s="340"/>
      <c r="AW51" s="340"/>
      <c r="AX51" s="340"/>
      <c r="AY51" s="340"/>
      <c r="AZ51" s="340"/>
      <c r="BA51" s="79"/>
      <c r="BB51" s="254"/>
      <c r="BC51" s="314"/>
      <c r="BD51" s="522"/>
      <c r="BE51" s="522"/>
      <c r="BF51" s="787"/>
      <c r="BG51" s="798"/>
      <c r="BH51" s="798"/>
      <c r="BI51" s="799"/>
      <c r="BJ51" s="783"/>
      <c r="BK51" s="784"/>
      <c r="BL51" s="783"/>
      <c r="BM51" s="783"/>
      <c r="BN51" s="792"/>
      <c r="BO51" s="766"/>
      <c r="BP51" s="783"/>
      <c r="BQ51" s="793"/>
      <c r="BR51" s="783"/>
      <c r="BS51" s="783"/>
    </row>
    <row r="52" spans="1:71" x14ac:dyDescent="0.25">
      <c r="A52" s="35" t="s">
        <v>36</v>
      </c>
      <c r="B52" s="339">
        <v>4223.99</v>
      </c>
      <c r="C52" s="340">
        <v>46184.57</v>
      </c>
      <c r="D52" s="340">
        <v>34202.15</v>
      </c>
      <c r="E52" s="340">
        <v>20643.28</v>
      </c>
      <c r="F52" s="340">
        <v>3826.83</v>
      </c>
      <c r="G52" s="383">
        <v>1872.47</v>
      </c>
      <c r="H52" s="341">
        <v>-1627.98</v>
      </c>
      <c r="I52" s="341">
        <v>-1713.46</v>
      </c>
      <c r="J52" s="341">
        <v>-120.45</v>
      </c>
      <c r="K52" s="342">
        <v>3058.6</v>
      </c>
      <c r="L52" s="340">
        <v>4332.93</v>
      </c>
      <c r="M52" s="341">
        <v>-517.52</v>
      </c>
      <c r="N52" s="341">
        <v>-577.05999999999995</v>
      </c>
      <c r="O52" s="340">
        <v>36365.32</v>
      </c>
      <c r="P52" s="340">
        <v>23148.32</v>
      </c>
      <c r="Q52" s="340">
        <v>20393.43</v>
      </c>
      <c r="R52" s="340">
        <v>7581.99</v>
      </c>
      <c r="S52" s="340">
        <v>1596.8</v>
      </c>
      <c r="T52" s="814">
        <v>-454.89</v>
      </c>
      <c r="U52" s="341">
        <v>-1663.41</v>
      </c>
      <c r="V52" s="340">
        <v>1425.56</v>
      </c>
      <c r="W52" s="340">
        <v>4412.6499999999996</v>
      </c>
      <c r="X52" s="523">
        <v>9346.89</v>
      </c>
      <c r="Y52" s="523">
        <v>7330.08</v>
      </c>
      <c r="Z52" s="523">
        <v>14884.14</v>
      </c>
      <c r="AA52" s="523">
        <v>52215.49</v>
      </c>
      <c r="AB52" s="523">
        <v>21617.439999999999</v>
      </c>
      <c r="AC52" s="588">
        <v>33978.1</v>
      </c>
      <c r="AD52" s="523">
        <v>7055.96</v>
      </c>
      <c r="AE52" s="652">
        <v>437.88</v>
      </c>
      <c r="AF52" s="744">
        <v>-258.61</v>
      </c>
      <c r="AG52" s="760">
        <v>-2757.1</v>
      </c>
      <c r="AH52">
        <v>-7541.81</v>
      </c>
      <c r="AI52" s="840">
        <v>1949.19</v>
      </c>
      <c r="AJ52" s="768">
        <v>11433.94</v>
      </c>
      <c r="AK52" s="768">
        <v>4085.75</v>
      </c>
      <c r="AL52" s="768">
        <v>5797.4</v>
      </c>
      <c r="AM52" s="768">
        <v>73504.28</v>
      </c>
      <c r="AN52" s="768">
        <v>53615.38</v>
      </c>
      <c r="AO52" s="768">
        <v>27396.81</v>
      </c>
      <c r="AP52" s="768">
        <v>9557.06</v>
      </c>
      <c r="AQ52" s="768">
        <v>8606.5499999999993</v>
      </c>
      <c r="AR52" s="768"/>
      <c r="AS52" s="768"/>
      <c r="AT52" s="768"/>
      <c r="AU52" s="858"/>
      <c r="AV52" s="340"/>
      <c r="AW52" s="340"/>
      <c r="AX52" s="340"/>
      <c r="AY52" s="340"/>
      <c r="AZ52" s="340"/>
      <c r="BA52" s="79"/>
      <c r="BB52" s="254"/>
      <c r="BC52" s="109"/>
      <c r="BD52" s="110"/>
      <c r="BE52" s="254"/>
      <c r="BF52" s="787"/>
      <c r="BG52" s="787"/>
      <c r="BH52" s="787"/>
      <c r="BI52" s="787"/>
      <c r="BJ52" s="787"/>
      <c r="BK52" s="791"/>
      <c r="BL52" s="787"/>
      <c r="BM52" s="787"/>
      <c r="BN52" s="792"/>
      <c r="BO52" s="767"/>
      <c r="BP52" s="783"/>
      <c r="BQ52" s="793"/>
      <c r="BR52" s="783"/>
      <c r="BS52" s="783"/>
    </row>
    <row r="53" spans="1:71" x14ac:dyDescent="0.25">
      <c r="A53" s="35" t="s">
        <v>37</v>
      </c>
      <c r="B53" s="339">
        <v>585.04999999999995</v>
      </c>
      <c r="C53" s="340">
        <v>2896.24</v>
      </c>
      <c r="D53" s="340">
        <v>1430.9</v>
      </c>
      <c r="E53" s="341">
        <v>-1541.95</v>
      </c>
      <c r="F53" s="341">
        <v>-766.57</v>
      </c>
      <c r="G53" s="532">
        <v>-1087.8900000000001</v>
      </c>
      <c r="H53" s="341">
        <v>-16.649999999999999</v>
      </c>
      <c r="I53" s="340">
        <v>131.97999999999999</v>
      </c>
      <c r="J53" s="340">
        <v>114.46</v>
      </c>
      <c r="K53" s="342">
        <v>258.98</v>
      </c>
      <c r="L53" s="340">
        <v>1225.23</v>
      </c>
      <c r="M53" s="340">
        <v>0</v>
      </c>
      <c r="N53" s="341">
        <v>-57.92</v>
      </c>
      <c r="O53" s="340">
        <v>1867.39</v>
      </c>
      <c r="P53" s="340">
        <v>1671.17</v>
      </c>
      <c r="Q53" s="340">
        <v>1284.5</v>
      </c>
      <c r="R53" s="340">
        <v>360.4</v>
      </c>
      <c r="S53" s="340">
        <v>612.37</v>
      </c>
      <c r="T53" s="344">
        <v>655.35</v>
      </c>
      <c r="U53" s="341">
        <v>-380.36</v>
      </c>
      <c r="V53" s="340">
        <v>367.18</v>
      </c>
      <c r="W53" s="340">
        <v>1094.32</v>
      </c>
      <c r="X53" s="523">
        <v>3271.16</v>
      </c>
      <c r="Y53" s="523">
        <v>2847.48</v>
      </c>
      <c r="Z53" s="523">
        <v>3905.96</v>
      </c>
      <c r="AA53" s="523">
        <v>730.11</v>
      </c>
      <c r="AB53" s="523">
        <v>1036.5</v>
      </c>
      <c r="AC53" s="588">
        <v>-890.92</v>
      </c>
      <c r="AD53" s="434">
        <v>-4293.21</v>
      </c>
      <c r="AE53" s="652">
        <v>221.81</v>
      </c>
      <c r="AF53" s="744">
        <v>-428.3</v>
      </c>
      <c r="AG53" s="760">
        <v>-1992.87</v>
      </c>
      <c r="AH53" s="767">
        <v>426.98</v>
      </c>
      <c r="AI53" s="840">
        <v>74.05</v>
      </c>
      <c r="AJ53" s="768">
        <v>672.53</v>
      </c>
      <c r="AK53" s="768">
        <v>-966.89</v>
      </c>
      <c r="AL53" s="768">
        <v>809.95</v>
      </c>
      <c r="AM53" s="768">
        <v>11670.13</v>
      </c>
      <c r="AN53" s="768">
        <v>3801.63</v>
      </c>
      <c r="AO53" s="768">
        <v>1067.144</v>
      </c>
      <c r="AP53" s="882">
        <v>-13436.72</v>
      </c>
      <c r="AQ53" s="882">
        <v>-7542.61</v>
      </c>
      <c r="AR53" s="768"/>
      <c r="AS53" s="768"/>
      <c r="AT53" s="768"/>
      <c r="AU53" s="858"/>
      <c r="AV53" s="340"/>
      <c r="AW53" s="340"/>
      <c r="AX53" s="340"/>
      <c r="AY53" s="340"/>
      <c r="AZ53" s="340"/>
      <c r="BA53" s="79"/>
      <c r="BB53" s="254"/>
      <c r="BC53" s="109"/>
      <c r="BD53" s="110"/>
      <c r="BE53" s="254"/>
      <c r="BF53" s="787"/>
      <c r="BG53" s="787"/>
      <c r="BH53" s="787"/>
      <c r="BI53" s="787"/>
      <c r="BJ53" s="787"/>
      <c r="BK53" s="791"/>
      <c r="BL53" s="792"/>
      <c r="BM53" s="787"/>
      <c r="BN53" s="792"/>
      <c r="BO53" s="767"/>
      <c r="BP53" s="767"/>
      <c r="BQ53" s="793"/>
      <c r="BR53" s="783"/>
      <c r="BS53" s="783"/>
    </row>
    <row r="54" spans="1:71" x14ac:dyDescent="0.25">
      <c r="A54" s="35" t="s">
        <v>38</v>
      </c>
      <c r="B54" s="339">
        <v>245.85</v>
      </c>
      <c r="C54" s="340">
        <v>2859.34</v>
      </c>
      <c r="D54" s="340">
        <v>1262.22</v>
      </c>
      <c r="E54" s="340">
        <v>777.6</v>
      </c>
      <c r="F54" s="340">
        <v>304.45</v>
      </c>
      <c r="G54" s="340">
        <v>543.25</v>
      </c>
      <c r="H54" s="340">
        <v>505.74</v>
      </c>
      <c r="I54" s="341">
        <v>-3616.7</v>
      </c>
      <c r="J54" s="341">
        <v>-0.2</v>
      </c>
      <c r="K54" s="345">
        <v>-180.59</v>
      </c>
      <c r="L54" s="340">
        <v>260.77999999999997</v>
      </c>
      <c r="M54" s="341">
        <v>-412.72</v>
      </c>
      <c r="N54" s="341">
        <v>-2784.58</v>
      </c>
      <c r="O54" s="340">
        <v>2667.9</v>
      </c>
      <c r="P54" s="340">
        <v>4832.46</v>
      </c>
      <c r="Q54" s="340">
        <v>3236.32</v>
      </c>
      <c r="R54" s="340">
        <v>750.05</v>
      </c>
      <c r="S54" s="340">
        <v>40.08</v>
      </c>
      <c r="T54" s="344">
        <v>650.51</v>
      </c>
      <c r="U54" s="341">
        <v>-141.97</v>
      </c>
      <c r="V54" s="341">
        <v>-31.18</v>
      </c>
      <c r="W54" s="341">
        <v>-47.86</v>
      </c>
      <c r="X54" s="523">
        <v>711.38</v>
      </c>
      <c r="Y54" s="523">
        <v>232.78</v>
      </c>
      <c r="Z54" s="523">
        <v>577.07000000000005</v>
      </c>
      <c r="AA54" s="528">
        <v>-140.72</v>
      </c>
      <c r="AB54" s="434">
        <v>-138.97999999999999</v>
      </c>
      <c r="AC54" s="588">
        <v>-3924.88</v>
      </c>
      <c r="AD54" s="523">
        <v>471.72</v>
      </c>
      <c r="AE54" s="744">
        <v>-400.29</v>
      </c>
      <c r="AF54" s="652">
        <v>935.06</v>
      </c>
      <c r="AG54" s="756">
        <v>226.8</v>
      </c>
      <c r="AH54" s="766">
        <v>366.18</v>
      </c>
      <c r="AI54" s="840">
        <v>1281.68</v>
      </c>
      <c r="AJ54" s="768">
        <v>1090.53</v>
      </c>
      <c r="AK54" s="768">
        <v>-827.17</v>
      </c>
      <c r="AL54" s="768">
        <v>-1.03</v>
      </c>
      <c r="AM54" s="768">
        <v>4113.8500000000004</v>
      </c>
      <c r="AN54" s="768">
        <v>17487.86</v>
      </c>
      <c r="AO54" s="768">
        <v>6472.52</v>
      </c>
      <c r="AP54" s="768">
        <v>1137.8800000000001</v>
      </c>
      <c r="AQ54" s="882">
        <v>-81.17</v>
      </c>
      <c r="AR54" s="768"/>
      <c r="AS54" s="768"/>
      <c r="AT54" s="768"/>
      <c r="AU54" s="858"/>
      <c r="AV54" s="340"/>
      <c r="AW54" s="340"/>
      <c r="AX54" s="340"/>
      <c r="AY54" s="340"/>
      <c r="AZ54" s="340"/>
      <c r="BA54" s="79"/>
      <c r="BB54" s="254"/>
      <c r="BC54" s="109"/>
      <c r="BD54" s="110"/>
      <c r="BE54" s="254"/>
      <c r="BF54" s="787"/>
      <c r="BG54" s="787"/>
      <c r="BH54" s="787"/>
      <c r="BI54" s="795"/>
      <c r="BJ54" s="792"/>
      <c r="BK54" s="791"/>
      <c r="BL54" s="787"/>
      <c r="BM54" s="792"/>
      <c r="BN54" s="787"/>
      <c r="BO54" s="766"/>
      <c r="BP54" s="766"/>
      <c r="BQ54" s="793"/>
      <c r="BR54" s="783"/>
      <c r="BS54" s="783"/>
    </row>
    <row r="55" spans="1:71" x14ac:dyDescent="0.25">
      <c r="A55" s="35" t="s">
        <v>39</v>
      </c>
      <c r="B55" s="339"/>
      <c r="C55" s="340"/>
      <c r="D55" s="340"/>
      <c r="E55" s="340"/>
      <c r="F55" s="340"/>
      <c r="G55" s="340"/>
      <c r="H55" s="340"/>
      <c r="I55" s="340"/>
      <c r="J55" s="340"/>
      <c r="K55" s="342"/>
      <c r="L55" s="340"/>
      <c r="M55" s="340"/>
      <c r="N55" s="340"/>
      <c r="O55" s="340"/>
      <c r="P55" s="340"/>
      <c r="Q55" s="340"/>
      <c r="R55" s="340"/>
      <c r="S55" s="340"/>
      <c r="T55" s="344"/>
      <c r="U55" s="340"/>
      <c r="V55" s="340"/>
      <c r="W55" s="340"/>
      <c r="X55" s="523"/>
      <c r="Y55" s="529"/>
      <c r="Z55" s="529"/>
      <c r="AA55" s="530"/>
      <c r="AC55" s="2"/>
      <c r="AG55" s="756"/>
      <c r="AH55">
        <v>1193.83</v>
      </c>
      <c r="AI55" s="840"/>
      <c r="AJ55" s="768"/>
      <c r="AK55" s="768"/>
      <c r="AL55" s="768"/>
      <c r="AM55" s="768"/>
      <c r="AN55" s="768"/>
      <c r="AO55" s="768"/>
      <c r="AP55" s="768"/>
      <c r="AQ55" s="768"/>
      <c r="AR55" s="768"/>
      <c r="AS55" s="768"/>
      <c r="AT55" s="768"/>
      <c r="AU55" s="858"/>
      <c r="AV55" s="340"/>
      <c r="AW55" s="340"/>
      <c r="AX55" s="340"/>
      <c r="AY55" s="340"/>
      <c r="AZ55" s="340"/>
      <c r="BA55" s="79"/>
      <c r="BB55" s="254"/>
      <c r="BC55" s="109"/>
      <c r="BD55" s="110"/>
      <c r="BE55" s="254"/>
      <c r="BF55" s="787"/>
      <c r="BG55" s="798"/>
      <c r="BH55" s="798"/>
      <c r="BI55" s="799"/>
      <c r="BJ55" s="783"/>
      <c r="BK55" s="784"/>
      <c r="BL55" s="783"/>
      <c r="BM55" s="783"/>
      <c r="BN55" s="783"/>
      <c r="BO55" s="766"/>
      <c r="BP55" s="783"/>
      <c r="BQ55" s="793"/>
      <c r="BR55" s="783"/>
      <c r="BS55" s="783"/>
    </row>
    <row r="56" spans="1:71" x14ac:dyDescent="0.25">
      <c r="A56" s="35" t="s">
        <v>61</v>
      </c>
      <c r="B56" s="339"/>
      <c r="C56" s="340"/>
      <c r="D56" s="340"/>
      <c r="E56" s="340"/>
      <c r="F56" s="340"/>
      <c r="G56" s="340"/>
      <c r="H56" s="340"/>
      <c r="I56" s="340"/>
      <c r="J56" s="340"/>
      <c r="K56" s="342"/>
      <c r="L56" s="340"/>
      <c r="M56" s="340"/>
      <c r="N56" s="340"/>
      <c r="O56" s="340"/>
      <c r="P56" s="340"/>
      <c r="Q56" s="340"/>
      <c r="R56" s="340"/>
      <c r="S56" s="340"/>
      <c r="T56" s="344"/>
      <c r="U56" s="340"/>
      <c r="V56" s="340"/>
      <c r="W56" s="340"/>
      <c r="X56" s="523"/>
      <c r="Y56" s="500"/>
      <c r="Z56" s="500"/>
      <c r="AC56" s="2"/>
      <c r="AF56" s="652"/>
      <c r="AG56" s="756"/>
      <c r="AI56" s="840"/>
      <c r="AJ56" s="768"/>
      <c r="AK56" s="768"/>
      <c r="AL56" s="768"/>
      <c r="AM56" s="768"/>
      <c r="AN56" s="768"/>
      <c r="AO56" s="768"/>
      <c r="AP56" s="768"/>
      <c r="AQ56" s="768"/>
      <c r="AR56" s="768"/>
      <c r="AS56" s="768"/>
      <c r="AT56" s="768"/>
      <c r="AU56" s="858"/>
      <c r="AV56" s="340"/>
      <c r="AW56" s="340"/>
      <c r="AX56" s="340"/>
      <c r="AY56" s="340"/>
      <c r="AZ56" s="340"/>
      <c r="BA56" s="79"/>
      <c r="BB56" s="254"/>
      <c r="BC56" s="109"/>
      <c r="BD56" s="110"/>
      <c r="BE56" s="254"/>
      <c r="BF56" s="787"/>
      <c r="BG56" s="779"/>
      <c r="BH56" s="779"/>
      <c r="BI56" s="783"/>
      <c r="BJ56" s="783"/>
      <c r="BK56" s="784"/>
      <c r="BL56" s="783"/>
      <c r="BM56" s="783"/>
      <c r="BN56" s="787"/>
      <c r="BO56" s="766"/>
      <c r="BP56" s="783"/>
      <c r="BQ56" s="793"/>
      <c r="BR56" s="783"/>
      <c r="BS56" s="783"/>
    </row>
    <row r="57" spans="1:71" x14ac:dyDescent="0.25">
      <c r="A57" s="35" t="s">
        <v>41</v>
      </c>
      <c r="B57" s="339">
        <f t="shared" ref="B57:BE57" si="12">SUM(B52:B56)</f>
        <v>5054.8900000000003</v>
      </c>
      <c r="C57" s="339">
        <f t="shared" si="12"/>
        <v>51940.149999999994</v>
      </c>
      <c r="D57" s="339">
        <f t="shared" si="12"/>
        <v>36895.270000000004</v>
      </c>
      <c r="E57" s="339">
        <f t="shared" si="12"/>
        <v>19878.929999999997</v>
      </c>
      <c r="F57" s="339">
        <f t="shared" si="12"/>
        <v>3364.7099999999996</v>
      </c>
      <c r="G57" s="339">
        <f t="shared" si="12"/>
        <v>1327.83</v>
      </c>
      <c r="H57" s="343">
        <f t="shared" si="12"/>
        <v>-1138.8900000000001</v>
      </c>
      <c r="I57" s="343">
        <f t="shared" si="12"/>
        <v>-5198.18</v>
      </c>
      <c r="J57" s="339">
        <f t="shared" si="12"/>
        <v>-6.1900000000000093</v>
      </c>
      <c r="K57" s="339">
        <f t="shared" si="12"/>
        <v>3136.99</v>
      </c>
      <c r="L57" s="339">
        <f t="shared" si="12"/>
        <v>5818.94</v>
      </c>
      <c r="M57" s="343">
        <f t="shared" si="12"/>
        <v>-930.24</v>
      </c>
      <c r="N57" s="343">
        <f t="shared" si="12"/>
        <v>-3419.56</v>
      </c>
      <c r="O57" s="339">
        <f t="shared" si="12"/>
        <v>40900.61</v>
      </c>
      <c r="P57" s="339">
        <f t="shared" si="12"/>
        <v>29651.949999999997</v>
      </c>
      <c r="Q57" s="339">
        <f t="shared" si="12"/>
        <v>24914.25</v>
      </c>
      <c r="R57" s="339">
        <f t="shared" si="12"/>
        <v>8692.4399999999987</v>
      </c>
      <c r="S57" s="339">
        <f t="shared" si="12"/>
        <v>2249.25</v>
      </c>
      <c r="T57" s="339">
        <f t="shared" si="12"/>
        <v>850.97</v>
      </c>
      <c r="U57" s="814">
        <f t="shared" si="12"/>
        <v>-2185.7399999999998</v>
      </c>
      <c r="V57" s="339">
        <f t="shared" si="12"/>
        <v>1761.56</v>
      </c>
      <c r="W57" s="339">
        <f t="shared" si="12"/>
        <v>5459.11</v>
      </c>
      <c r="X57" s="339">
        <f t="shared" ref="X57:AE57" si="13">SUM(X52:X56)</f>
        <v>13329.429999999998</v>
      </c>
      <c r="Y57" s="339">
        <f t="shared" si="13"/>
        <v>10410.34</v>
      </c>
      <c r="Z57" s="339">
        <f t="shared" si="13"/>
        <v>19367.169999999998</v>
      </c>
      <c r="AA57" s="339">
        <f t="shared" si="13"/>
        <v>52804.88</v>
      </c>
      <c r="AB57" s="339">
        <f t="shared" si="13"/>
        <v>22514.959999999999</v>
      </c>
      <c r="AC57" s="339">
        <f t="shared" si="13"/>
        <v>29162.3</v>
      </c>
      <c r="AD57" s="339">
        <f t="shared" si="13"/>
        <v>3234.4700000000003</v>
      </c>
      <c r="AE57" s="339">
        <f t="shared" si="13"/>
        <v>259.40000000000003</v>
      </c>
      <c r="AF57" s="483">
        <f>SUM(AF52:AF54)</f>
        <v>248.14999999999986</v>
      </c>
      <c r="AG57" s="741">
        <f>SUM(AG52:AG54)</f>
        <v>-4523.1699999999992</v>
      </c>
      <c r="AH57">
        <v>1986.99</v>
      </c>
      <c r="AI57" s="840">
        <f>SUM(AI52:AI56)</f>
        <v>3304.92</v>
      </c>
      <c r="AJ57" s="768">
        <f>SUM(AJ52:AJ56)</f>
        <v>13197.000000000002</v>
      </c>
      <c r="AK57" s="768">
        <f>SUM(AK52:AK56)</f>
        <v>2291.69</v>
      </c>
      <c r="AL57" s="768">
        <f>SUM(AL52:AL56)</f>
        <v>6606.32</v>
      </c>
      <c r="AM57" s="768">
        <f>SUM(AM52:AM56)</f>
        <v>89288.260000000009</v>
      </c>
      <c r="AN57" s="768">
        <v>74904.87</v>
      </c>
      <c r="AO57" s="768">
        <f>SUM(AO52:AO54)</f>
        <v>34936.474000000002</v>
      </c>
      <c r="AP57" s="882">
        <v>-2741.78</v>
      </c>
      <c r="AQ57" s="768">
        <v>982.77</v>
      </c>
      <c r="AR57" s="768"/>
      <c r="AS57" s="768"/>
      <c r="AT57" s="768"/>
      <c r="AU57" s="858"/>
      <c r="AV57" s="344">
        <f t="shared" si="12"/>
        <v>0</v>
      </c>
      <c r="AW57" s="339">
        <f t="shared" si="12"/>
        <v>0</v>
      </c>
      <c r="AX57" s="339">
        <f t="shared" si="12"/>
        <v>0</v>
      </c>
      <c r="AY57" s="339">
        <f t="shared" si="12"/>
        <v>0</v>
      </c>
      <c r="AZ57" s="339">
        <f t="shared" si="12"/>
        <v>0</v>
      </c>
      <c r="BA57" s="339">
        <f t="shared" si="12"/>
        <v>0</v>
      </c>
      <c r="BB57" s="339">
        <f t="shared" si="12"/>
        <v>0</v>
      </c>
      <c r="BC57" s="344">
        <f t="shared" si="12"/>
        <v>0</v>
      </c>
      <c r="BD57" s="344">
        <f t="shared" si="12"/>
        <v>0</v>
      </c>
      <c r="BE57" s="339">
        <f t="shared" si="12"/>
        <v>0</v>
      </c>
      <c r="BF57" s="593"/>
      <c r="BG57" s="593"/>
      <c r="BH57" s="593"/>
      <c r="BI57" s="593"/>
      <c r="BJ57" s="593"/>
      <c r="BK57" s="593"/>
      <c r="BL57" s="593"/>
      <c r="BM57" s="593"/>
      <c r="BN57" s="800"/>
      <c r="BO57" s="767"/>
      <c r="BP57" s="783"/>
      <c r="BQ57" s="793"/>
      <c r="BR57" s="783"/>
      <c r="BS57" s="783"/>
    </row>
    <row r="58" spans="1:71" x14ac:dyDescent="0.25">
      <c r="A58" s="42" t="s">
        <v>31</v>
      </c>
      <c r="B58" s="339"/>
      <c r="C58" s="340"/>
      <c r="D58" s="340"/>
      <c r="E58" s="340"/>
      <c r="F58" s="340"/>
      <c r="G58" s="340"/>
      <c r="H58" s="340"/>
      <c r="I58" s="340"/>
      <c r="J58" s="340"/>
      <c r="K58" s="342"/>
      <c r="L58" s="340"/>
      <c r="M58" s="340"/>
      <c r="N58" s="340"/>
      <c r="O58" s="340"/>
      <c r="P58" s="340"/>
      <c r="Q58" s="340"/>
      <c r="R58" s="340"/>
      <c r="S58" s="340"/>
      <c r="T58" s="344"/>
      <c r="U58" s="344"/>
      <c r="V58" s="344"/>
      <c r="W58" s="344"/>
      <c r="X58" s="523"/>
      <c r="Y58" s="529"/>
      <c r="Z58" s="529"/>
      <c r="AA58" s="530"/>
      <c r="AC58" s="2"/>
      <c r="AF58" s="744"/>
      <c r="AG58" s="756"/>
      <c r="AI58" s="840"/>
      <c r="AU58" s="857"/>
      <c r="AV58" s="340"/>
      <c r="AW58" s="340"/>
      <c r="AX58" s="340"/>
      <c r="AY58" s="340"/>
      <c r="AZ58" s="340"/>
      <c r="BA58" s="79"/>
      <c r="BB58" s="254"/>
      <c r="BC58" s="314"/>
      <c r="BD58" s="522"/>
      <c r="BE58" s="522"/>
      <c r="BF58" s="787"/>
      <c r="BG58" s="798"/>
      <c r="BH58" s="798"/>
      <c r="BI58" s="799"/>
      <c r="BJ58" s="783"/>
      <c r="BK58" s="784"/>
      <c r="BL58" s="783"/>
      <c r="BM58" s="783"/>
      <c r="BN58" s="792"/>
      <c r="BO58" s="766"/>
      <c r="BP58" s="783"/>
      <c r="BQ58" s="793"/>
      <c r="BR58" s="783"/>
      <c r="BS58" s="783"/>
    </row>
    <row r="59" spans="1:71" x14ac:dyDescent="0.25">
      <c r="A59" s="35" t="s">
        <v>36</v>
      </c>
      <c r="B59" s="339">
        <v>1838.54</v>
      </c>
      <c r="C59" s="340">
        <v>4177.67</v>
      </c>
      <c r="D59" s="340">
        <v>17726.87</v>
      </c>
      <c r="E59" s="340">
        <v>21104.94</v>
      </c>
      <c r="F59" s="340">
        <v>17098.509999999998</v>
      </c>
      <c r="G59" s="340">
        <v>10611.67</v>
      </c>
      <c r="H59" s="340">
        <v>8709.65</v>
      </c>
      <c r="I59" s="340">
        <v>4615.5200000000004</v>
      </c>
      <c r="J59" s="340">
        <v>5330.94</v>
      </c>
      <c r="K59" s="345">
        <v>-3201.42</v>
      </c>
      <c r="L59" s="341">
        <v>-1645.21</v>
      </c>
      <c r="M59" s="340">
        <v>75.38</v>
      </c>
      <c r="N59" s="340">
        <v>2116.38</v>
      </c>
      <c r="O59" s="340">
        <v>1241.0999999999999</v>
      </c>
      <c r="P59" s="340">
        <v>25391.07</v>
      </c>
      <c r="Q59" s="340">
        <v>35799.24</v>
      </c>
      <c r="R59" s="340">
        <v>40488.660000000003</v>
      </c>
      <c r="S59" s="340">
        <v>38195.040000000001</v>
      </c>
      <c r="T59" s="344">
        <v>25887.97</v>
      </c>
      <c r="U59" s="340">
        <v>19602.099999999999</v>
      </c>
      <c r="V59" s="340">
        <v>20678.939999999999</v>
      </c>
      <c r="W59" s="340">
        <v>26065.84</v>
      </c>
      <c r="X59" s="523">
        <v>28125.53</v>
      </c>
      <c r="Y59" s="527">
        <v>24611.21</v>
      </c>
      <c r="Z59" s="527">
        <v>29891.9</v>
      </c>
      <c r="AA59" s="528">
        <v>9054.43</v>
      </c>
      <c r="AB59" s="525">
        <v>18287.3</v>
      </c>
      <c r="AC59" s="588">
        <v>44143.73</v>
      </c>
      <c r="AD59" s="523">
        <v>29779.21</v>
      </c>
      <c r="AE59" s="652">
        <v>25689.11</v>
      </c>
      <c r="AF59" s="652">
        <v>7045.5</v>
      </c>
      <c r="AG59" s="756">
        <v>2020.63</v>
      </c>
      <c r="AH59" s="766">
        <v>6042.56</v>
      </c>
      <c r="AI59" s="840">
        <v>1949.75</v>
      </c>
      <c r="AJ59" s="768">
        <v>1209.1099999999999</v>
      </c>
      <c r="AK59" s="768">
        <v>-435.05</v>
      </c>
      <c r="AL59" s="768">
        <v>348.84</v>
      </c>
      <c r="AM59" s="768">
        <v>-252.97</v>
      </c>
      <c r="AN59" s="768">
        <v>29377.279999999999</v>
      </c>
      <c r="AO59" s="768">
        <v>32927.949999999997</v>
      </c>
      <c r="AP59" s="768">
        <v>24915.03</v>
      </c>
      <c r="AQ59" s="768">
        <v>14023.41</v>
      </c>
      <c r="AR59" s="768"/>
      <c r="AS59" s="768"/>
      <c r="AT59" s="768"/>
      <c r="AU59" s="858"/>
      <c r="AV59" s="340"/>
      <c r="AW59" s="340"/>
      <c r="AX59" s="340"/>
      <c r="AY59" s="340"/>
      <c r="AZ59" s="340"/>
      <c r="BA59" s="79"/>
      <c r="BB59" s="254"/>
      <c r="BC59" s="109"/>
      <c r="BD59" s="110"/>
      <c r="BE59" s="254"/>
      <c r="BF59" s="787"/>
      <c r="BG59" s="794"/>
      <c r="BH59" s="794"/>
      <c r="BI59" s="795"/>
      <c r="BJ59" s="790"/>
      <c r="BK59" s="791"/>
      <c r="BL59" s="787"/>
      <c r="BM59" s="787"/>
      <c r="BN59" s="787"/>
      <c r="BO59" s="766"/>
      <c r="BP59" s="766"/>
      <c r="BQ59" s="793"/>
      <c r="BR59" s="783"/>
      <c r="BS59" s="783"/>
    </row>
    <row r="60" spans="1:71" x14ac:dyDescent="0.25">
      <c r="A60" s="35" t="s">
        <v>37</v>
      </c>
      <c r="B60" s="343">
        <v>-23.71</v>
      </c>
      <c r="C60" s="340">
        <v>65.06</v>
      </c>
      <c r="D60" s="340">
        <v>1381.64</v>
      </c>
      <c r="E60" s="341">
        <v>-562.20000000000005</v>
      </c>
      <c r="F60" s="341">
        <v>-2893.34</v>
      </c>
      <c r="G60" s="341">
        <v>-4347.83</v>
      </c>
      <c r="H60" s="341">
        <v>-5014.76</v>
      </c>
      <c r="I60" s="341">
        <v>-4391.1099999999997</v>
      </c>
      <c r="J60" s="341">
        <v>-3080.58</v>
      </c>
      <c r="K60" s="345">
        <v>-1800.91</v>
      </c>
      <c r="L60" s="341">
        <v>-805.44</v>
      </c>
      <c r="M60" s="340">
        <v>117.33</v>
      </c>
      <c r="N60" s="340">
        <v>498.87</v>
      </c>
      <c r="O60" s="340">
        <v>455.88</v>
      </c>
      <c r="P60" s="340">
        <v>2035.98</v>
      </c>
      <c r="Q60" s="340">
        <v>3369.9</v>
      </c>
      <c r="R60" s="340">
        <v>4131.97</v>
      </c>
      <c r="S60" s="340">
        <v>500.17</v>
      </c>
      <c r="T60" s="344">
        <v>920.17</v>
      </c>
      <c r="U60" s="340">
        <v>1652.79</v>
      </c>
      <c r="V60" s="340">
        <v>2016.62</v>
      </c>
      <c r="W60" s="340">
        <v>2762.63</v>
      </c>
      <c r="X60" s="523">
        <v>3250.97</v>
      </c>
      <c r="Y60" s="523">
        <v>3168.14</v>
      </c>
      <c r="Z60" s="523">
        <v>4082.17</v>
      </c>
      <c r="AA60" s="523">
        <v>1075.3800000000001</v>
      </c>
      <c r="AB60" s="523">
        <v>986.61</v>
      </c>
      <c r="AC60" s="588">
        <v>2323.54</v>
      </c>
      <c r="AD60" s="523">
        <v>4333.5200000000004</v>
      </c>
      <c r="AE60" s="744">
        <v>-2462.67</v>
      </c>
      <c r="AF60" s="744">
        <v>-3839.03</v>
      </c>
      <c r="AG60" s="760">
        <v>-3439.93</v>
      </c>
      <c r="AH60" s="767">
        <v>-1399.4</v>
      </c>
      <c r="AI60" s="840">
        <v>120.94</v>
      </c>
      <c r="AJ60" s="768">
        <v>2209.9</v>
      </c>
      <c r="AK60" s="768">
        <v>1149.48</v>
      </c>
      <c r="AL60" s="768">
        <v>-80.12</v>
      </c>
      <c r="AM60" s="768">
        <v>1222.32</v>
      </c>
      <c r="AN60" s="768">
        <v>8544.31</v>
      </c>
      <c r="AO60" s="768">
        <v>4544.79</v>
      </c>
      <c r="AP60" s="768">
        <v>6435.28</v>
      </c>
      <c r="AQ60" s="882">
        <v>-13869.73</v>
      </c>
      <c r="AR60" s="768"/>
      <c r="AS60" s="768"/>
      <c r="AT60" s="768"/>
      <c r="AU60" s="858"/>
      <c r="AV60" s="340"/>
      <c r="AW60" s="340"/>
      <c r="AX60" s="340"/>
      <c r="AY60" s="340"/>
      <c r="AZ60" s="340"/>
      <c r="BA60" s="79"/>
      <c r="BB60" s="254"/>
      <c r="BC60" s="109"/>
      <c r="BD60" s="110"/>
      <c r="BE60" s="254"/>
      <c r="BF60" s="787"/>
      <c r="BG60" s="787"/>
      <c r="BH60" s="787"/>
      <c r="BI60" s="787"/>
      <c r="BJ60" s="787"/>
      <c r="BK60" s="791"/>
      <c r="BL60" s="787"/>
      <c r="BM60" s="792"/>
      <c r="BN60" s="792"/>
      <c r="BO60" s="767"/>
      <c r="BP60" s="767"/>
      <c r="BQ60" s="793"/>
      <c r="BR60" s="783"/>
      <c r="BS60" s="783"/>
    </row>
    <row r="61" spans="1:71" x14ac:dyDescent="0.25">
      <c r="A61" s="35" t="s">
        <v>38</v>
      </c>
      <c r="B61" s="343">
        <v>-274.61</v>
      </c>
      <c r="C61" s="341">
        <v>-57.69</v>
      </c>
      <c r="D61" s="340">
        <v>784.84</v>
      </c>
      <c r="E61" s="340">
        <v>1103.9000000000001</v>
      </c>
      <c r="F61" s="340">
        <v>564.73</v>
      </c>
      <c r="G61" s="341">
        <v>-1.62</v>
      </c>
      <c r="H61" s="341">
        <v>-704.77</v>
      </c>
      <c r="I61" s="341">
        <v>-955.54</v>
      </c>
      <c r="J61" s="341">
        <v>-4093.03</v>
      </c>
      <c r="K61" s="345">
        <v>-2438.69</v>
      </c>
      <c r="L61" s="341">
        <v>-856.19</v>
      </c>
      <c r="M61" s="341">
        <v>-240.98</v>
      </c>
      <c r="N61" s="341">
        <v>-998.12</v>
      </c>
      <c r="O61" s="341">
        <v>-2746.04</v>
      </c>
      <c r="P61" s="340">
        <v>1005.11</v>
      </c>
      <c r="Q61" s="340">
        <v>2444.15</v>
      </c>
      <c r="R61" s="340">
        <v>352.86</v>
      </c>
      <c r="S61" s="340">
        <v>225.33</v>
      </c>
      <c r="T61" s="814">
        <v>-2759.15</v>
      </c>
      <c r="U61" s="341">
        <v>-3468.61</v>
      </c>
      <c r="V61" s="341">
        <v>-3524.46</v>
      </c>
      <c r="W61" s="341">
        <v>-3523.98</v>
      </c>
      <c r="X61" s="434">
        <v>-3219.12</v>
      </c>
      <c r="Y61" s="434">
        <v>-3684.01</v>
      </c>
      <c r="Z61" s="434">
        <v>-3152.12</v>
      </c>
      <c r="AA61" s="434">
        <v>-343.81</v>
      </c>
      <c r="AB61" s="434">
        <v>-672.54</v>
      </c>
      <c r="AC61" s="588">
        <v>-2059.31</v>
      </c>
      <c r="AD61" s="434">
        <v>-6729.51</v>
      </c>
      <c r="AE61" s="744">
        <v>-7435.2</v>
      </c>
      <c r="AF61" s="744">
        <v>-7585.14</v>
      </c>
      <c r="AG61" s="760">
        <v>-7480.07</v>
      </c>
      <c r="AH61" s="767">
        <v>-6452.47</v>
      </c>
      <c r="AI61" s="840">
        <v>-4705.07</v>
      </c>
      <c r="AJ61" s="768">
        <v>-5234.42</v>
      </c>
      <c r="AK61" s="768">
        <v>-3797.43</v>
      </c>
      <c r="AL61" s="768">
        <v>-4555.32</v>
      </c>
      <c r="AM61" s="768">
        <v>-4396.92</v>
      </c>
      <c r="AN61" s="768">
        <v>-3150.72</v>
      </c>
      <c r="AO61" s="882">
        <v>-2168.62</v>
      </c>
      <c r="AP61" s="882">
        <v>-3067.11</v>
      </c>
      <c r="AQ61" s="882">
        <v>-4611.5200000000004</v>
      </c>
      <c r="AR61" s="768"/>
      <c r="AS61" s="768"/>
      <c r="AT61" s="768"/>
      <c r="AU61" s="858"/>
      <c r="AV61" s="340"/>
      <c r="AW61" s="340"/>
      <c r="AX61" s="340"/>
      <c r="AY61" s="340"/>
      <c r="AZ61" s="340"/>
      <c r="BA61" s="79"/>
      <c r="BB61" s="254"/>
      <c r="BC61" s="109"/>
      <c r="BD61" s="110"/>
      <c r="BE61" s="254"/>
      <c r="BF61" s="792"/>
      <c r="BG61" s="792"/>
      <c r="BH61" s="792"/>
      <c r="BI61" s="792"/>
      <c r="BJ61" s="792"/>
      <c r="BK61" s="791"/>
      <c r="BL61" s="792"/>
      <c r="BM61" s="792"/>
      <c r="BN61" s="792"/>
      <c r="BO61" s="767"/>
      <c r="BP61" s="767"/>
      <c r="BQ61" s="793"/>
      <c r="BR61" s="783"/>
      <c r="BS61" s="783"/>
    </row>
    <row r="62" spans="1:71" x14ac:dyDescent="0.25">
      <c r="A62" s="35" t="s">
        <v>39</v>
      </c>
      <c r="B62" s="339"/>
      <c r="C62" s="340"/>
      <c r="D62" s="340"/>
      <c r="E62" s="340"/>
      <c r="F62" s="340"/>
      <c r="G62" s="340"/>
      <c r="H62" s="340"/>
      <c r="I62" s="340"/>
      <c r="J62" s="340"/>
      <c r="K62" s="342"/>
      <c r="L62" s="340"/>
      <c r="M62" s="340"/>
      <c r="N62" s="340"/>
      <c r="O62" s="340"/>
      <c r="P62" s="340"/>
      <c r="Q62" s="340"/>
      <c r="R62" s="340"/>
      <c r="S62" s="340"/>
      <c r="T62" s="344"/>
      <c r="U62" s="340"/>
      <c r="V62" s="340"/>
      <c r="W62" s="340"/>
      <c r="X62" s="523"/>
      <c r="Y62" s="500"/>
      <c r="Z62" s="500"/>
      <c r="AC62" s="2"/>
      <c r="AG62" s="756"/>
      <c r="AI62" s="840"/>
      <c r="AJ62" s="768"/>
      <c r="AK62" s="768"/>
      <c r="AL62" s="768"/>
      <c r="AM62" s="768"/>
      <c r="AN62" s="768"/>
      <c r="AO62" s="768"/>
      <c r="AP62" s="768"/>
      <c r="AQ62" s="768"/>
      <c r="AR62" s="768"/>
      <c r="AS62" s="768"/>
      <c r="AT62" s="768"/>
      <c r="AU62" s="858"/>
      <c r="AV62" s="340"/>
      <c r="AW62" s="340"/>
      <c r="AX62" s="340"/>
      <c r="AY62" s="340"/>
      <c r="AZ62" s="340"/>
      <c r="BA62" s="79"/>
      <c r="BB62" s="254"/>
      <c r="BC62" s="109"/>
      <c r="BD62" s="110"/>
      <c r="BE62" s="254"/>
      <c r="BF62" s="787"/>
      <c r="BG62" s="779"/>
      <c r="BH62" s="779"/>
      <c r="BI62" s="783"/>
      <c r="BJ62" s="783"/>
      <c r="BK62" s="784"/>
      <c r="BL62" s="783"/>
      <c r="BM62" s="783"/>
      <c r="BN62" s="783"/>
      <c r="BO62" s="766"/>
      <c r="BP62" s="783"/>
      <c r="BQ62" s="793"/>
      <c r="BR62" s="783"/>
      <c r="BS62" s="783"/>
    </row>
    <row r="63" spans="1:71" x14ac:dyDescent="0.25">
      <c r="A63" s="35" t="s">
        <v>61</v>
      </c>
      <c r="B63" s="339"/>
      <c r="C63" s="340"/>
      <c r="D63" s="340"/>
      <c r="E63" s="340"/>
      <c r="F63" s="340"/>
      <c r="G63" s="340"/>
      <c r="H63" s="340"/>
      <c r="I63" s="340"/>
      <c r="J63" s="340"/>
      <c r="K63" s="342"/>
      <c r="L63" s="340"/>
      <c r="M63" s="340"/>
      <c r="N63" s="340"/>
      <c r="O63" s="340"/>
      <c r="P63" s="340"/>
      <c r="Q63" s="340"/>
      <c r="R63" s="340"/>
      <c r="S63" s="340"/>
      <c r="T63" s="344"/>
      <c r="U63" s="340"/>
      <c r="V63" s="340"/>
      <c r="W63" s="340"/>
      <c r="X63" s="523"/>
      <c r="Y63" s="500"/>
      <c r="Z63" s="500"/>
      <c r="AC63" s="2"/>
      <c r="AF63" s="660"/>
      <c r="AG63" s="756"/>
      <c r="AI63" s="840"/>
      <c r="AJ63" s="768"/>
      <c r="AK63" s="768"/>
      <c r="AL63" s="768"/>
      <c r="AM63" s="768"/>
      <c r="AN63" s="768"/>
      <c r="AO63" s="768"/>
      <c r="AP63" s="768"/>
      <c r="AQ63" s="768"/>
      <c r="AR63" s="768"/>
      <c r="AS63" s="768"/>
      <c r="AT63" s="768"/>
      <c r="AU63" s="858"/>
      <c r="AV63" s="340"/>
      <c r="AW63" s="340"/>
      <c r="AX63" s="340"/>
      <c r="AY63" s="340"/>
      <c r="AZ63" s="340"/>
      <c r="BA63" s="79"/>
      <c r="BB63" s="254"/>
      <c r="BC63" s="109"/>
      <c r="BD63" s="110"/>
      <c r="BE63" s="254"/>
      <c r="BF63" s="787"/>
      <c r="BG63" s="779"/>
      <c r="BH63" s="779"/>
      <c r="BI63" s="783"/>
      <c r="BJ63" s="783"/>
      <c r="BK63" s="784"/>
      <c r="BL63" s="783"/>
      <c r="BM63" s="783"/>
      <c r="BN63" s="792"/>
      <c r="BO63" s="766"/>
      <c r="BP63" s="783"/>
      <c r="BQ63" s="793"/>
      <c r="BR63" s="783"/>
      <c r="BS63" s="783"/>
    </row>
    <row r="64" spans="1:71" x14ac:dyDescent="0.25">
      <c r="A64" s="35" t="s">
        <v>41</v>
      </c>
      <c r="B64" s="339">
        <f t="shared" ref="B64:BE64" si="14">SUM(B59:B63)</f>
        <v>1540.2199999999998</v>
      </c>
      <c r="C64" s="339">
        <f t="shared" si="14"/>
        <v>4185.0400000000009</v>
      </c>
      <c r="D64" s="339">
        <f t="shared" si="14"/>
        <v>19893.349999999999</v>
      </c>
      <c r="E64" s="339">
        <f t="shared" si="14"/>
        <v>21646.639999999999</v>
      </c>
      <c r="F64" s="339">
        <f t="shared" si="14"/>
        <v>14769.899999999998</v>
      </c>
      <c r="G64" s="339">
        <f t="shared" si="14"/>
        <v>6262.22</v>
      </c>
      <c r="H64" s="339">
        <f t="shared" si="14"/>
        <v>2990.1199999999994</v>
      </c>
      <c r="I64" s="343">
        <f t="shared" si="14"/>
        <v>-731.1299999999992</v>
      </c>
      <c r="J64" s="343">
        <f t="shared" si="14"/>
        <v>-1842.6700000000005</v>
      </c>
      <c r="K64" s="343">
        <f t="shared" si="14"/>
        <v>-7441.02</v>
      </c>
      <c r="L64" s="343">
        <f t="shared" si="14"/>
        <v>-3306.84</v>
      </c>
      <c r="M64" s="343">
        <f t="shared" si="14"/>
        <v>-48.27000000000001</v>
      </c>
      <c r="N64" s="339">
        <f t="shared" si="14"/>
        <v>1617.13</v>
      </c>
      <c r="O64" s="343">
        <f t="shared" si="14"/>
        <v>-1049.06</v>
      </c>
      <c r="P64" s="339">
        <f t="shared" si="14"/>
        <v>28432.16</v>
      </c>
      <c r="Q64" s="339">
        <f t="shared" si="14"/>
        <v>41613.29</v>
      </c>
      <c r="R64" s="339">
        <f t="shared" si="14"/>
        <v>44973.490000000005</v>
      </c>
      <c r="S64" s="339">
        <f t="shared" si="14"/>
        <v>38920.54</v>
      </c>
      <c r="T64" s="339">
        <f t="shared" si="14"/>
        <v>24048.989999999998</v>
      </c>
      <c r="U64" s="344">
        <f t="shared" si="14"/>
        <v>17786.28</v>
      </c>
      <c r="V64" s="339">
        <f t="shared" si="14"/>
        <v>19171.099999999999</v>
      </c>
      <c r="W64" s="339">
        <f t="shared" si="14"/>
        <v>25304.49</v>
      </c>
      <c r="X64" s="339">
        <f t="shared" ref="X64:AG64" si="15">SUM(X59:X63)</f>
        <v>28157.38</v>
      </c>
      <c r="Y64" s="339">
        <f t="shared" si="15"/>
        <v>24095.339999999997</v>
      </c>
      <c r="Z64" s="339">
        <f t="shared" si="15"/>
        <v>30821.95</v>
      </c>
      <c r="AA64" s="339">
        <f t="shared" si="15"/>
        <v>9786.0000000000018</v>
      </c>
      <c r="AB64" s="339">
        <f t="shared" si="15"/>
        <v>18601.37</v>
      </c>
      <c r="AC64" s="339">
        <f t="shared" si="15"/>
        <v>44407.960000000006</v>
      </c>
      <c r="AD64" s="339">
        <f t="shared" si="15"/>
        <v>27383.219999999994</v>
      </c>
      <c r="AE64" s="339">
        <f t="shared" si="15"/>
        <v>15791.240000000002</v>
      </c>
      <c r="AF64" s="343">
        <f t="shared" si="15"/>
        <v>-4378.67</v>
      </c>
      <c r="AG64" s="343">
        <f t="shared" si="15"/>
        <v>-8899.369999999999</v>
      </c>
      <c r="AH64">
        <v>-1809.31</v>
      </c>
      <c r="AI64" s="840">
        <f>SUM(AI59:AI63)</f>
        <v>-2634.3799999999997</v>
      </c>
      <c r="AJ64" s="768">
        <f>SUM(AJ59:AJ63)</f>
        <v>-1815.4099999999999</v>
      </c>
      <c r="AK64" s="768">
        <f>SUM(AK59:AK63)</f>
        <v>-3083</v>
      </c>
      <c r="AL64" s="768">
        <f>SUM(AL59:AL63)</f>
        <v>-4286.5999999999995</v>
      </c>
      <c r="AM64" s="768">
        <f>SUM(AM59:AM63)</f>
        <v>-3427.57</v>
      </c>
      <c r="AN64" s="768">
        <v>34770.870000000003</v>
      </c>
      <c r="AO64" s="768">
        <f>SUM(AO59:AO61)</f>
        <v>35304.119999999995</v>
      </c>
      <c r="AP64" s="768">
        <v>28283.200000000001</v>
      </c>
      <c r="AQ64" s="882">
        <v>-4457.84</v>
      </c>
      <c r="AR64" s="768"/>
      <c r="AS64" s="768"/>
      <c r="AT64" s="768"/>
      <c r="AU64" s="858"/>
      <c r="AV64" s="344">
        <f t="shared" si="14"/>
        <v>0</v>
      </c>
      <c r="AW64" s="339">
        <f t="shared" si="14"/>
        <v>0</v>
      </c>
      <c r="AX64" s="339">
        <f t="shared" si="14"/>
        <v>0</v>
      </c>
      <c r="AY64" s="339">
        <f t="shared" si="14"/>
        <v>0</v>
      </c>
      <c r="AZ64" s="339">
        <f t="shared" si="14"/>
        <v>0</v>
      </c>
      <c r="BA64" s="339">
        <f t="shared" si="14"/>
        <v>0</v>
      </c>
      <c r="BB64" s="339">
        <f t="shared" si="14"/>
        <v>0</v>
      </c>
      <c r="BC64" s="344">
        <f t="shared" si="14"/>
        <v>0</v>
      </c>
      <c r="BD64" s="344">
        <f t="shared" si="14"/>
        <v>0</v>
      </c>
      <c r="BE64" s="339">
        <f t="shared" si="14"/>
        <v>0</v>
      </c>
      <c r="BF64" s="593"/>
      <c r="BG64" s="593"/>
      <c r="BH64" s="593"/>
      <c r="BI64" s="593"/>
      <c r="BJ64" s="593"/>
      <c r="BK64" s="593"/>
      <c r="BL64" s="593"/>
      <c r="BM64" s="593"/>
      <c r="BN64" s="792"/>
      <c r="BO64" s="792"/>
      <c r="BP64" s="783"/>
      <c r="BQ64" s="793"/>
      <c r="BR64" s="783"/>
      <c r="BS64" s="783"/>
    </row>
    <row r="65" spans="1:71" x14ac:dyDescent="0.25">
      <c r="A65" s="42" t="s">
        <v>42</v>
      </c>
      <c r="B65" s="339"/>
      <c r="C65" s="340"/>
      <c r="D65" s="340"/>
      <c r="E65" s="340"/>
      <c r="F65" s="340"/>
      <c r="G65" s="340"/>
      <c r="H65" s="340"/>
      <c r="I65" s="340"/>
      <c r="J65" s="340"/>
      <c r="K65" s="342"/>
      <c r="L65" s="340"/>
      <c r="M65" s="340"/>
      <c r="N65" s="340"/>
      <c r="O65" s="340"/>
      <c r="P65" s="340"/>
      <c r="Q65" s="340"/>
      <c r="R65" s="340"/>
      <c r="S65" s="340"/>
      <c r="T65" s="344"/>
      <c r="U65" s="344"/>
      <c r="V65" s="344"/>
      <c r="W65" s="344"/>
      <c r="X65" s="523"/>
      <c r="Y65" s="500"/>
      <c r="Z65" s="500"/>
      <c r="AC65" s="2"/>
      <c r="AF65" s="741"/>
      <c r="AG65" s="756"/>
      <c r="AI65" s="840"/>
      <c r="AJ65" s="768"/>
      <c r="AK65" s="768"/>
      <c r="AL65" s="768"/>
      <c r="AM65" s="768"/>
      <c r="AN65" s="768"/>
      <c r="AO65" s="768"/>
      <c r="AP65" s="768"/>
      <c r="AQ65" s="768"/>
      <c r="AR65" s="768"/>
      <c r="AS65" s="768"/>
      <c r="AT65" s="768"/>
      <c r="AU65" s="858"/>
      <c r="AV65" s="340"/>
      <c r="AW65" s="340"/>
      <c r="AX65" s="340"/>
      <c r="AY65" s="340"/>
      <c r="AZ65" s="340"/>
      <c r="BA65" s="79"/>
      <c r="BB65" s="254"/>
      <c r="BC65" s="314"/>
      <c r="BD65" s="522"/>
      <c r="BE65" s="522"/>
      <c r="BF65" s="787"/>
      <c r="BG65" s="779"/>
      <c r="BH65" s="779"/>
      <c r="BI65" s="783"/>
      <c r="BJ65" s="783"/>
      <c r="BK65" s="784"/>
      <c r="BL65" s="783"/>
      <c r="BM65" s="783"/>
      <c r="BN65" s="767"/>
      <c r="BO65" s="766"/>
      <c r="BP65" s="783"/>
      <c r="BQ65" s="793"/>
      <c r="BR65" s="783"/>
      <c r="BS65" s="783"/>
    </row>
    <row r="66" spans="1:71" x14ac:dyDescent="0.25">
      <c r="A66" s="35" t="s">
        <v>36</v>
      </c>
      <c r="B66" s="339">
        <v>147639.79</v>
      </c>
      <c r="C66" s="346">
        <v>50446.73</v>
      </c>
      <c r="D66" s="346">
        <v>100138.32</v>
      </c>
      <c r="E66" s="346">
        <v>37719.61</v>
      </c>
      <c r="F66" s="346">
        <v>28139.1</v>
      </c>
      <c r="G66" s="346">
        <v>16155.05</v>
      </c>
      <c r="H66" s="346">
        <v>1669.31</v>
      </c>
      <c r="I66" s="346">
        <v>4787.46</v>
      </c>
      <c r="J66" s="346">
        <v>412.51</v>
      </c>
      <c r="K66" s="347">
        <v>28313.79</v>
      </c>
      <c r="L66" s="340">
        <v>37734.400000000001</v>
      </c>
      <c r="M66" s="340">
        <v>9333.43</v>
      </c>
      <c r="N66" s="340">
        <v>79581.62</v>
      </c>
      <c r="O66" s="340">
        <v>36807.660000000003</v>
      </c>
      <c r="P66" s="340">
        <v>83810.38</v>
      </c>
      <c r="Q66" s="340">
        <v>55880.82</v>
      </c>
      <c r="R66" s="340">
        <v>52550.21</v>
      </c>
      <c r="S66" s="340">
        <v>42033.49</v>
      </c>
      <c r="T66" s="335">
        <v>21953.57</v>
      </c>
      <c r="U66" s="486">
        <v>23263.96</v>
      </c>
      <c r="V66" s="484">
        <v>18625.73</v>
      </c>
      <c r="W66" s="484">
        <v>51040.62</v>
      </c>
      <c r="X66" s="523">
        <v>88162.03</v>
      </c>
      <c r="Y66" s="523">
        <v>56189.45</v>
      </c>
      <c r="Z66" s="523">
        <v>148608.04999999999</v>
      </c>
      <c r="AA66" s="523">
        <v>58625.440000000002</v>
      </c>
      <c r="AB66" s="523">
        <v>87387.42</v>
      </c>
      <c r="AC66" s="592">
        <f>SUM(AC45,AC52,AC59)</f>
        <v>90192.47</v>
      </c>
      <c r="AD66" s="523">
        <v>35482.800000000003</v>
      </c>
      <c r="AE66" s="335">
        <v>32738.01</v>
      </c>
      <c r="AF66" s="660">
        <v>-7.69</v>
      </c>
      <c r="AG66" s="756">
        <v>317.06</v>
      </c>
      <c r="AH66">
        <v>-875.88</v>
      </c>
      <c r="AI66" s="840">
        <v>44040.45</v>
      </c>
      <c r="AJ66" s="768">
        <f>SUM(AJ45+AJ52+AJ59)</f>
        <v>68174.990000000005</v>
      </c>
      <c r="AK66" s="768">
        <f>SUM(AK45+AK52+AK59)</f>
        <v>28725.62</v>
      </c>
      <c r="AL66" s="768">
        <f>SUM(AL45+AL52+AL59)</f>
        <v>162687.84999999998</v>
      </c>
      <c r="AM66" s="768">
        <f>SUM(AM45+AM52+AM59)</f>
        <v>71694.69</v>
      </c>
      <c r="AN66" s="768">
        <v>135360.25</v>
      </c>
      <c r="AO66" s="768">
        <v>57146.16</v>
      </c>
      <c r="AP66" s="768">
        <v>54117.39</v>
      </c>
      <c r="AQ66" s="768">
        <v>34245.93</v>
      </c>
      <c r="AR66" s="768"/>
      <c r="AS66" s="768"/>
      <c r="AT66" s="768"/>
      <c r="AU66" s="858"/>
      <c r="AV66" s="340"/>
      <c r="AW66" s="340"/>
      <c r="AX66" s="340"/>
      <c r="AY66" s="340"/>
      <c r="AZ66" s="340"/>
      <c r="BA66" s="79"/>
      <c r="BB66" s="254"/>
      <c r="BC66" s="109"/>
      <c r="BD66" s="110"/>
      <c r="BE66" s="254"/>
      <c r="BF66" s="787"/>
      <c r="BG66" s="787"/>
      <c r="BH66" s="787"/>
      <c r="BI66" s="787"/>
      <c r="BJ66" s="787"/>
      <c r="BK66" s="801"/>
      <c r="BL66" s="787"/>
      <c r="BM66" s="593"/>
      <c r="BN66" s="792"/>
      <c r="BO66" s="766"/>
      <c r="BP66" s="783"/>
      <c r="BQ66" s="793"/>
      <c r="BR66" s="783"/>
      <c r="BS66" s="783"/>
    </row>
    <row r="67" spans="1:71" x14ac:dyDescent="0.25">
      <c r="A67" s="35" t="s">
        <v>37</v>
      </c>
      <c r="B67" s="339">
        <v>15234.65</v>
      </c>
      <c r="C67" s="346">
        <v>2199.38</v>
      </c>
      <c r="D67" s="346">
        <v>1398.46</v>
      </c>
      <c r="E67" s="348">
        <v>-3308.27</v>
      </c>
      <c r="F67" s="348">
        <v>-4629.87</v>
      </c>
      <c r="G67" s="348">
        <v>-5291.7</v>
      </c>
      <c r="H67" s="348">
        <v>-5288.9</v>
      </c>
      <c r="I67" s="348">
        <v>-3771.79</v>
      </c>
      <c r="J67" s="348">
        <v>-2991.12</v>
      </c>
      <c r="K67" s="344">
        <v>3761.68</v>
      </c>
      <c r="L67" s="339">
        <v>7936.96</v>
      </c>
      <c r="M67" s="346">
        <v>1247.21</v>
      </c>
      <c r="N67" s="346">
        <v>4319.03</v>
      </c>
      <c r="O67" s="346">
        <v>1848.27</v>
      </c>
      <c r="P67" s="346">
        <v>5341.64</v>
      </c>
      <c r="Q67" s="346">
        <v>4213.25</v>
      </c>
      <c r="R67" s="346">
        <v>5399.06</v>
      </c>
      <c r="S67" s="346">
        <v>1990.12</v>
      </c>
      <c r="T67" s="335">
        <v>259.23</v>
      </c>
      <c r="U67" s="486">
        <v>1841.57</v>
      </c>
      <c r="V67" s="484">
        <v>2278.35</v>
      </c>
      <c r="W67" s="484">
        <v>7957.3</v>
      </c>
      <c r="X67" s="523">
        <v>16017.82</v>
      </c>
      <c r="Y67" s="523">
        <v>14534.85</v>
      </c>
      <c r="Z67" s="523">
        <v>17680.77</v>
      </c>
      <c r="AA67" s="523">
        <v>3230.09</v>
      </c>
      <c r="AB67" s="523">
        <v>4146.55</v>
      </c>
      <c r="AC67" s="592">
        <f>SUM(AC46,AC53,AC60)</f>
        <v>-3428.55</v>
      </c>
      <c r="AD67" s="523">
        <v>230.43</v>
      </c>
      <c r="AE67" s="660">
        <v>-2538.7199999999998</v>
      </c>
      <c r="AF67" s="660">
        <v>-6785.89</v>
      </c>
      <c r="AG67" s="760">
        <v>-5353.91</v>
      </c>
      <c r="AH67" s="767">
        <v>-1099.6300000000001</v>
      </c>
      <c r="AI67" s="840">
        <v>979.68</v>
      </c>
      <c r="AJ67" s="768">
        <f t="shared" ref="AJ67:AM68" si="16">SUM(AJ46+AJ53+AJ60)</f>
        <v>83.299999999999727</v>
      </c>
      <c r="AK67" s="768">
        <f t="shared" si="16"/>
        <v>524.13000000000011</v>
      </c>
      <c r="AL67" s="768">
        <f t="shared" si="16"/>
        <v>10911.78</v>
      </c>
      <c r="AM67" s="768">
        <f t="shared" si="16"/>
        <v>12371.009999999998</v>
      </c>
      <c r="AN67" s="768">
        <v>14547.61</v>
      </c>
      <c r="AO67" s="882">
        <v>-8907.94</v>
      </c>
      <c r="AP67" s="882">
        <v>-14965.54</v>
      </c>
      <c r="AQ67" s="882">
        <v>-21558.43</v>
      </c>
      <c r="AR67" s="768"/>
      <c r="AS67" s="768"/>
      <c r="AT67" s="768"/>
      <c r="AU67" s="858"/>
      <c r="AV67" s="340"/>
      <c r="AW67" s="340"/>
      <c r="AX67" s="340"/>
      <c r="AY67" s="340"/>
      <c r="AZ67" s="340"/>
      <c r="BA67" s="79"/>
      <c r="BB67" s="254"/>
      <c r="BC67" s="109"/>
      <c r="BD67" s="110"/>
      <c r="BE67" s="254"/>
      <c r="BF67" s="787"/>
      <c r="BG67" s="787"/>
      <c r="BH67" s="787"/>
      <c r="BI67" s="787"/>
      <c r="BJ67" s="787"/>
      <c r="BK67" s="801"/>
      <c r="BL67" s="787"/>
      <c r="BM67" s="792"/>
      <c r="BN67" s="792"/>
      <c r="BO67" s="767"/>
      <c r="BP67" s="767"/>
      <c r="BQ67" s="793"/>
      <c r="BR67" s="783"/>
      <c r="BS67" s="783"/>
    </row>
    <row r="68" spans="1:71" x14ac:dyDescent="0.25">
      <c r="A68" s="35" t="s">
        <v>38</v>
      </c>
      <c r="B68" s="339">
        <v>11692.34</v>
      </c>
      <c r="C68" s="346">
        <v>2846.31</v>
      </c>
      <c r="D68" s="346">
        <v>6735.68</v>
      </c>
      <c r="E68" s="346">
        <v>1512.67</v>
      </c>
      <c r="F68" s="346">
        <v>2228.2800000000002</v>
      </c>
      <c r="G68" s="346">
        <v>2575.31</v>
      </c>
      <c r="H68" s="348">
        <v>-7566.37</v>
      </c>
      <c r="I68" s="348">
        <v>-3461.79</v>
      </c>
      <c r="J68" s="348">
        <v>-4739.74</v>
      </c>
      <c r="K68" s="344">
        <v>1222.1600000000001</v>
      </c>
      <c r="L68" s="339">
        <v>8359.98</v>
      </c>
      <c r="M68" s="348">
        <v>-3679.27</v>
      </c>
      <c r="N68" s="346">
        <v>5419.03</v>
      </c>
      <c r="O68" s="348">
        <v>-388.65</v>
      </c>
      <c r="P68" s="346">
        <v>11453.58</v>
      </c>
      <c r="Q68" s="346">
        <v>5136.1000000000004</v>
      </c>
      <c r="R68" s="346">
        <v>1721.52</v>
      </c>
      <c r="S68" s="346">
        <v>1889.44</v>
      </c>
      <c r="T68" s="660">
        <v>-2537.4499999999998</v>
      </c>
      <c r="U68" s="486">
        <v>2827.3</v>
      </c>
      <c r="V68" s="533">
        <v>-3947.53</v>
      </c>
      <c r="W68" s="484">
        <v>1193.8699999999999</v>
      </c>
      <c r="X68" s="523">
        <v>14522.41</v>
      </c>
      <c r="Y68" s="434">
        <v>-1308.1099999999999</v>
      </c>
      <c r="Z68" s="523">
        <v>28217.23</v>
      </c>
      <c r="AA68" s="523">
        <v>7450.49</v>
      </c>
      <c r="AB68" s="434">
        <v>-5922.68</v>
      </c>
      <c r="AC68" s="592">
        <f>SUM(AC47,AC54,AC61)</f>
        <v>-4597.59</v>
      </c>
      <c r="AD68" s="434">
        <v>-7248.49</v>
      </c>
      <c r="AE68" s="660">
        <v>-5378.28</v>
      </c>
      <c r="AF68" s="660">
        <v>-6769.15</v>
      </c>
      <c r="AG68" s="760">
        <v>-4835.5</v>
      </c>
      <c r="AH68" s="767">
        <v>-5388.62</v>
      </c>
      <c r="AI68" s="840">
        <v>27233.84</v>
      </c>
      <c r="AJ68" s="768">
        <f t="shared" si="16"/>
        <v>5956.34</v>
      </c>
      <c r="AK68" s="768">
        <f t="shared" si="16"/>
        <v>-43.7199999999998</v>
      </c>
      <c r="AL68" s="768">
        <f t="shared" si="16"/>
        <v>7862.6999999999989</v>
      </c>
      <c r="AM68" s="768">
        <f t="shared" si="16"/>
        <v>-356.95999999999958</v>
      </c>
      <c r="AN68" s="768">
        <v>31424.99</v>
      </c>
      <c r="AO68" s="768">
        <v>4083.84</v>
      </c>
      <c r="AP68" s="768">
        <v>7276.42</v>
      </c>
      <c r="AQ68" s="882">
        <v>-3962.92</v>
      </c>
      <c r="AR68" s="768"/>
      <c r="AS68" s="768"/>
      <c r="AT68" s="768"/>
      <c r="AU68" s="858"/>
      <c r="AV68" s="340"/>
      <c r="AW68" s="340"/>
      <c r="AX68" s="340"/>
      <c r="AY68" s="340"/>
      <c r="AZ68" s="340"/>
      <c r="BA68" s="79"/>
      <c r="BB68" s="254"/>
      <c r="BC68" s="109"/>
      <c r="BD68" s="110"/>
      <c r="BE68" s="254"/>
      <c r="BF68" s="787"/>
      <c r="BG68" s="792"/>
      <c r="BH68" s="787"/>
      <c r="BI68" s="787"/>
      <c r="BJ68" s="792"/>
      <c r="BK68" s="801"/>
      <c r="BL68" s="792"/>
      <c r="BM68" s="792"/>
      <c r="BN68" s="792"/>
      <c r="BO68" s="767"/>
      <c r="BP68" s="767"/>
      <c r="BQ68" s="793"/>
      <c r="BR68" s="783"/>
      <c r="BS68" s="783"/>
    </row>
    <row r="69" spans="1:71" x14ac:dyDescent="0.25">
      <c r="A69" s="35" t="s">
        <v>39</v>
      </c>
      <c r="B69" s="339"/>
      <c r="C69" s="346"/>
      <c r="D69" s="346"/>
      <c r="E69" s="346"/>
      <c r="F69" s="346"/>
      <c r="G69" s="346"/>
      <c r="H69" s="346"/>
      <c r="I69" s="346"/>
      <c r="J69" s="346"/>
      <c r="K69" s="344"/>
      <c r="L69" s="339"/>
      <c r="M69" s="346"/>
      <c r="N69" s="346"/>
      <c r="O69" s="346"/>
      <c r="P69" s="346"/>
      <c r="Q69" s="346"/>
      <c r="R69" s="346"/>
      <c r="S69" s="346"/>
      <c r="T69" s="335"/>
      <c r="U69" s="486"/>
      <c r="V69" s="484"/>
      <c r="W69" s="484"/>
      <c r="X69" s="523"/>
      <c r="Y69" s="500"/>
      <c r="Z69" s="500"/>
      <c r="AC69" s="2"/>
      <c r="AG69" s="756"/>
      <c r="AI69" s="840"/>
      <c r="AJ69" s="768"/>
      <c r="AK69" s="768"/>
      <c r="AL69" s="768"/>
      <c r="AM69" s="768"/>
      <c r="AN69" s="768"/>
      <c r="AO69" s="768"/>
      <c r="AP69" s="768"/>
      <c r="AQ69" s="768"/>
      <c r="AR69" s="768"/>
      <c r="AS69" s="768"/>
      <c r="AT69" s="768"/>
      <c r="AU69" s="858"/>
      <c r="AV69" s="340"/>
      <c r="AW69" s="340"/>
      <c r="AX69" s="340"/>
      <c r="AY69" s="340"/>
      <c r="AZ69" s="340"/>
      <c r="BA69" s="79"/>
      <c r="BB69" s="254"/>
      <c r="BC69" s="109"/>
      <c r="BD69" s="110"/>
      <c r="BE69" s="254"/>
      <c r="BF69" s="787"/>
      <c r="BG69" s="779"/>
      <c r="BH69" s="779"/>
      <c r="BI69" s="783"/>
      <c r="BJ69" s="783"/>
      <c r="BK69" s="784"/>
      <c r="BL69" s="783"/>
      <c r="BM69" s="783"/>
      <c r="BN69" s="783"/>
      <c r="BO69" s="766"/>
      <c r="BP69" s="783"/>
      <c r="BQ69" s="793"/>
      <c r="BR69" s="783"/>
      <c r="BS69" s="783"/>
    </row>
    <row r="70" spans="1:71" x14ac:dyDescent="0.25">
      <c r="A70" s="35" t="s">
        <v>61</v>
      </c>
      <c r="B70" s="339"/>
      <c r="C70" s="346"/>
      <c r="D70" s="346"/>
      <c r="E70" s="346"/>
      <c r="F70" s="346"/>
      <c r="G70" s="346"/>
      <c r="H70" s="346"/>
      <c r="I70" s="346"/>
      <c r="J70" s="346"/>
      <c r="K70" s="344"/>
      <c r="L70" s="339"/>
      <c r="M70" s="346"/>
      <c r="N70" s="346"/>
      <c r="O70" s="346"/>
      <c r="P70" s="346"/>
      <c r="Q70" s="346"/>
      <c r="R70" s="346"/>
      <c r="S70" s="346"/>
      <c r="T70" s="335"/>
      <c r="U70" s="486"/>
      <c r="V70" s="484"/>
      <c r="W70" s="484"/>
      <c r="X70" s="523"/>
      <c r="Y70" s="500"/>
      <c r="Z70" s="500"/>
      <c r="AC70" s="2"/>
      <c r="AG70" s="756"/>
      <c r="AI70" s="838"/>
      <c r="AU70" s="857"/>
      <c r="AV70" s="340"/>
      <c r="AW70" s="340"/>
      <c r="AX70" s="340"/>
      <c r="AY70" s="340"/>
      <c r="AZ70" s="340"/>
      <c r="BA70" s="79"/>
      <c r="BB70" s="254"/>
      <c r="BC70" s="109"/>
      <c r="BD70" s="110"/>
      <c r="BE70" s="254"/>
      <c r="BF70" s="787"/>
      <c r="BG70" s="779"/>
      <c r="BH70" s="779"/>
      <c r="BI70" s="783"/>
      <c r="BJ70" s="783"/>
      <c r="BK70" s="784"/>
      <c r="BL70" s="783"/>
      <c r="BM70" s="783"/>
      <c r="BN70" s="783"/>
      <c r="BO70" s="766"/>
      <c r="BP70" s="783"/>
      <c r="BQ70" s="783"/>
      <c r="BR70" s="783"/>
      <c r="BS70" s="783"/>
    </row>
    <row r="71" spans="1:71" ht="15.75" thickBot="1" x14ac:dyDescent="0.3">
      <c r="A71" s="37" t="s">
        <v>41</v>
      </c>
      <c r="B71" s="349">
        <f t="shared" ref="B71:BE71" si="17">SUM(B66:B70)</f>
        <v>174566.78</v>
      </c>
      <c r="C71" s="349">
        <f t="shared" si="17"/>
        <v>55492.42</v>
      </c>
      <c r="D71" s="349">
        <f t="shared" si="17"/>
        <v>108272.46000000002</v>
      </c>
      <c r="E71" s="349">
        <f t="shared" si="17"/>
        <v>35924.01</v>
      </c>
      <c r="F71" s="349">
        <f t="shared" si="17"/>
        <v>25737.51</v>
      </c>
      <c r="G71" s="349">
        <f t="shared" si="17"/>
        <v>13438.659999999998</v>
      </c>
      <c r="H71" s="350">
        <f t="shared" si="17"/>
        <v>-11185.96</v>
      </c>
      <c r="I71" s="350">
        <f t="shared" si="17"/>
        <v>-2446.12</v>
      </c>
      <c r="J71" s="350">
        <f t="shared" si="17"/>
        <v>-7318.3499999999995</v>
      </c>
      <c r="K71" s="349">
        <f t="shared" si="17"/>
        <v>33297.630000000005</v>
      </c>
      <c r="L71" s="349">
        <f t="shared" si="17"/>
        <v>54031.34</v>
      </c>
      <c r="M71" s="349">
        <f t="shared" si="17"/>
        <v>6901.369999999999</v>
      </c>
      <c r="N71" s="349">
        <f t="shared" si="17"/>
        <v>89319.679999999993</v>
      </c>
      <c r="O71" s="349">
        <f t="shared" si="17"/>
        <v>38267.279999999999</v>
      </c>
      <c r="P71" s="349">
        <f t="shared" si="17"/>
        <v>100605.6</v>
      </c>
      <c r="Q71" s="349">
        <f t="shared" si="17"/>
        <v>65230.17</v>
      </c>
      <c r="R71" s="349">
        <f t="shared" si="17"/>
        <v>59670.789999999994</v>
      </c>
      <c r="S71" s="349">
        <f t="shared" si="17"/>
        <v>45913.05</v>
      </c>
      <c r="T71" s="349">
        <f t="shared" si="17"/>
        <v>19675.349999999999</v>
      </c>
      <c r="U71" s="815">
        <f t="shared" si="17"/>
        <v>27932.829999999998</v>
      </c>
      <c r="V71" s="349">
        <f t="shared" si="17"/>
        <v>16956.55</v>
      </c>
      <c r="W71" s="349">
        <f t="shared" si="17"/>
        <v>60191.790000000008</v>
      </c>
      <c r="X71" s="349">
        <f t="shared" ref="X71:AG71" si="18">SUM(X66:X70)</f>
        <v>118702.26000000001</v>
      </c>
      <c r="Y71" s="349">
        <f t="shared" si="18"/>
        <v>69416.19</v>
      </c>
      <c r="Z71" s="349">
        <f t="shared" si="18"/>
        <v>194506.05</v>
      </c>
      <c r="AA71" s="349">
        <f t="shared" si="18"/>
        <v>69306.02</v>
      </c>
      <c r="AB71" s="349">
        <f t="shared" si="18"/>
        <v>85611.290000000008</v>
      </c>
      <c r="AC71" s="349">
        <f t="shared" si="18"/>
        <v>82166.33</v>
      </c>
      <c r="AD71" s="349">
        <f t="shared" si="18"/>
        <v>28464.740000000005</v>
      </c>
      <c r="AE71" s="349">
        <f t="shared" si="18"/>
        <v>24821.01</v>
      </c>
      <c r="AF71" s="350">
        <f t="shared" si="18"/>
        <v>-13562.73</v>
      </c>
      <c r="AG71" s="350">
        <f t="shared" si="18"/>
        <v>-9872.3499999999985</v>
      </c>
      <c r="AH71">
        <v>-7364.13</v>
      </c>
      <c r="AI71" s="842">
        <f>SUM(AI66:AI70)</f>
        <v>72253.97</v>
      </c>
      <c r="AJ71" s="770">
        <f>SUM(AJ66:AJ70)</f>
        <v>74214.63</v>
      </c>
      <c r="AK71" s="770">
        <f>SUM(AK66:AK70)</f>
        <v>29206.03</v>
      </c>
      <c r="AL71" s="770">
        <f>SUM(AL66:AL70)</f>
        <v>181462.33</v>
      </c>
      <c r="AM71" s="770">
        <f>SUM(AM66:AM70)</f>
        <v>83708.739999999991</v>
      </c>
      <c r="AN71" s="770">
        <v>181332.85</v>
      </c>
      <c r="AO71" s="770">
        <v>52322.06</v>
      </c>
      <c r="AP71" s="770">
        <v>46428.27</v>
      </c>
      <c r="AQ71" s="770">
        <v>8724.58</v>
      </c>
      <c r="AR71" s="770"/>
      <c r="AS71" s="770"/>
      <c r="AT71" s="770"/>
      <c r="AU71" s="860"/>
      <c r="AV71" s="815">
        <f t="shared" si="17"/>
        <v>0</v>
      </c>
      <c r="AW71" s="349">
        <f t="shared" si="17"/>
        <v>0</v>
      </c>
      <c r="AX71" s="349">
        <f t="shared" si="17"/>
        <v>0</v>
      </c>
      <c r="AY71" s="349">
        <f t="shared" si="17"/>
        <v>0</v>
      </c>
      <c r="AZ71" s="349">
        <f t="shared" si="17"/>
        <v>0</v>
      </c>
      <c r="BA71" s="349">
        <f t="shared" si="17"/>
        <v>0</v>
      </c>
      <c r="BB71" s="349">
        <f t="shared" si="17"/>
        <v>0</v>
      </c>
      <c r="BC71" s="815">
        <f t="shared" si="17"/>
        <v>0</v>
      </c>
      <c r="BD71" s="815">
        <f t="shared" si="17"/>
        <v>0</v>
      </c>
      <c r="BE71" s="349">
        <f t="shared" si="17"/>
        <v>0</v>
      </c>
      <c r="BF71" s="593"/>
      <c r="BG71" s="593"/>
      <c r="BH71" s="593"/>
      <c r="BI71" s="593"/>
      <c r="BJ71" s="593"/>
      <c r="BK71" s="593"/>
      <c r="BL71" s="593"/>
      <c r="BM71" s="593"/>
      <c r="BN71" s="792"/>
      <c r="BO71" s="792"/>
      <c r="BP71" s="783"/>
      <c r="BQ71" s="802"/>
      <c r="BR71" s="783"/>
      <c r="BS71" s="783"/>
    </row>
    <row r="72" spans="1:71" x14ac:dyDescent="0.25">
      <c r="A72" s="41" t="s">
        <v>33</v>
      </c>
      <c r="B72" s="155"/>
      <c r="C72" s="64"/>
      <c r="D72" s="64"/>
      <c r="E72" s="64"/>
      <c r="F72" s="64"/>
      <c r="G72" s="64"/>
      <c r="H72" s="64"/>
      <c r="I72" s="64"/>
      <c r="J72" s="64"/>
      <c r="K72" s="165"/>
      <c r="L72" s="64"/>
      <c r="M72" s="64"/>
      <c r="N72" s="64"/>
      <c r="O72" s="64"/>
      <c r="P72" s="64"/>
      <c r="Q72" s="64"/>
      <c r="R72" s="64"/>
      <c r="S72" s="64"/>
      <c r="T72" s="320"/>
      <c r="U72" s="320"/>
      <c r="V72" s="320"/>
      <c r="W72" s="320"/>
      <c r="X72" s="523"/>
      <c r="Y72" s="500"/>
      <c r="Z72" s="500"/>
      <c r="AC72" s="2"/>
      <c r="AG72" s="756"/>
      <c r="AI72" s="838"/>
      <c r="AQ72" s="917"/>
      <c r="AU72" s="857"/>
      <c r="AV72" s="64"/>
      <c r="AW72" s="64"/>
      <c r="AX72" s="64"/>
      <c r="AY72" s="64"/>
      <c r="AZ72" s="64"/>
      <c r="BA72" s="64"/>
      <c r="BB72" s="255"/>
      <c r="BC72" s="315"/>
      <c r="BD72" s="534"/>
      <c r="BE72" s="534"/>
      <c r="BF72" s="787"/>
      <c r="BG72" s="779"/>
      <c r="BH72" s="779"/>
      <c r="BI72" s="783"/>
      <c r="BJ72" s="783"/>
      <c r="BK72" s="784"/>
      <c r="BL72" s="783"/>
      <c r="BM72" s="783"/>
      <c r="BN72" s="783"/>
      <c r="BO72" s="766"/>
      <c r="BP72" s="783"/>
      <c r="BQ72" s="783"/>
      <c r="BR72" s="783"/>
      <c r="BS72" s="783"/>
    </row>
    <row r="73" spans="1:71" x14ac:dyDescent="0.25">
      <c r="A73" s="35" t="s">
        <v>36</v>
      </c>
      <c r="B73" s="339">
        <v>290184.34999999998</v>
      </c>
      <c r="C73" s="340">
        <v>173694.58</v>
      </c>
      <c r="D73" s="774">
        <v>93046.57</v>
      </c>
      <c r="E73" s="774">
        <v>56249.74</v>
      </c>
      <c r="F73" s="340">
        <v>50714.32</v>
      </c>
      <c r="G73" s="340">
        <v>53585.19</v>
      </c>
      <c r="H73" s="340">
        <v>53876.92</v>
      </c>
      <c r="I73" s="340">
        <v>95539.76</v>
      </c>
      <c r="J73" s="340">
        <v>183309.73</v>
      </c>
      <c r="K73" s="342">
        <v>278139.59999999998</v>
      </c>
      <c r="L73" s="340">
        <v>323987.03999999998</v>
      </c>
      <c r="M73" s="340">
        <v>272058.15999999997</v>
      </c>
      <c r="N73" s="340">
        <v>226857.71</v>
      </c>
      <c r="O73" s="340">
        <v>193932.69</v>
      </c>
      <c r="P73" s="340">
        <v>91233.32</v>
      </c>
      <c r="Q73" s="340">
        <v>60391.040000000001</v>
      </c>
      <c r="R73" s="340">
        <v>49442.95</v>
      </c>
      <c r="S73" s="340">
        <v>49130.43</v>
      </c>
      <c r="T73" s="344">
        <v>66041.929999999993</v>
      </c>
      <c r="U73" s="344">
        <v>79599.649999999994</v>
      </c>
      <c r="V73" s="344">
        <v>167766.9</v>
      </c>
      <c r="W73" s="344">
        <v>291304.71999999997</v>
      </c>
      <c r="X73" s="523">
        <v>253256.29</v>
      </c>
      <c r="Y73" s="523">
        <v>277329.28999999998</v>
      </c>
      <c r="Z73" s="340">
        <v>237118.31</v>
      </c>
      <c r="AA73" s="535">
        <v>146383.71</v>
      </c>
      <c r="AB73" s="535">
        <v>71337.87</v>
      </c>
      <c r="AC73" s="771">
        <v>58077.84</v>
      </c>
      <c r="AD73" s="772">
        <v>55990.71</v>
      </c>
      <c r="AE73" s="753">
        <v>47334.15</v>
      </c>
      <c r="AF73" s="752">
        <v>50591.7</v>
      </c>
      <c r="AG73" s="773">
        <v>67404.27</v>
      </c>
      <c r="AH73" s="752">
        <v>236095.46</v>
      </c>
      <c r="AI73" s="843">
        <v>320297.28999999998</v>
      </c>
      <c r="AJ73" s="880">
        <v>677529.46600000001</v>
      </c>
      <c r="AK73" s="881">
        <v>217323.29</v>
      </c>
      <c r="AL73" s="500">
        <v>175340.38500000001</v>
      </c>
      <c r="AM73" s="500">
        <v>89638.005000000005</v>
      </c>
      <c r="AN73" s="880">
        <v>54184.161999999997</v>
      </c>
      <c r="AO73" s="880">
        <v>32784.351999999999</v>
      </c>
      <c r="AP73" s="880">
        <v>23401.308000000001</v>
      </c>
      <c r="AQ73" s="880">
        <v>26641.548999999999</v>
      </c>
      <c r="AR73" s="523"/>
      <c r="AS73" s="523"/>
      <c r="AT73" s="523"/>
      <c r="AU73" s="861"/>
      <c r="AV73" s="340"/>
      <c r="AW73" s="340"/>
      <c r="AX73" s="340"/>
      <c r="AY73" s="340"/>
      <c r="AZ73" s="340"/>
      <c r="BA73" s="340"/>
      <c r="BB73" s="335"/>
      <c r="BC73" s="344"/>
      <c r="BD73" s="342"/>
      <c r="BE73" s="335"/>
      <c r="BF73" s="787"/>
      <c r="BG73" s="787"/>
      <c r="BH73" s="593"/>
      <c r="BI73" s="593"/>
      <c r="BJ73" s="593"/>
      <c r="BK73" s="771"/>
      <c r="BL73" s="771"/>
      <c r="BM73" s="803"/>
      <c r="BN73" s="803"/>
      <c r="BO73" s="804"/>
      <c r="BP73" s="803"/>
      <c r="BQ73" s="803"/>
      <c r="BR73" s="783"/>
      <c r="BS73" s="783"/>
    </row>
    <row r="74" spans="1:71" x14ac:dyDescent="0.25">
      <c r="A74" s="35" t="s">
        <v>37</v>
      </c>
      <c r="B74" s="339">
        <v>13581.98</v>
      </c>
      <c r="C74" s="340">
        <v>9607</v>
      </c>
      <c r="D74" s="774">
        <v>5084.55</v>
      </c>
      <c r="E74" s="774">
        <v>2990.51</v>
      </c>
      <c r="F74" s="340">
        <v>2900.88</v>
      </c>
      <c r="G74" s="340">
        <v>2701.9</v>
      </c>
      <c r="H74" s="340">
        <v>2814.98</v>
      </c>
      <c r="I74" s="340">
        <v>5224</v>
      </c>
      <c r="J74" s="340">
        <v>9379.4599999999991</v>
      </c>
      <c r="K74" s="342">
        <v>12396.24</v>
      </c>
      <c r="L74" s="340">
        <v>15335.48</v>
      </c>
      <c r="M74" s="340">
        <v>13625.86</v>
      </c>
      <c r="N74" s="340">
        <v>12010.88</v>
      </c>
      <c r="O74" s="340">
        <v>11024.85</v>
      </c>
      <c r="P74" s="340">
        <v>5190.42</v>
      </c>
      <c r="Q74" s="340">
        <v>3362.07</v>
      </c>
      <c r="R74" s="340">
        <v>2822.99</v>
      </c>
      <c r="S74" s="340">
        <v>2821.47</v>
      </c>
      <c r="T74" s="344">
        <v>3612.95</v>
      </c>
      <c r="U74" s="344">
        <v>4452.34</v>
      </c>
      <c r="V74" s="344">
        <v>9473.7999999999993</v>
      </c>
      <c r="W74" s="344">
        <v>17007.11</v>
      </c>
      <c r="X74" s="523">
        <v>13016.44</v>
      </c>
      <c r="Y74" s="523">
        <v>15108.74</v>
      </c>
      <c r="Z74" s="340">
        <v>16438.900000000001</v>
      </c>
      <c r="AA74" s="535">
        <v>9157.2000000000007</v>
      </c>
      <c r="AB74" s="535">
        <v>3524.43</v>
      </c>
      <c r="AC74" s="771">
        <v>2682.02</v>
      </c>
      <c r="AD74" s="772">
        <v>2658.89</v>
      </c>
      <c r="AE74" s="753">
        <v>2369.4499999999998</v>
      </c>
      <c r="AF74" s="753">
        <v>2411.52</v>
      </c>
      <c r="AG74" s="773">
        <v>3410.11</v>
      </c>
      <c r="AH74" s="752">
        <v>11665.52</v>
      </c>
      <c r="AI74" s="843">
        <v>16182.17</v>
      </c>
      <c r="AJ74" s="880">
        <v>17486.017</v>
      </c>
      <c r="AK74" s="500">
        <v>15011.36</v>
      </c>
      <c r="AL74" s="500">
        <v>12092.886</v>
      </c>
      <c r="AM74" s="500">
        <v>6605.6170000000002</v>
      </c>
      <c r="AN74" s="880">
        <v>4117.3180000000002</v>
      </c>
      <c r="AO74" s="880">
        <v>2488.5239999999999</v>
      </c>
      <c r="AP74" s="880">
        <v>1784.6690000000001</v>
      </c>
      <c r="AQ74" s="880">
        <v>2114.62</v>
      </c>
      <c r="AR74" s="523"/>
      <c r="AS74" s="523"/>
      <c r="AT74" s="523"/>
      <c r="AU74" s="861"/>
      <c r="AV74" s="340"/>
      <c r="AW74" s="340"/>
      <c r="AX74" s="340"/>
      <c r="AY74" s="340"/>
      <c r="AZ74" s="340"/>
      <c r="BA74" s="340"/>
      <c r="BB74" s="335"/>
      <c r="BC74" s="344"/>
      <c r="BD74" s="342"/>
      <c r="BE74" s="335"/>
      <c r="BF74" s="787"/>
      <c r="BG74" s="787"/>
      <c r="BH74" s="593"/>
      <c r="BI74" s="593"/>
      <c r="BJ74" s="593"/>
      <c r="BK74" s="771"/>
      <c r="BL74" s="771"/>
      <c r="BM74" s="803"/>
      <c r="BN74" s="803"/>
      <c r="BO74" s="804"/>
      <c r="BP74" s="803"/>
      <c r="BQ74" s="803"/>
      <c r="BR74" s="783"/>
      <c r="BS74" s="783"/>
    </row>
    <row r="75" spans="1:71" x14ac:dyDescent="0.25">
      <c r="A75" s="35" t="s">
        <v>38</v>
      </c>
      <c r="B75" s="339">
        <v>122728.26</v>
      </c>
      <c r="C75" s="340">
        <v>72701.86</v>
      </c>
      <c r="D75" s="774">
        <v>34957.949999999997</v>
      </c>
      <c r="E75" s="774">
        <v>21340.31</v>
      </c>
      <c r="F75" s="340">
        <v>20201.32</v>
      </c>
      <c r="G75" s="340">
        <v>20183.310000000001</v>
      </c>
      <c r="H75" s="340">
        <v>19164.45</v>
      </c>
      <c r="I75" s="340">
        <v>30060.639999999999</v>
      </c>
      <c r="J75" s="340">
        <v>55659.15</v>
      </c>
      <c r="K75" s="342">
        <v>85962.240000000005</v>
      </c>
      <c r="L75" s="340">
        <v>102309.03</v>
      </c>
      <c r="M75" s="340">
        <v>84980.29</v>
      </c>
      <c r="N75" s="340">
        <v>66939.490000000005</v>
      </c>
      <c r="O75" s="340">
        <v>50102.51</v>
      </c>
      <c r="P75" s="340">
        <v>24313.599999999999</v>
      </c>
      <c r="Q75" s="340">
        <v>17206.419999999998</v>
      </c>
      <c r="R75" s="340">
        <v>15466.46</v>
      </c>
      <c r="S75" s="340">
        <v>15760.55</v>
      </c>
      <c r="T75" s="344">
        <v>21939.87</v>
      </c>
      <c r="U75" s="344">
        <v>23020.49</v>
      </c>
      <c r="V75" s="344">
        <v>47388.08</v>
      </c>
      <c r="W75" s="344">
        <v>85680.89</v>
      </c>
      <c r="X75" s="523">
        <v>68215.12</v>
      </c>
      <c r="Y75" s="523">
        <v>83690.14</v>
      </c>
      <c r="Z75" s="340">
        <v>63301.95</v>
      </c>
      <c r="AA75" s="535">
        <v>40791.980000000003</v>
      </c>
      <c r="AB75" s="535">
        <v>18920.13</v>
      </c>
      <c r="AC75" s="771">
        <v>15221.07</v>
      </c>
      <c r="AD75" s="772">
        <v>17570.64</v>
      </c>
      <c r="AE75" s="753">
        <v>14266.88</v>
      </c>
      <c r="AF75" s="753">
        <v>15524.4</v>
      </c>
      <c r="AG75" s="773">
        <v>26762.15</v>
      </c>
      <c r="AH75" s="752">
        <v>96507.37</v>
      </c>
      <c r="AI75" s="843">
        <v>137760.98000000001</v>
      </c>
      <c r="AJ75" s="880">
        <v>128726.53599999999</v>
      </c>
      <c r="AK75" s="500">
        <v>109992.235</v>
      </c>
      <c r="AL75" s="500">
        <v>90048.657000000007</v>
      </c>
      <c r="AM75" s="500">
        <v>45823.671000000002</v>
      </c>
      <c r="AN75" s="880">
        <v>27553.474999999999</v>
      </c>
      <c r="AO75" s="880">
        <v>16491.481</v>
      </c>
      <c r="AP75" s="880">
        <v>10550.883</v>
      </c>
      <c r="AQ75" s="880">
        <v>13284.092000000001</v>
      </c>
      <c r="AR75" s="523"/>
      <c r="AS75" s="523"/>
      <c r="AT75" s="523"/>
      <c r="AU75" s="861"/>
      <c r="AV75" s="340"/>
      <c r="AW75" s="340"/>
      <c r="AX75" s="340"/>
      <c r="AY75" s="340"/>
      <c r="AZ75" s="340"/>
      <c r="BA75" s="340"/>
      <c r="BB75" s="335"/>
      <c r="BC75" s="344"/>
      <c r="BD75" s="342"/>
      <c r="BE75" s="335"/>
      <c r="BF75" s="787"/>
      <c r="BG75" s="787"/>
      <c r="BH75" s="593"/>
      <c r="BI75" s="593"/>
      <c r="BJ75" s="593"/>
      <c r="BK75" s="771"/>
      <c r="BL75" s="771"/>
      <c r="BM75" s="803"/>
      <c r="BN75" s="803"/>
      <c r="BO75" s="804"/>
      <c r="BP75" s="803"/>
      <c r="BQ75" s="803"/>
      <c r="BR75" s="783"/>
      <c r="BS75" s="783"/>
    </row>
    <row r="76" spans="1:71" x14ac:dyDescent="0.25">
      <c r="A76" s="35" t="s">
        <v>39</v>
      </c>
      <c r="B76" s="339"/>
      <c r="C76" s="340"/>
      <c r="D76" s="340"/>
      <c r="E76" s="340"/>
      <c r="F76" s="340"/>
      <c r="G76" s="340"/>
      <c r="H76" s="340"/>
      <c r="I76" s="340"/>
      <c r="J76" s="340"/>
      <c r="K76" s="342"/>
      <c r="L76" s="340"/>
      <c r="M76" s="340"/>
      <c r="N76" s="340"/>
      <c r="O76" s="340"/>
      <c r="P76" s="340"/>
      <c r="Q76" s="340"/>
      <c r="R76" s="340"/>
      <c r="S76" s="340"/>
      <c r="T76" s="344"/>
      <c r="U76" s="344"/>
      <c r="V76" s="344"/>
      <c r="W76" s="344"/>
      <c r="X76" s="523"/>
      <c r="Y76" s="523"/>
      <c r="Z76" s="500"/>
      <c r="AC76" s="2"/>
      <c r="AE76" s="556"/>
      <c r="AF76" s="556"/>
      <c r="AG76" s="756"/>
      <c r="AH76" s="525"/>
      <c r="AI76" s="844"/>
      <c r="AJ76" s="880"/>
      <c r="AK76" s="523"/>
      <c r="AL76" s="523"/>
      <c r="AM76" s="523"/>
      <c r="AN76" s="880"/>
      <c r="AO76" s="880"/>
      <c r="AP76" s="880"/>
      <c r="AQ76" s="880"/>
      <c r="AR76" s="523"/>
      <c r="AS76" s="523"/>
      <c r="AT76" s="523"/>
      <c r="AU76" s="861"/>
      <c r="AV76" s="340"/>
      <c r="AW76" s="340"/>
      <c r="AX76" s="340"/>
      <c r="AY76" s="340"/>
      <c r="AZ76" s="340"/>
      <c r="BA76" s="340"/>
      <c r="BB76" s="335"/>
      <c r="BC76" s="344"/>
      <c r="BD76" s="342"/>
      <c r="BE76" s="335"/>
      <c r="BF76" s="787"/>
      <c r="BG76" s="787"/>
      <c r="BH76" s="779"/>
      <c r="BI76" s="783"/>
      <c r="BJ76" s="783"/>
      <c r="BK76" s="784"/>
      <c r="BL76" s="783"/>
      <c r="BM76" s="779"/>
      <c r="BN76" s="779"/>
      <c r="BO76" s="766"/>
      <c r="BP76" s="790"/>
      <c r="BQ76" s="787"/>
      <c r="BR76" s="783"/>
      <c r="BS76" s="783"/>
    </row>
    <row r="77" spans="1:71" x14ac:dyDescent="0.25">
      <c r="A77" s="35" t="s">
        <v>61</v>
      </c>
      <c r="B77" s="339">
        <v>18564.060000000001</v>
      </c>
      <c r="C77" s="340">
        <v>10474.629999999999</v>
      </c>
      <c r="D77" s="340">
        <v>3427.51</v>
      </c>
      <c r="E77" s="340">
        <v>161.21</v>
      </c>
      <c r="F77" s="340">
        <v>0</v>
      </c>
      <c r="G77" s="340">
        <v>0</v>
      </c>
      <c r="H77" s="340">
        <v>2098.12</v>
      </c>
      <c r="I77" s="340">
        <v>14756.12</v>
      </c>
      <c r="J77" s="340">
        <v>30843.78</v>
      </c>
      <c r="K77" s="342">
        <v>42691.92</v>
      </c>
      <c r="L77" s="340">
        <v>53813.94</v>
      </c>
      <c r="M77" s="340">
        <v>43902.54</v>
      </c>
      <c r="N77" s="340">
        <v>27816.73</v>
      </c>
      <c r="O77" s="340">
        <v>7830.5</v>
      </c>
      <c r="P77" s="340">
        <v>1629.11</v>
      </c>
      <c r="Q77" s="340">
        <v>1328.1</v>
      </c>
      <c r="R77" s="340">
        <v>177.39</v>
      </c>
      <c r="S77" s="340">
        <v>294.79000000000002</v>
      </c>
      <c r="T77" s="344">
        <v>1938.1</v>
      </c>
      <c r="U77" s="344">
        <v>10253.629999999999</v>
      </c>
      <c r="V77" s="344">
        <v>33068.550000000003</v>
      </c>
      <c r="W77" s="344">
        <v>54115.040000000001</v>
      </c>
      <c r="X77" s="523">
        <v>41575.24</v>
      </c>
      <c r="Y77" s="523">
        <v>31966.91</v>
      </c>
      <c r="Z77" s="523">
        <v>30607.439999999999</v>
      </c>
      <c r="AA77" s="535">
        <v>11936.19</v>
      </c>
      <c r="AB77" s="535">
        <v>14237.28</v>
      </c>
      <c r="AC77" s="593">
        <v>3238.48</v>
      </c>
      <c r="AD77" s="535">
        <v>297.26</v>
      </c>
      <c r="AE77" s="556">
        <v>361.45</v>
      </c>
      <c r="AF77" s="556">
        <v>1281.24</v>
      </c>
      <c r="AG77" s="756">
        <v>0</v>
      </c>
      <c r="AH77" s="525"/>
      <c r="AI77" s="844"/>
      <c r="AJ77" s="880"/>
      <c r="AK77" s="523"/>
      <c r="AL77" s="523"/>
      <c r="AM77" s="523"/>
      <c r="AN77" s="880"/>
      <c r="AO77" s="880"/>
      <c r="AP77" s="880"/>
      <c r="AQ77" s="880"/>
      <c r="AR77" s="523"/>
      <c r="AS77" s="523"/>
      <c r="AT77" s="523"/>
      <c r="AU77" s="861"/>
      <c r="AV77" s="340"/>
      <c r="AW77" s="340"/>
      <c r="AX77" s="340"/>
      <c r="AY77" s="340"/>
      <c r="AZ77" s="340"/>
      <c r="BA77" s="340"/>
      <c r="BB77" s="335"/>
      <c r="BC77" s="344"/>
      <c r="BD77" s="342"/>
      <c r="BE77" s="335"/>
      <c r="BF77" s="787"/>
      <c r="BG77" s="787"/>
      <c r="BH77" s="787"/>
      <c r="BI77" s="593"/>
      <c r="BJ77" s="593"/>
      <c r="BK77" s="593"/>
      <c r="BL77" s="593"/>
      <c r="BM77" s="779"/>
      <c r="BN77" s="779"/>
      <c r="BO77" s="766"/>
      <c r="BP77" s="790"/>
      <c r="BQ77" s="787"/>
      <c r="BR77" s="783"/>
      <c r="BS77" s="783"/>
    </row>
    <row r="78" spans="1:71" x14ac:dyDescent="0.25">
      <c r="A78" s="35" t="s">
        <v>41</v>
      </c>
      <c r="B78" s="339">
        <f>SUM(B73:B77)</f>
        <v>445058.64999999997</v>
      </c>
      <c r="C78" s="339">
        <f t="shared" ref="C78:BE78" si="19">SUM(C73:C77)</f>
        <v>266478.07</v>
      </c>
      <c r="D78" s="339">
        <f t="shared" si="19"/>
        <v>136516.58000000002</v>
      </c>
      <c r="E78" s="339">
        <f t="shared" si="19"/>
        <v>80741.77</v>
      </c>
      <c r="F78" s="339">
        <f t="shared" si="19"/>
        <v>73816.51999999999</v>
      </c>
      <c r="G78" s="339">
        <f t="shared" si="19"/>
        <v>76470.400000000009</v>
      </c>
      <c r="H78" s="339">
        <f t="shared" si="19"/>
        <v>77954.47</v>
      </c>
      <c r="I78" s="339">
        <f t="shared" si="19"/>
        <v>145580.51999999999</v>
      </c>
      <c r="J78" s="339">
        <f t="shared" si="19"/>
        <v>279192.12</v>
      </c>
      <c r="K78" s="339">
        <f t="shared" si="19"/>
        <v>419189.99999999994</v>
      </c>
      <c r="L78" s="339">
        <f t="shared" si="19"/>
        <v>495445.48999999993</v>
      </c>
      <c r="M78" s="339">
        <f t="shared" si="19"/>
        <v>414566.84999999992</v>
      </c>
      <c r="N78" s="339">
        <f t="shared" si="19"/>
        <v>333624.81</v>
      </c>
      <c r="O78" s="339">
        <f t="shared" si="19"/>
        <v>262890.55000000005</v>
      </c>
      <c r="P78" s="339">
        <f t="shared" si="19"/>
        <v>122366.45</v>
      </c>
      <c r="Q78" s="339">
        <f t="shared" si="19"/>
        <v>82287.63</v>
      </c>
      <c r="R78" s="339">
        <f t="shared" si="19"/>
        <v>67909.789999999994</v>
      </c>
      <c r="S78" s="339">
        <f t="shared" si="19"/>
        <v>68007.239999999991</v>
      </c>
      <c r="T78" s="339">
        <f t="shared" si="19"/>
        <v>93532.849999999991</v>
      </c>
      <c r="U78" s="344">
        <f t="shared" si="19"/>
        <v>117326.11</v>
      </c>
      <c r="V78" s="339">
        <f t="shared" si="19"/>
        <v>257697.32999999996</v>
      </c>
      <c r="W78" s="339">
        <f t="shared" si="19"/>
        <v>448107.75999999995</v>
      </c>
      <c r="X78" s="339">
        <f t="shared" ref="X78:AE78" si="20">SUM(X73:X77)</f>
        <v>376063.08999999997</v>
      </c>
      <c r="Y78" s="339">
        <f t="shared" si="20"/>
        <v>408095.07999999996</v>
      </c>
      <c r="Z78" s="339">
        <f t="shared" si="20"/>
        <v>347466.6</v>
      </c>
      <c r="AA78" s="339">
        <f t="shared" si="20"/>
        <v>208269.08000000002</v>
      </c>
      <c r="AB78" s="339">
        <f t="shared" si="20"/>
        <v>108019.70999999999</v>
      </c>
      <c r="AC78" s="339">
        <f t="shared" si="20"/>
        <v>79219.409999999989</v>
      </c>
      <c r="AD78" s="339">
        <f t="shared" si="20"/>
        <v>76517.499999999985</v>
      </c>
      <c r="AE78" s="339">
        <f t="shared" si="20"/>
        <v>64331.929999999993</v>
      </c>
      <c r="AF78" s="339">
        <f t="shared" ref="AF78:AH78" si="21">SUM(AF73:AF77)</f>
        <v>69808.86</v>
      </c>
      <c r="AG78" s="339">
        <f t="shared" si="21"/>
        <v>97576.53</v>
      </c>
      <c r="AH78" s="339">
        <f t="shared" si="21"/>
        <v>344268.35</v>
      </c>
      <c r="AI78" s="845">
        <f t="shared" ref="AI78" si="22">SUM(AI73:AI77)</f>
        <v>474240.43999999994</v>
      </c>
      <c r="AJ78" s="523">
        <f>SUM(AJ73:AJ77)</f>
        <v>823742.01899999997</v>
      </c>
      <c r="AK78" s="752">
        <f>SUM(AK73:AK77)</f>
        <v>342326.88500000001</v>
      </c>
      <c r="AL78" s="752">
        <f>SUM(AL73:AL77)</f>
        <v>277481.92800000001</v>
      </c>
      <c r="AM78" s="752">
        <f>SUM(AM73:AM77)</f>
        <v>142067.29300000001</v>
      </c>
      <c r="AN78" s="884">
        <v>85854.955000000002</v>
      </c>
      <c r="AO78" s="884">
        <v>51764.357000000004</v>
      </c>
      <c r="AP78" s="884">
        <v>35736.86</v>
      </c>
      <c r="AQ78" s="884">
        <v>42040.260999999999</v>
      </c>
      <c r="AR78" s="339"/>
      <c r="AS78" s="339"/>
      <c r="AT78" s="339"/>
      <c r="AU78" s="862"/>
      <c r="AV78" s="344">
        <f t="shared" si="19"/>
        <v>0</v>
      </c>
      <c r="AW78" s="339">
        <f t="shared" si="19"/>
        <v>0</v>
      </c>
      <c r="AX78" s="339">
        <f t="shared" si="19"/>
        <v>0</v>
      </c>
      <c r="AY78" s="339">
        <f t="shared" si="19"/>
        <v>0</v>
      </c>
      <c r="AZ78" s="339">
        <f t="shared" si="19"/>
        <v>0</v>
      </c>
      <c r="BA78" s="339">
        <f t="shared" si="19"/>
        <v>0</v>
      </c>
      <c r="BB78" s="339">
        <f t="shared" si="19"/>
        <v>0</v>
      </c>
      <c r="BC78" s="344">
        <f t="shared" si="19"/>
        <v>0</v>
      </c>
      <c r="BD78" s="344">
        <f t="shared" si="19"/>
        <v>0</v>
      </c>
      <c r="BE78" s="339">
        <f t="shared" si="19"/>
        <v>0</v>
      </c>
      <c r="BF78" s="593"/>
      <c r="BG78" s="593"/>
      <c r="BH78" s="593"/>
      <c r="BI78" s="593"/>
      <c r="BJ78" s="593"/>
      <c r="BK78" s="593"/>
      <c r="BL78" s="593"/>
      <c r="BM78" s="593"/>
      <c r="BN78" s="593"/>
      <c r="BO78" s="593"/>
      <c r="BP78" s="593"/>
      <c r="BQ78" s="771"/>
      <c r="BR78" s="783"/>
      <c r="BS78" s="783"/>
    </row>
    <row r="79" spans="1:71" x14ac:dyDescent="0.25">
      <c r="A79" s="42" t="s">
        <v>34</v>
      </c>
      <c r="B79" s="339"/>
      <c r="C79" s="340"/>
      <c r="D79" s="340"/>
      <c r="E79" s="340"/>
      <c r="F79" s="340"/>
      <c r="G79" s="340"/>
      <c r="H79" s="340"/>
      <c r="I79" s="340"/>
      <c r="J79" s="340"/>
      <c r="K79" s="342"/>
      <c r="L79" s="340"/>
      <c r="M79" s="340"/>
      <c r="N79" s="340"/>
      <c r="O79" s="340"/>
      <c r="P79" s="340"/>
      <c r="Q79" s="340"/>
      <c r="R79" s="340"/>
      <c r="S79" s="340"/>
      <c r="T79" s="344"/>
      <c r="U79" s="344"/>
      <c r="V79" s="344"/>
      <c r="W79" s="344"/>
      <c r="X79" s="523"/>
      <c r="Y79" s="523"/>
      <c r="Z79" s="500"/>
      <c r="AC79" s="2"/>
      <c r="AG79" s="756"/>
      <c r="AH79" s="525"/>
      <c r="AI79" s="844"/>
      <c r="AK79" s="523"/>
      <c r="AL79" s="523"/>
      <c r="AM79" s="523"/>
      <c r="AN79" s="523"/>
      <c r="AO79" s="523"/>
      <c r="AP79" s="523"/>
      <c r="AQ79" s="523"/>
      <c r="AR79" s="523"/>
      <c r="AS79" s="523"/>
      <c r="AT79" s="523"/>
      <c r="AU79" s="861"/>
      <c r="AV79" s="340"/>
      <c r="AW79" s="340"/>
      <c r="AX79" s="340"/>
      <c r="AY79" s="340"/>
      <c r="AZ79" s="340"/>
      <c r="BA79" s="340"/>
      <c r="BB79" s="335"/>
      <c r="BC79" s="834"/>
      <c r="BD79" s="535"/>
      <c r="BE79" s="535"/>
      <c r="BF79" s="787"/>
      <c r="BG79" s="787"/>
      <c r="BH79" s="779"/>
      <c r="BI79" s="783"/>
      <c r="BJ79" s="783"/>
      <c r="BK79" s="784"/>
      <c r="BL79" s="783"/>
      <c r="BM79" s="783"/>
      <c r="BN79" s="783"/>
      <c r="BO79" s="766"/>
      <c r="BP79" s="790"/>
      <c r="BQ79" s="787"/>
      <c r="BR79" s="783"/>
      <c r="BS79" s="783"/>
    </row>
    <row r="80" spans="1:71" x14ac:dyDescent="0.25">
      <c r="A80" s="35" t="s">
        <v>36</v>
      </c>
      <c r="B80" s="339">
        <v>290184.34999999998</v>
      </c>
      <c r="C80" s="340">
        <v>173694.58</v>
      </c>
      <c r="D80" s="340">
        <v>93046.57</v>
      </c>
      <c r="E80" s="340">
        <v>56249.74</v>
      </c>
      <c r="F80" s="340">
        <v>50714.32</v>
      </c>
      <c r="G80" s="340">
        <v>53585.19</v>
      </c>
      <c r="H80" s="340">
        <v>53876.92</v>
      </c>
      <c r="I80" s="340">
        <v>95539.76</v>
      </c>
      <c r="J80" s="340">
        <v>183309.73</v>
      </c>
      <c r="K80" s="342">
        <v>278139.59999999998</v>
      </c>
      <c r="L80" s="340">
        <v>323987.03999999998</v>
      </c>
      <c r="M80" s="340">
        <v>272058.15999999997</v>
      </c>
      <c r="N80" s="340">
        <v>226857.71</v>
      </c>
      <c r="O80" s="340">
        <v>193932.69</v>
      </c>
      <c r="P80" s="340">
        <v>91233.32</v>
      </c>
      <c r="Q80" s="340">
        <v>60391.040000000001</v>
      </c>
      <c r="R80" s="340">
        <v>49442.95</v>
      </c>
      <c r="S80" s="340">
        <v>49130.43</v>
      </c>
      <c r="T80" s="344">
        <v>66041.929999999993</v>
      </c>
      <c r="U80" s="344">
        <v>79599.649999999994</v>
      </c>
      <c r="V80" s="344">
        <v>167766.9</v>
      </c>
      <c r="W80" s="344">
        <v>291304.71999999997</v>
      </c>
      <c r="X80" s="523">
        <v>253256.29</v>
      </c>
      <c r="Y80" s="523">
        <v>277329.28999999998</v>
      </c>
      <c r="Z80" s="523">
        <v>237118.31</v>
      </c>
      <c r="AA80" s="523">
        <v>146383.71</v>
      </c>
      <c r="AB80" s="523">
        <v>71337.87</v>
      </c>
      <c r="AC80" s="593">
        <v>58077.84</v>
      </c>
      <c r="AD80" s="523">
        <v>55990.71</v>
      </c>
      <c r="AE80" s="556">
        <v>47334.15</v>
      </c>
      <c r="AF80" s="752">
        <v>50591.7</v>
      </c>
      <c r="AG80" s="756">
        <v>67404.27</v>
      </c>
      <c r="AH80" s="523">
        <v>236095.46</v>
      </c>
      <c r="AI80" s="844">
        <v>320297.28999999998</v>
      </c>
      <c r="AJ80" s="523">
        <v>530097.03</v>
      </c>
      <c r="AK80" s="756">
        <v>453187.11</v>
      </c>
      <c r="AL80" s="523">
        <v>376170.26</v>
      </c>
      <c r="AM80" s="756">
        <v>201794.92</v>
      </c>
      <c r="AN80" s="523">
        <v>95839.54</v>
      </c>
      <c r="AO80" s="523">
        <v>84718.31</v>
      </c>
      <c r="AP80" s="523">
        <v>65931.27</v>
      </c>
      <c r="AQ80" s="523">
        <v>62067.32</v>
      </c>
      <c r="AR80" s="523"/>
      <c r="AS80" s="523"/>
      <c r="AT80" s="523"/>
      <c r="AU80" s="861"/>
      <c r="AV80" s="340"/>
      <c r="AW80" s="340"/>
      <c r="AX80" s="340"/>
      <c r="AY80" s="340"/>
      <c r="AZ80" s="340"/>
      <c r="BA80" s="340"/>
      <c r="BB80" s="344"/>
      <c r="BC80" s="344"/>
      <c r="BD80" s="340"/>
      <c r="BE80" s="344"/>
      <c r="BF80" s="787"/>
      <c r="BG80" s="787"/>
      <c r="BH80" s="787"/>
      <c r="BI80" s="787"/>
      <c r="BJ80" s="787"/>
      <c r="BK80" s="593"/>
      <c r="BL80" s="787"/>
      <c r="BM80" s="779"/>
      <c r="BN80" s="803"/>
      <c r="BO80" s="766"/>
      <c r="BP80" s="787"/>
      <c r="BQ80" s="787"/>
      <c r="BR80" s="783"/>
      <c r="BS80" s="783"/>
    </row>
    <row r="81" spans="1:71" x14ac:dyDescent="0.25">
      <c r="A81" s="35" t="s">
        <v>37</v>
      </c>
      <c r="B81" s="339">
        <v>13581.98</v>
      </c>
      <c r="C81" s="340">
        <v>9607</v>
      </c>
      <c r="D81" s="340">
        <v>5084.55</v>
      </c>
      <c r="E81" s="340">
        <v>2990.51</v>
      </c>
      <c r="F81" s="340">
        <v>2900.88</v>
      </c>
      <c r="G81" s="340">
        <v>2701.9</v>
      </c>
      <c r="H81" s="340">
        <v>2814.98</v>
      </c>
      <c r="I81" s="340">
        <v>5224</v>
      </c>
      <c r="J81" s="340">
        <v>9379.4599999999991</v>
      </c>
      <c r="K81" s="342">
        <v>12396.24</v>
      </c>
      <c r="L81" s="340">
        <v>15335.48</v>
      </c>
      <c r="M81" s="340">
        <v>13625.86</v>
      </c>
      <c r="N81" s="340">
        <v>12010.88</v>
      </c>
      <c r="O81" s="340">
        <v>11024.85</v>
      </c>
      <c r="P81" s="340">
        <v>5190.42</v>
      </c>
      <c r="Q81" s="340">
        <v>3362.07</v>
      </c>
      <c r="R81" s="340">
        <v>2822.99</v>
      </c>
      <c r="S81" s="340">
        <v>2821.47</v>
      </c>
      <c r="T81" s="344">
        <v>3612.95</v>
      </c>
      <c r="U81" s="344">
        <v>4452.34</v>
      </c>
      <c r="V81" s="344">
        <v>9473.7999999999993</v>
      </c>
      <c r="W81" s="344">
        <v>17007.11</v>
      </c>
      <c r="X81" s="523">
        <v>13016.44</v>
      </c>
      <c r="Y81" s="523">
        <v>15108.74</v>
      </c>
      <c r="Z81" s="523">
        <v>16438.900000000001</v>
      </c>
      <c r="AA81" s="523">
        <v>9157.2000000000007</v>
      </c>
      <c r="AB81" s="523">
        <v>3524.43</v>
      </c>
      <c r="AC81" s="593">
        <v>2682.02</v>
      </c>
      <c r="AD81" s="523">
        <v>2658.89</v>
      </c>
      <c r="AE81" s="556">
        <v>2369.4499999999998</v>
      </c>
      <c r="AF81" s="556">
        <v>2411.52</v>
      </c>
      <c r="AG81" s="756">
        <v>3410.11</v>
      </c>
      <c r="AH81" s="523">
        <v>11665.52</v>
      </c>
      <c r="AI81" s="844">
        <v>16182.17</v>
      </c>
      <c r="AJ81" s="523">
        <v>27096.83</v>
      </c>
      <c r="AK81" s="756">
        <v>23414.18</v>
      </c>
      <c r="AL81" s="523">
        <v>19440.61</v>
      </c>
      <c r="AM81" s="756">
        <v>14984.74</v>
      </c>
      <c r="AN81" s="523">
        <v>5515.82</v>
      </c>
      <c r="AO81" s="523">
        <v>4899.22</v>
      </c>
      <c r="AP81" s="523">
        <v>3847.83</v>
      </c>
      <c r="AQ81" s="523">
        <v>3739.36</v>
      </c>
      <c r="AR81" s="523"/>
      <c r="AS81" s="523"/>
      <c r="AT81" s="523"/>
      <c r="AU81" s="861"/>
      <c r="AV81" s="340"/>
      <c r="AW81" s="340"/>
      <c r="AX81" s="340"/>
      <c r="AY81" s="340"/>
      <c r="AZ81" s="340"/>
      <c r="BA81" s="340"/>
      <c r="BB81" s="344"/>
      <c r="BC81" s="344"/>
      <c r="BD81" s="340"/>
      <c r="BE81" s="344"/>
      <c r="BF81" s="787"/>
      <c r="BG81" s="787"/>
      <c r="BH81" s="787"/>
      <c r="BI81" s="787"/>
      <c r="BJ81" s="787"/>
      <c r="BK81" s="593"/>
      <c r="BL81" s="787"/>
      <c r="BM81" s="779"/>
      <c r="BN81" s="779"/>
      <c r="BO81" s="766"/>
      <c r="BP81" s="787"/>
      <c r="BQ81" s="787"/>
      <c r="BR81" s="783"/>
      <c r="BS81" s="783"/>
    </row>
    <row r="82" spans="1:71" x14ac:dyDescent="0.25">
      <c r="A82" s="35" t="s">
        <v>38</v>
      </c>
      <c r="B82" s="339">
        <v>122728.26</v>
      </c>
      <c r="C82" s="340">
        <v>72701.86</v>
      </c>
      <c r="D82" s="340">
        <v>34957.949999999997</v>
      </c>
      <c r="E82" s="340">
        <v>21340.31</v>
      </c>
      <c r="F82" s="340">
        <v>20201.32</v>
      </c>
      <c r="G82" s="340">
        <v>20183.310000000001</v>
      </c>
      <c r="H82" s="340">
        <v>19164.45</v>
      </c>
      <c r="I82" s="340">
        <v>30060.639999999999</v>
      </c>
      <c r="J82" s="340">
        <v>55659.15</v>
      </c>
      <c r="K82" s="342">
        <v>85962.240000000005</v>
      </c>
      <c r="L82" s="340">
        <v>102309.03</v>
      </c>
      <c r="M82" s="340">
        <v>84980.29</v>
      </c>
      <c r="N82" s="340">
        <v>66939.490000000005</v>
      </c>
      <c r="O82" s="340">
        <v>50102.51</v>
      </c>
      <c r="P82" s="340">
        <v>24313.599999999999</v>
      </c>
      <c r="Q82" s="340">
        <v>17206.419999999998</v>
      </c>
      <c r="R82" s="340">
        <v>15466.46</v>
      </c>
      <c r="S82" s="340">
        <v>15760.55</v>
      </c>
      <c r="T82" s="344">
        <v>21939.87</v>
      </c>
      <c r="U82" s="344">
        <v>23020.49</v>
      </c>
      <c r="V82" s="344">
        <v>47388.08</v>
      </c>
      <c r="W82" s="344">
        <v>85680.89</v>
      </c>
      <c r="X82" s="523">
        <v>68215.12</v>
      </c>
      <c r="Y82" s="523">
        <v>83690.14</v>
      </c>
      <c r="Z82" s="523">
        <v>63301.95</v>
      </c>
      <c r="AA82" s="523">
        <v>40791.980000000003</v>
      </c>
      <c r="AB82" s="523">
        <v>18920.13</v>
      </c>
      <c r="AC82" s="593">
        <v>15221.07</v>
      </c>
      <c r="AD82" s="523">
        <v>17570.64</v>
      </c>
      <c r="AE82" s="556">
        <v>14266.88</v>
      </c>
      <c r="AF82" s="753">
        <v>15524.4</v>
      </c>
      <c r="AG82" s="756">
        <v>26762.15</v>
      </c>
      <c r="AH82" s="523">
        <v>96507.37</v>
      </c>
      <c r="AI82" s="844">
        <v>137760.98000000001</v>
      </c>
      <c r="AJ82" s="523">
        <v>229004.92</v>
      </c>
      <c r="AK82" s="756">
        <v>203388.09</v>
      </c>
      <c r="AL82" s="523">
        <v>167007.07999999999</v>
      </c>
      <c r="AM82" s="756">
        <v>86618.45</v>
      </c>
      <c r="AN82" s="523">
        <v>35698.089999999997</v>
      </c>
      <c r="AO82" s="523">
        <v>32604.33</v>
      </c>
      <c r="AP82" s="523">
        <v>21836.57</v>
      </c>
      <c r="AQ82" s="523">
        <v>21268.6</v>
      </c>
      <c r="AR82" s="523"/>
      <c r="AS82" s="523"/>
      <c r="AT82" s="523"/>
      <c r="AU82" s="861"/>
      <c r="AV82" s="340"/>
      <c r="AW82" s="340"/>
      <c r="AX82" s="340"/>
      <c r="AY82" s="340"/>
      <c r="AZ82" s="340"/>
      <c r="BA82" s="340"/>
      <c r="BB82" s="344"/>
      <c r="BC82" s="344"/>
      <c r="BD82" s="340"/>
      <c r="BE82" s="344"/>
      <c r="BF82" s="787"/>
      <c r="BG82" s="787"/>
      <c r="BH82" s="787"/>
      <c r="BI82" s="787"/>
      <c r="BJ82" s="787"/>
      <c r="BK82" s="593"/>
      <c r="BL82" s="787"/>
      <c r="BM82" s="779"/>
      <c r="BN82" s="803"/>
      <c r="BO82" s="766"/>
      <c r="BP82" s="787"/>
      <c r="BQ82" s="787"/>
      <c r="BR82" s="783"/>
      <c r="BS82" s="783"/>
    </row>
    <row r="83" spans="1:71" x14ac:dyDescent="0.25">
      <c r="A83" s="35" t="s">
        <v>39</v>
      </c>
      <c r="B83" s="339"/>
      <c r="C83" s="340"/>
      <c r="D83" s="340"/>
      <c r="E83" s="340"/>
      <c r="F83" s="340"/>
      <c r="G83" s="340"/>
      <c r="H83" s="340"/>
      <c r="I83" s="340"/>
      <c r="J83" s="340"/>
      <c r="K83" s="342"/>
      <c r="L83" s="340"/>
      <c r="M83" s="340"/>
      <c r="N83" s="340"/>
      <c r="O83" s="340"/>
      <c r="P83" s="340"/>
      <c r="Q83" s="340"/>
      <c r="R83" s="340"/>
      <c r="S83" s="340"/>
      <c r="T83" s="344"/>
      <c r="U83" s="344"/>
      <c r="V83" s="344"/>
      <c r="W83" s="344"/>
      <c r="X83" s="523"/>
      <c r="Y83" s="523"/>
      <c r="Z83" s="523"/>
      <c r="AC83" s="2"/>
      <c r="AE83" s="556"/>
      <c r="AF83" s="556"/>
      <c r="AG83" s="756"/>
      <c r="AH83" s="523"/>
      <c r="AI83" s="838"/>
      <c r="AU83" s="857"/>
      <c r="AV83" s="340"/>
      <c r="AW83" s="340"/>
      <c r="AX83" s="340"/>
      <c r="AY83" s="340"/>
      <c r="AZ83" s="340"/>
      <c r="BA83" s="340"/>
      <c r="BB83" s="344"/>
      <c r="BC83" s="344"/>
      <c r="BD83" s="340"/>
      <c r="BE83" s="344"/>
      <c r="BF83" s="787"/>
      <c r="BG83" s="787"/>
      <c r="BH83" s="787"/>
      <c r="BI83" s="783"/>
      <c r="BJ83" s="783"/>
      <c r="BK83" s="784"/>
      <c r="BL83" s="783"/>
      <c r="BM83" s="779"/>
      <c r="BN83" s="779"/>
      <c r="BO83" s="766"/>
      <c r="BP83" s="787"/>
      <c r="BQ83" s="783"/>
      <c r="BR83" s="783"/>
      <c r="BS83" s="783"/>
    </row>
    <row r="84" spans="1:71" x14ac:dyDescent="0.25">
      <c r="A84" s="35" t="s">
        <v>61</v>
      </c>
      <c r="B84" s="339">
        <v>18564.060000000001</v>
      </c>
      <c r="C84" s="340">
        <v>10474.629999999999</v>
      </c>
      <c r="D84" s="340">
        <v>3427.51</v>
      </c>
      <c r="E84" s="340">
        <v>161.21</v>
      </c>
      <c r="F84" s="340">
        <v>0</v>
      </c>
      <c r="G84" s="340">
        <v>0</v>
      </c>
      <c r="H84" s="340">
        <v>2098.12</v>
      </c>
      <c r="I84" s="340">
        <v>14756.12</v>
      </c>
      <c r="J84" s="340">
        <v>30843.78</v>
      </c>
      <c r="K84" s="342">
        <v>42691.92</v>
      </c>
      <c r="L84" s="340">
        <v>53813.94</v>
      </c>
      <c r="M84" s="340">
        <v>43902.54</v>
      </c>
      <c r="N84" s="340">
        <v>27816.73</v>
      </c>
      <c r="O84" s="340">
        <v>7830.5</v>
      </c>
      <c r="P84" s="340">
        <v>1629.11</v>
      </c>
      <c r="Q84" s="340">
        <v>1328.1</v>
      </c>
      <c r="R84" s="340">
        <v>177.39</v>
      </c>
      <c r="S84" s="340">
        <v>294.79000000000002</v>
      </c>
      <c r="T84" s="344">
        <v>1938.1</v>
      </c>
      <c r="U84" s="344">
        <v>10253.629999999999</v>
      </c>
      <c r="V84" s="344">
        <v>33068.550000000003</v>
      </c>
      <c r="W84" s="344">
        <v>54115.040000000001</v>
      </c>
      <c r="X84" s="523">
        <v>41575.24</v>
      </c>
      <c r="Y84" s="523">
        <v>31966.91</v>
      </c>
      <c r="Z84" s="523">
        <v>30607.439999999999</v>
      </c>
      <c r="AA84" s="523">
        <v>11936.19</v>
      </c>
      <c r="AB84" s="523">
        <v>14237.28</v>
      </c>
      <c r="AC84" s="593">
        <v>3238.48</v>
      </c>
      <c r="AD84" s="523">
        <v>297.26</v>
      </c>
      <c r="AE84" s="556">
        <v>361.45</v>
      </c>
      <c r="AF84" s="556">
        <v>1281.24</v>
      </c>
      <c r="AG84" s="756">
        <v>0</v>
      </c>
      <c r="AH84" s="525"/>
      <c r="AI84" s="838"/>
      <c r="AU84" s="857"/>
      <c r="AV84" s="340"/>
      <c r="AW84" s="340"/>
      <c r="AX84" s="340"/>
      <c r="AY84" s="340"/>
      <c r="AZ84" s="340"/>
      <c r="BA84" s="340"/>
      <c r="BB84" s="344"/>
      <c r="BC84" s="344"/>
      <c r="BD84" s="340"/>
      <c r="BE84" s="344"/>
      <c r="BF84" s="787"/>
      <c r="BG84" s="787"/>
      <c r="BH84" s="787"/>
      <c r="BI84" s="787"/>
      <c r="BJ84" s="787"/>
      <c r="BK84" s="593"/>
      <c r="BL84" s="787"/>
      <c r="BM84" s="779"/>
      <c r="BN84" s="779"/>
      <c r="BO84" s="766"/>
      <c r="BP84" s="790"/>
      <c r="BQ84" s="783"/>
      <c r="BR84" s="783"/>
      <c r="BS84" s="783"/>
    </row>
    <row r="85" spans="1:71" x14ac:dyDescent="0.25">
      <c r="A85" s="35" t="s">
        <v>41</v>
      </c>
      <c r="B85" s="352">
        <v>445058.65</v>
      </c>
      <c r="C85" s="353">
        <v>266478.07</v>
      </c>
      <c r="D85" s="353">
        <v>136516.57999999999</v>
      </c>
      <c r="E85" s="353">
        <v>80741.77</v>
      </c>
      <c r="F85" s="353">
        <v>73816.52</v>
      </c>
      <c r="G85" s="353">
        <v>76470.399999999994</v>
      </c>
      <c r="H85" s="353">
        <v>77954.47</v>
      </c>
      <c r="I85" s="353">
        <v>145580.51999999999</v>
      </c>
      <c r="J85" s="353">
        <v>279192.12</v>
      </c>
      <c r="K85" s="354">
        <v>419190</v>
      </c>
      <c r="L85" s="353">
        <v>495445.49</v>
      </c>
      <c r="M85" s="353">
        <v>414566.85</v>
      </c>
      <c r="N85" s="353">
        <v>333624.81</v>
      </c>
      <c r="O85" s="353">
        <v>262890.55</v>
      </c>
      <c r="P85" s="353">
        <v>122366.45</v>
      </c>
      <c r="Q85" s="353">
        <v>82287.63</v>
      </c>
      <c r="R85" s="353">
        <v>67909.789999999994</v>
      </c>
      <c r="S85" s="353">
        <v>68007.240000000005</v>
      </c>
      <c r="T85" s="360">
        <v>93532.85</v>
      </c>
      <c r="U85" s="355">
        <v>117326.11</v>
      </c>
      <c r="V85" s="355">
        <v>257697.33</v>
      </c>
      <c r="W85" s="355">
        <v>448107.76</v>
      </c>
      <c r="X85" s="355">
        <v>376063.09</v>
      </c>
      <c r="Y85" s="355">
        <f t="shared" ref="Y85:AH85" si="23">SUM(Y80:Y84)</f>
        <v>408095.07999999996</v>
      </c>
      <c r="Z85" s="355">
        <f t="shared" si="23"/>
        <v>347466.6</v>
      </c>
      <c r="AA85" s="355">
        <f t="shared" si="23"/>
        <v>208269.08000000002</v>
      </c>
      <c r="AB85" s="355">
        <f t="shared" si="23"/>
        <v>108019.70999999999</v>
      </c>
      <c r="AC85" s="339">
        <f t="shared" si="23"/>
        <v>79219.409999999989</v>
      </c>
      <c r="AD85" s="339">
        <f t="shared" si="23"/>
        <v>76517.499999999985</v>
      </c>
      <c r="AE85" s="339">
        <f t="shared" si="23"/>
        <v>64331.929999999993</v>
      </c>
      <c r="AF85" s="339">
        <f t="shared" si="23"/>
        <v>69808.86</v>
      </c>
      <c r="AG85" s="339">
        <f t="shared" si="23"/>
        <v>97576.53</v>
      </c>
      <c r="AH85" s="339">
        <f t="shared" si="23"/>
        <v>344268.35</v>
      </c>
      <c r="AI85" s="846">
        <f t="shared" ref="AI85" si="24">SUM(AI80:AI84)</f>
        <v>474240.43999999994</v>
      </c>
      <c r="AJ85" s="360">
        <f>SUM(AJ80:AJ84)</f>
        <v>786198.78</v>
      </c>
      <c r="AK85" s="360">
        <f>SUM(AK80:AK84)</f>
        <v>679989.38</v>
      </c>
      <c r="AL85" s="360">
        <f>SUM(AL80:AL84)</f>
        <v>562617.94999999995</v>
      </c>
      <c r="AM85" s="360">
        <f>SUM(AM80:AM84)</f>
        <v>303398.11</v>
      </c>
      <c r="AN85" s="360">
        <v>137053.45000000001</v>
      </c>
      <c r="AO85" s="360">
        <v>122221.86</v>
      </c>
      <c r="AP85" s="360">
        <v>91615.67</v>
      </c>
      <c r="AQ85" s="360">
        <v>87075.28</v>
      </c>
      <c r="AR85" s="360"/>
      <c r="AS85" s="360"/>
      <c r="AT85" s="360"/>
      <c r="AU85" s="354"/>
      <c r="AV85" s="355"/>
      <c r="AW85" s="355"/>
      <c r="AX85" s="355"/>
      <c r="AY85" s="355"/>
      <c r="AZ85" s="355"/>
      <c r="BA85" s="355"/>
      <c r="BB85" s="360"/>
      <c r="BC85" s="360"/>
      <c r="BD85" s="355"/>
      <c r="BE85" s="360"/>
      <c r="BF85" s="593"/>
      <c r="BG85" s="593"/>
      <c r="BH85" s="593"/>
      <c r="BI85" s="593"/>
      <c r="BJ85" s="593"/>
      <c r="BK85" s="593"/>
      <c r="BL85" s="593"/>
      <c r="BM85" s="593"/>
      <c r="BN85" s="593"/>
      <c r="BO85" s="593"/>
      <c r="BP85" s="593"/>
      <c r="BQ85" s="593"/>
      <c r="BR85" s="783"/>
      <c r="BS85" s="783"/>
    </row>
    <row r="86" spans="1:71" x14ac:dyDescent="0.25">
      <c r="A86" s="42" t="s">
        <v>45</v>
      </c>
      <c r="B86" s="158"/>
      <c r="C86" s="93"/>
      <c r="D86" s="93"/>
      <c r="E86" s="93"/>
      <c r="F86" s="93"/>
      <c r="G86" s="93"/>
      <c r="H86" s="93"/>
      <c r="I86" s="93"/>
      <c r="J86" s="93"/>
      <c r="K86" s="168"/>
      <c r="L86" s="93"/>
      <c r="M86" s="93"/>
      <c r="N86" s="93"/>
      <c r="O86" s="93"/>
      <c r="P86" s="93"/>
      <c r="Q86" s="93"/>
      <c r="R86" s="93"/>
      <c r="S86" s="93"/>
      <c r="T86" s="323"/>
      <c r="U86" s="323"/>
      <c r="V86" s="323"/>
      <c r="W86" s="323"/>
      <c r="AI86" s="838"/>
      <c r="AU86" s="857"/>
      <c r="AV86" s="93"/>
      <c r="AW86" s="93"/>
      <c r="AX86" s="93"/>
      <c r="AY86" s="93"/>
      <c r="AZ86" s="93"/>
      <c r="BA86" s="93"/>
      <c r="BB86" s="818"/>
      <c r="BC86" s="315"/>
      <c r="BD86" s="534"/>
      <c r="BE86" s="534"/>
      <c r="BF86" s="787"/>
      <c r="BG86" s="787"/>
      <c r="BH86" s="779"/>
      <c r="BI86" s="783"/>
      <c r="BJ86" s="783"/>
      <c r="BK86" s="784"/>
      <c r="BL86" s="783"/>
      <c r="BM86" s="783"/>
      <c r="BN86" s="783"/>
      <c r="BO86" s="766"/>
      <c r="BP86" s="783"/>
      <c r="BQ86" s="783"/>
      <c r="BR86" s="783"/>
      <c r="BS86" s="783"/>
    </row>
    <row r="87" spans="1:71" x14ac:dyDescent="0.25">
      <c r="A87" s="35" t="s">
        <v>36</v>
      </c>
      <c r="B87" s="190"/>
      <c r="C87" s="191"/>
      <c r="D87" s="191"/>
      <c r="E87" s="191"/>
      <c r="F87" s="191"/>
      <c r="G87" s="191"/>
      <c r="H87" s="191"/>
      <c r="I87" s="191"/>
      <c r="J87" s="191"/>
      <c r="K87" s="192"/>
      <c r="L87" s="191"/>
      <c r="M87" s="191"/>
      <c r="N87" s="191"/>
      <c r="O87" s="191"/>
      <c r="P87" s="191"/>
      <c r="Q87" s="191"/>
      <c r="R87" s="191"/>
      <c r="S87" s="191"/>
      <c r="T87" s="324"/>
      <c r="U87" s="324"/>
      <c r="V87" s="324"/>
      <c r="W87" s="324"/>
      <c r="X87" s="523"/>
      <c r="Y87" s="523"/>
      <c r="Z87" s="500"/>
      <c r="AC87" s="2"/>
      <c r="AG87" s="756"/>
      <c r="AI87" s="838"/>
      <c r="AU87" s="857"/>
      <c r="AV87" s="83"/>
      <c r="AW87" s="83"/>
      <c r="AX87" s="83"/>
      <c r="AY87" s="83"/>
      <c r="AZ87" s="83"/>
      <c r="BA87" s="83"/>
      <c r="BB87" s="256"/>
      <c r="BC87" s="257"/>
      <c r="BD87" s="166"/>
      <c r="BE87" s="256"/>
      <c r="BF87" s="787"/>
      <c r="BG87" s="787"/>
      <c r="BH87" s="779"/>
      <c r="BI87" s="783"/>
      <c r="BJ87" s="783"/>
      <c r="BK87" s="784"/>
      <c r="BL87" s="783"/>
      <c r="BM87" s="783"/>
      <c r="BN87" s="783"/>
      <c r="BO87" s="766"/>
      <c r="BP87" s="783"/>
      <c r="BQ87" s="783"/>
      <c r="BR87" s="783"/>
      <c r="BS87" s="783"/>
    </row>
    <row r="88" spans="1:71" x14ac:dyDescent="0.25">
      <c r="A88" s="35" t="s">
        <v>37</v>
      </c>
      <c r="B88" s="190"/>
      <c r="C88" s="191"/>
      <c r="D88" s="191"/>
      <c r="E88" s="191"/>
      <c r="F88" s="191"/>
      <c r="G88" s="191"/>
      <c r="H88" s="191"/>
      <c r="I88" s="191"/>
      <c r="J88" s="191"/>
      <c r="K88" s="192"/>
      <c r="L88" s="191"/>
      <c r="M88" s="191"/>
      <c r="N88" s="191"/>
      <c r="O88" s="191"/>
      <c r="P88" s="191"/>
      <c r="Q88" s="191"/>
      <c r="R88" s="191"/>
      <c r="S88" s="191"/>
      <c r="T88" s="324"/>
      <c r="U88" s="324"/>
      <c r="V88" s="324"/>
      <c r="W88" s="324"/>
      <c r="X88" s="523"/>
      <c r="Y88" s="523"/>
      <c r="Z88" s="500"/>
      <c r="AC88" s="2"/>
      <c r="AG88" s="756"/>
      <c r="AI88" s="838"/>
      <c r="AU88" s="857"/>
      <c r="AV88" s="83"/>
      <c r="AW88" s="83"/>
      <c r="AX88" s="83"/>
      <c r="AY88" s="83"/>
      <c r="AZ88" s="83"/>
      <c r="BA88" s="83"/>
      <c r="BB88" s="256"/>
      <c r="BC88" s="257"/>
      <c r="BD88" s="166"/>
      <c r="BE88" s="256"/>
      <c r="BF88" s="787"/>
      <c r="BG88" s="787"/>
      <c r="BH88" s="779"/>
      <c r="BI88" s="783"/>
      <c r="BJ88" s="783"/>
      <c r="BK88" s="784"/>
      <c r="BL88" s="783"/>
      <c r="BM88" s="783"/>
      <c r="BN88" s="783"/>
      <c r="BO88" s="766"/>
      <c r="BP88" s="783"/>
      <c r="BQ88" s="783"/>
      <c r="BR88" s="783"/>
      <c r="BS88" s="783"/>
    </row>
    <row r="89" spans="1:71" x14ac:dyDescent="0.25">
      <c r="A89" s="35" t="s">
        <v>38</v>
      </c>
      <c r="B89" s="190"/>
      <c r="C89" s="191"/>
      <c r="D89" s="191"/>
      <c r="E89" s="191"/>
      <c r="F89" s="191"/>
      <c r="G89" s="191"/>
      <c r="H89" s="191"/>
      <c r="I89" s="191"/>
      <c r="J89" s="191"/>
      <c r="K89" s="192"/>
      <c r="L89" s="191"/>
      <c r="M89" s="191"/>
      <c r="N89" s="191"/>
      <c r="O89" s="191"/>
      <c r="P89" s="191"/>
      <c r="Q89" s="191"/>
      <c r="R89" s="191"/>
      <c r="S89" s="191"/>
      <c r="T89" s="324"/>
      <c r="U89" s="324"/>
      <c r="V89" s="324"/>
      <c r="W89" s="324"/>
      <c r="X89" s="523"/>
      <c r="Y89" s="523"/>
      <c r="Z89" s="500"/>
      <c r="AC89" s="2"/>
      <c r="AG89" s="756"/>
      <c r="AI89" s="838"/>
      <c r="AU89" s="857"/>
      <c r="AV89" s="83"/>
      <c r="AW89" s="83"/>
      <c r="AX89" s="83"/>
      <c r="AY89" s="83"/>
      <c r="AZ89" s="83"/>
      <c r="BA89" s="83"/>
      <c r="BB89" s="256"/>
      <c r="BC89" s="257"/>
      <c r="BD89" s="166"/>
      <c r="BE89" s="256"/>
      <c r="BF89" s="787"/>
      <c r="BG89" s="787"/>
      <c r="BH89" s="779"/>
      <c r="BI89" s="783"/>
      <c r="BJ89" s="783"/>
      <c r="BK89" s="784"/>
      <c r="BL89" s="783"/>
      <c r="BM89" s="783"/>
      <c r="BN89" s="783"/>
      <c r="BO89" s="766"/>
      <c r="BP89" s="783"/>
      <c r="BQ89" s="783"/>
      <c r="BR89" s="783"/>
      <c r="BS89" s="783"/>
    </row>
    <row r="90" spans="1:71" x14ac:dyDescent="0.25">
      <c r="A90" s="35" t="s">
        <v>39</v>
      </c>
      <c r="B90" s="190"/>
      <c r="C90" s="191"/>
      <c r="D90" s="191"/>
      <c r="E90" s="191"/>
      <c r="F90" s="191"/>
      <c r="G90" s="191"/>
      <c r="H90" s="191"/>
      <c r="I90" s="191"/>
      <c r="J90" s="191"/>
      <c r="K90" s="192"/>
      <c r="L90" s="191"/>
      <c r="M90" s="191"/>
      <c r="N90" s="191"/>
      <c r="O90" s="191"/>
      <c r="P90" s="191"/>
      <c r="Q90" s="191"/>
      <c r="R90" s="191"/>
      <c r="S90" s="191"/>
      <c r="T90" s="324"/>
      <c r="U90" s="324"/>
      <c r="V90" s="324"/>
      <c r="W90" s="324"/>
      <c r="X90" s="523"/>
      <c r="Y90" s="523"/>
      <c r="Z90" s="500"/>
      <c r="AC90" s="2"/>
      <c r="AG90" s="756"/>
      <c r="AI90" s="838"/>
      <c r="AU90" s="857"/>
      <c r="AV90" s="83"/>
      <c r="AW90" s="83"/>
      <c r="AX90" s="83"/>
      <c r="AY90" s="83"/>
      <c r="AZ90" s="83"/>
      <c r="BA90" s="83"/>
      <c r="BB90" s="256"/>
      <c r="BC90" s="257"/>
      <c r="BD90" s="166"/>
      <c r="BE90" s="256"/>
      <c r="BF90" s="787"/>
      <c r="BG90" s="787"/>
      <c r="BH90" s="779"/>
      <c r="BI90" s="783"/>
      <c r="BJ90" s="783"/>
      <c r="BK90" s="784"/>
      <c r="BL90" s="783"/>
      <c r="BM90" s="783"/>
      <c r="BN90" s="783"/>
      <c r="BO90" s="766"/>
      <c r="BP90" s="783"/>
      <c r="BQ90" s="783"/>
      <c r="BR90" s="783"/>
      <c r="BS90" s="783"/>
    </row>
    <row r="91" spans="1:71" x14ac:dyDescent="0.25">
      <c r="A91" s="35" t="s">
        <v>40</v>
      </c>
      <c r="B91" s="190"/>
      <c r="C91" s="191"/>
      <c r="D91" s="191"/>
      <c r="E91" s="191"/>
      <c r="F91" s="191"/>
      <c r="G91" s="191"/>
      <c r="H91" s="191"/>
      <c r="I91" s="191"/>
      <c r="J91" s="191"/>
      <c r="K91" s="192"/>
      <c r="L91" s="191"/>
      <c r="M91" s="191"/>
      <c r="N91" s="191"/>
      <c r="O91" s="191"/>
      <c r="P91" s="191"/>
      <c r="Q91" s="191"/>
      <c r="R91" s="191"/>
      <c r="S91" s="191"/>
      <c r="T91" s="324"/>
      <c r="U91" s="324"/>
      <c r="V91" s="324"/>
      <c r="W91" s="324"/>
      <c r="X91" s="523"/>
      <c r="Y91" s="523"/>
      <c r="Z91" s="500"/>
      <c r="AC91" s="2"/>
      <c r="AG91" s="756"/>
      <c r="AI91" s="838"/>
      <c r="AU91" s="857"/>
      <c r="AV91" s="83"/>
      <c r="AW91" s="83"/>
      <c r="AX91" s="83"/>
      <c r="AY91" s="83"/>
      <c r="AZ91" s="83"/>
      <c r="BA91" s="83"/>
      <c r="BB91" s="256"/>
      <c r="BC91" s="257"/>
      <c r="BD91" s="166"/>
      <c r="BE91" s="256"/>
      <c r="BF91" s="787"/>
      <c r="BG91" s="787"/>
      <c r="BH91" s="779"/>
      <c r="BI91" s="783"/>
      <c r="BJ91" s="783"/>
      <c r="BK91" s="784"/>
      <c r="BL91" s="783"/>
      <c r="BM91" s="783"/>
      <c r="BN91" s="783"/>
      <c r="BO91" s="766"/>
      <c r="BP91" s="783"/>
      <c r="BQ91" s="783"/>
      <c r="BR91" s="783"/>
      <c r="BS91" s="783"/>
    </row>
    <row r="92" spans="1:71" x14ac:dyDescent="0.25">
      <c r="A92" s="35" t="s">
        <v>41</v>
      </c>
      <c r="B92" s="156"/>
      <c r="C92" s="191"/>
      <c r="D92" s="191"/>
      <c r="E92" s="191"/>
      <c r="F92" s="191"/>
      <c r="G92" s="191"/>
      <c r="H92" s="191"/>
      <c r="I92" s="191"/>
      <c r="J92" s="191"/>
      <c r="K92" s="192"/>
      <c r="L92" s="191"/>
      <c r="M92" s="191"/>
      <c r="N92" s="191"/>
      <c r="O92" s="191"/>
      <c r="P92" s="191"/>
      <c r="Q92" s="191"/>
      <c r="R92" s="191"/>
      <c r="S92" s="191"/>
      <c r="T92" s="324"/>
      <c r="U92" s="324"/>
      <c r="V92" s="324"/>
      <c r="W92" s="324"/>
      <c r="X92" s="523"/>
      <c r="Y92" s="523"/>
      <c r="Z92" s="500"/>
      <c r="AC92" s="2"/>
      <c r="AG92" s="756"/>
      <c r="AI92" s="838"/>
      <c r="AU92" s="857"/>
      <c r="AV92" s="191"/>
      <c r="AW92" s="191"/>
      <c r="AX92" s="191"/>
      <c r="AY92" s="191"/>
      <c r="AZ92" s="191"/>
      <c r="BA92" s="191"/>
      <c r="BB92" s="830"/>
      <c r="BC92" s="257"/>
      <c r="BD92" s="166"/>
      <c r="BE92" s="256"/>
      <c r="BF92" s="787"/>
      <c r="BG92" s="787"/>
      <c r="BH92" s="779"/>
      <c r="BI92" s="783"/>
      <c r="BJ92" s="783"/>
      <c r="BK92" s="784"/>
      <c r="BL92" s="783"/>
      <c r="BM92" s="783"/>
      <c r="BN92" s="783"/>
      <c r="BO92" s="766"/>
      <c r="BP92" s="783"/>
      <c r="BQ92" s="783"/>
      <c r="BR92" s="783"/>
      <c r="BS92" s="783"/>
    </row>
    <row r="93" spans="1:71" x14ac:dyDescent="0.25">
      <c r="A93" s="43" t="s">
        <v>43</v>
      </c>
      <c r="B93" s="90"/>
      <c r="C93" s="91"/>
      <c r="D93" s="91"/>
      <c r="E93" s="91"/>
      <c r="F93" s="91"/>
      <c r="G93" s="91"/>
      <c r="H93" s="91"/>
      <c r="I93" s="91"/>
      <c r="J93" s="91"/>
      <c r="K93" s="92"/>
      <c r="L93" s="93"/>
      <c r="M93" s="91"/>
      <c r="N93" s="93"/>
      <c r="O93" s="91"/>
      <c r="P93" s="91"/>
      <c r="Q93" s="91"/>
      <c r="R93" s="91"/>
      <c r="S93" s="91"/>
      <c r="T93" s="818"/>
      <c r="U93" s="323"/>
      <c r="V93" s="323"/>
      <c r="W93" s="323"/>
      <c r="X93" s="523"/>
      <c r="Y93" s="523"/>
      <c r="Z93" s="500"/>
      <c r="AC93" s="2"/>
      <c r="AG93" s="756"/>
      <c r="AI93" s="838"/>
      <c r="AU93" s="857"/>
      <c r="AV93" s="85"/>
      <c r="AW93" s="94"/>
      <c r="AX93" s="536"/>
      <c r="AY93" s="536"/>
      <c r="AZ93" s="536"/>
      <c r="BA93" s="536"/>
      <c r="BB93" s="831"/>
      <c r="BC93" s="776"/>
      <c r="BD93" s="500"/>
      <c r="BE93" s="500"/>
      <c r="BF93" s="787"/>
      <c r="BG93" s="787"/>
      <c r="BH93" s="779"/>
      <c r="BI93" s="783"/>
      <c r="BJ93" s="783"/>
      <c r="BK93" s="784"/>
      <c r="BL93" s="783"/>
      <c r="BM93" s="783"/>
      <c r="BN93" s="783"/>
      <c r="BO93" s="766"/>
      <c r="BP93" s="783"/>
      <c r="BQ93" s="783"/>
      <c r="BR93" s="783"/>
      <c r="BS93" s="783"/>
    </row>
    <row r="94" spans="1:71" x14ac:dyDescent="0.25">
      <c r="A94" s="35" t="s">
        <v>36</v>
      </c>
      <c r="B94" s="339">
        <v>290184.34999999998</v>
      </c>
      <c r="C94" s="340">
        <v>173694.58</v>
      </c>
      <c r="D94" s="340">
        <v>93046.57</v>
      </c>
      <c r="E94" s="340">
        <v>56249.74</v>
      </c>
      <c r="F94" s="340">
        <v>50714.32</v>
      </c>
      <c r="G94" s="340">
        <v>53585.19</v>
      </c>
      <c r="H94" s="340">
        <v>53876.92</v>
      </c>
      <c r="I94" s="340">
        <v>95539.76</v>
      </c>
      <c r="J94" s="340">
        <v>183309.73</v>
      </c>
      <c r="K94" s="342">
        <v>278139.59999999998</v>
      </c>
      <c r="L94" s="340">
        <v>323987.03999999998</v>
      </c>
      <c r="M94" s="340">
        <v>272058.15999999997</v>
      </c>
      <c r="N94" s="340">
        <v>226857.71</v>
      </c>
      <c r="O94" s="340">
        <v>193932.69</v>
      </c>
      <c r="P94" s="340">
        <v>91233.32</v>
      </c>
      <c r="Q94" s="340">
        <v>60391.040000000001</v>
      </c>
      <c r="R94" s="340">
        <v>49442.95</v>
      </c>
      <c r="S94" s="340">
        <v>49130.43</v>
      </c>
      <c r="T94" s="344">
        <v>66041.929999999993</v>
      </c>
      <c r="U94" s="344">
        <v>79599.649999999994</v>
      </c>
      <c r="V94" s="344">
        <v>167766.9</v>
      </c>
      <c r="W94" s="344">
        <v>291304.71999999997</v>
      </c>
      <c r="X94" s="523">
        <v>253256.29</v>
      </c>
      <c r="Y94" s="523">
        <v>277329.28999999998</v>
      </c>
      <c r="Z94" s="523">
        <v>237118.31</v>
      </c>
      <c r="AA94" s="523">
        <v>146383.71</v>
      </c>
      <c r="AB94" s="523">
        <v>71337.87</v>
      </c>
      <c r="AC94" s="593">
        <v>58077.84</v>
      </c>
      <c r="AD94" s="523">
        <v>55990.71</v>
      </c>
      <c r="AE94" s="556">
        <v>47334.15</v>
      </c>
      <c r="AF94" s="752">
        <v>50591.7</v>
      </c>
      <c r="AG94" s="756">
        <v>67404.27</v>
      </c>
      <c r="AH94" s="523">
        <v>236095.46</v>
      </c>
      <c r="AI94" s="844">
        <v>320297.28999999998</v>
      </c>
      <c r="AJ94" s="523">
        <v>530097.03</v>
      </c>
      <c r="AK94" s="756">
        <v>453187.11</v>
      </c>
      <c r="AL94" s="756">
        <v>453187.11</v>
      </c>
      <c r="AM94" s="756">
        <v>201794.92</v>
      </c>
      <c r="AN94" s="523">
        <v>95839.54</v>
      </c>
      <c r="AO94" s="523">
        <v>84718.31</v>
      </c>
      <c r="AP94" s="523">
        <v>65931.27</v>
      </c>
      <c r="AQ94" s="523">
        <v>62067.32</v>
      </c>
      <c r="AR94" s="523"/>
      <c r="AS94" s="523"/>
      <c r="AT94" s="523"/>
      <c r="AU94" s="861"/>
      <c r="AV94" s="89"/>
      <c r="AW94" s="89"/>
      <c r="AX94" s="89"/>
      <c r="AY94" s="89"/>
      <c r="AZ94" s="89"/>
      <c r="BA94" s="89"/>
      <c r="BB94" s="259"/>
      <c r="BC94" s="98"/>
      <c r="BD94" s="99"/>
      <c r="BE94" s="259"/>
      <c r="BF94" s="787"/>
      <c r="BG94" s="787"/>
      <c r="BH94" s="787"/>
      <c r="BI94" s="787"/>
      <c r="BJ94" s="787"/>
      <c r="BK94" s="593"/>
      <c r="BL94" s="787"/>
      <c r="BM94" s="779"/>
      <c r="BN94" s="803"/>
      <c r="BO94" s="766"/>
      <c r="BP94" s="787"/>
      <c r="BQ94" s="787"/>
      <c r="BR94" s="783"/>
      <c r="BS94" s="783"/>
    </row>
    <row r="95" spans="1:71" x14ac:dyDescent="0.25">
      <c r="A95" s="35" t="s">
        <v>37</v>
      </c>
      <c r="B95" s="339">
        <v>13581.98</v>
      </c>
      <c r="C95" s="340">
        <v>9607</v>
      </c>
      <c r="D95" s="340">
        <v>5084.55</v>
      </c>
      <c r="E95" s="340">
        <v>2990.51</v>
      </c>
      <c r="F95" s="340">
        <v>2900.88</v>
      </c>
      <c r="G95" s="340">
        <v>2701.9</v>
      </c>
      <c r="H95" s="340">
        <v>2814.98</v>
      </c>
      <c r="I95" s="340">
        <v>5224</v>
      </c>
      <c r="J95" s="340">
        <v>9379.4599999999991</v>
      </c>
      <c r="K95" s="342">
        <v>12396.24</v>
      </c>
      <c r="L95" s="340">
        <v>15335.48</v>
      </c>
      <c r="M95" s="340">
        <v>13625.86</v>
      </c>
      <c r="N95" s="340">
        <v>12010.88</v>
      </c>
      <c r="O95" s="340">
        <v>11024.85</v>
      </c>
      <c r="P95" s="340">
        <v>5190.42</v>
      </c>
      <c r="Q95" s="340">
        <v>3362.07</v>
      </c>
      <c r="R95" s="340">
        <v>2822.99</v>
      </c>
      <c r="S95" s="340">
        <v>2821.47</v>
      </c>
      <c r="T95" s="344">
        <v>3612.95</v>
      </c>
      <c r="U95" s="344">
        <v>4452.34</v>
      </c>
      <c r="V95" s="344">
        <v>9473.7999999999993</v>
      </c>
      <c r="W95" s="344">
        <v>17007.11</v>
      </c>
      <c r="X95" s="523">
        <v>13016.44</v>
      </c>
      <c r="Y95" s="523">
        <v>15108.74</v>
      </c>
      <c r="Z95" s="523">
        <v>16438.900000000001</v>
      </c>
      <c r="AA95" s="523">
        <v>9157.2000000000007</v>
      </c>
      <c r="AB95" s="523">
        <v>3524.43</v>
      </c>
      <c r="AC95" s="593">
        <v>2682.02</v>
      </c>
      <c r="AD95" s="523">
        <v>2658.89</v>
      </c>
      <c r="AE95" s="556">
        <v>2369.4499999999998</v>
      </c>
      <c r="AF95" s="556">
        <v>2411.52</v>
      </c>
      <c r="AG95" s="756">
        <v>3410.11</v>
      </c>
      <c r="AH95" s="523">
        <v>11665.52</v>
      </c>
      <c r="AI95" s="844">
        <v>16182.17</v>
      </c>
      <c r="AJ95" s="523">
        <v>27096.83</v>
      </c>
      <c r="AK95" s="756">
        <v>23414.18</v>
      </c>
      <c r="AL95" s="756">
        <v>453187.11</v>
      </c>
      <c r="AM95" s="756">
        <v>14984.74</v>
      </c>
      <c r="AN95" s="523">
        <v>5515.82</v>
      </c>
      <c r="AO95" s="523">
        <v>4899.22</v>
      </c>
      <c r="AP95" s="523">
        <v>3847.83</v>
      </c>
      <c r="AQ95" s="523">
        <v>3739.36</v>
      </c>
      <c r="AR95" s="523"/>
      <c r="AS95" s="523"/>
      <c r="AT95" s="523"/>
      <c r="AU95" s="861"/>
      <c r="AV95" s="89"/>
      <c r="AW95" s="89"/>
      <c r="AX95" s="89"/>
      <c r="AY95" s="89"/>
      <c r="AZ95" s="89"/>
      <c r="BA95" s="89"/>
      <c r="BB95" s="259"/>
      <c r="BC95" s="98"/>
      <c r="BD95" s="99"/>
      <c r="BE95" s="259"/>
      <c r="BF95" s="787"/>
      <c r="BG95" s="787"/>
      <c r="BH95" s="787"/>
      <c r="BI95" s="787"/>
      <c r="BJ95" s="787"/>
      <c r="BK95" s="593"/>
      <c r="BL95" s="787"/>
      <c r="BM95" s="779"/>
      <c r="BN95" s="779"/>
      <c r="BO95" s="766"/>
      <c r="BP95" s="787"/>
      <c r="BQ95" s="787"/>
      <c r="BR95" s="783"/>
      <c r="BS95" s="783"/>
    </row>
    <row r="96" spans="1:71" x14ac:dyDescent="0.25">
      <c r="A96" s="35" t="s">
        <v>38</v>
      </c>
      <c r="B96" s="339">
        <v>122728.26</v>
      </c>
      <c r="C96" s="340">
        <v>72701.86</v>
      </c>
      <c r="D96" s="340">
        <v>34957.949999999997</v>
      </c>
      <c r="E96" s="340">
        <v>21340.31</v>
      </c>
      <c r="F96" s="340">
        <v>20201.32</v>
      </c>
      <c r="G96" s="340">
        <v>20183.310000000001</v>
      </c>
      <c r="H96" s="340">
        <v>19164.45</v>
      </c>
      <c r="I96" s="340">
        <v>30060.639999999999</v>
      </c>
      <c r="J96" s="340">
        <v>55659.15</v>
      </c>
      <c r="K96" s="342">
        <v>85962.240000000005</v>
      </c>
      <c r="L96" s="340">
        <v>102309.03</v>
      </c>
      <c r="M96" s="340">
        <v>84980.29</v>
      </c>
      <c r="N96" s="340">
        <v>66939.490000000005</v>
      </c>
      <c r="O96" s="340">
        <v>50102.51</v>
      </c>
      <c r="P96" s="340">
        <v>24313.599999999999</v>
      </c>
      <c r="Q96" s="340">
        <v>17206.419999999998</v>
      </c>
      <c r="R96" s="340">
        <v>15466.46</v>
      </c>
      <c r="S96" s="340">
        <v>15760.55</v>
      </c>
      <c r="T96" s="344">
        <v>21939.87</v>
      </c>
      <c r="U96" s="344">
        <v>23020.49</v>
      </c>
      <c r="V96" s="344">
        <v>47388.08</v>
      </c>
      <c r="W96" s="344">
        <v>85680.89</v>
      </c>
      <c r="X96" s="523">
        <v>68215.12</v>
      </c>
      <c r="Y96" s="523">
        <v>83690.14</v>
      </c>
      <c r="Z96" s="523">
        <v>63301.95</v>
      </c>
      <c r="AA96" s="523">
        <v>40791.980000000003</v>
      </c>
      <c r="AB96" s="523">
        <v>18920.13</v>
      </c>
      <c r="AC96" s="593">
        <v>15221.07</v>
      </c>
      <c r="AD96" s="523">
        <v>17570.64</v>
      </c>
      <c r="AE96" s="556">
        <v>14266.88</v>
      </c>
      <c r="AF96" s="753">
        <v>15524.4</v>
      </c>
      <c r="AG96" s="756">
        <v>26762.15</v>
      </c>
      <c r="AH96" s="523">
        <v>96507.37</v>
      </c>
      <c r="AI96" s="844">
        <v>137760.98000000001</v>
      </c>
      <c r="AJ96" s="523">
        <v>229004.92</v>
      </c>
      <c r="AK96" s="756">
        <v>203388.09</v>
      </c>
      <c r="AL96" s="756">
        <v>453187.11</v>
      </c>
      <c r="AM96" s="756">
        <v>86618.45</v>
      </c>
      <c r="AN96" s="523">
        <v>35698.089999999997</v>
      </c>
      <c r="AO96" s="523">
        <v>32604.33</v>
      </c>
      <c r="AP96" s="523">
        <v>21836.57</v>
      </c>
      <c r="AQ96" s="523">
        <v>21268.6</v>
      </c>
      <c r="AR96" s="523"/>
      <c r="AS96" s="523"/>
      <c r="AT96" s="523"/>
      <c r="AU96" s="861"/>
      <c r="AV96" s="89"/>
      <c r="AW96" s="89"/>
      <c r="AX96" s="89"/>
      <c r="AY96" s="89"/>
      <c r="AZ96" s="89"/>
      <c r="BA96" s="89"/>
      <c r="BB96" s="259"/>
      <c r="BC96" s="98"/>
      <c r="BD96" s="99"/>
      <c r="BE96" s="259"/>
      <c r="BF96" s="787"/>
      <c r="BG96" s="787"/>
      <c r="BH96" s="787"/>
      <c r="BI96" s="787"/>
      <c r="BJ96" s="787"/>
      <c r="BK96" s="593"/>
      <c r="BL96" s="787"/>
      <c r="BM96" s="779"/>
      <c r="BN96" s="803"/>
      <c r="BO96" s="766"/>
      <c r="BP96" s="787"/>
      <c r="BQ96" s="787"/>
      <c r="BR96" s="783"/>
      <c r="BS96" s="783"/>
    </row>
    <row r="97" spans="1:71" x14ac:dyDescent="0.25">
      <c r="A97" s="35" t="s">
        <v>39</v>
      </c>
      <c r="B97" s="339"/>
      <c r="C97" s="340"/>
      <c r="D97" s="340"/>
      <c r="E97" s="340"/>
      <c r="F97" s="340"/>
      <c r="G97" s="340"/>
      <c r="H97" s="340"/>
      <c r="I97" s="340"/>
      <c r="J97" s="340"/>
      <c r="K97" s="342"/>
      <c r="L97" s="340"/>
      <c r="M97" s="340"/>
      <c r="N97" s="340"/>
      <c r="O97" s="340"/>
      <c r="P97" s="340"/>
      <c r="Q97" s="340"/>
      <c r="R97" s="340"/>
      <c r="S97" s="340"/>
      <c r="T97" s="344"/>
      <c r="U97" s="344"/>
      <c r="V97" s="344"/>
      <c r="W97" s="344"/>
      <c r="X97" s="523"/>
      <c r="Y97" s="523"/>
      <c r="Z97" s="500"/>
      <c r="AC97" s="2"/>
      <c r="AE97" s="556"/>
      <c r="AF97" s="556"/>
      <c r="AG97" s="756"/>
      <c r="AH97" s="525"/>
      <c r="AI97" s="838"/>
      <c r="AU97" s="857"/>
      <c r="AV97" s="89"/>
      <c r="AW97" s="89"/>
      <c r="AX97" s="89"/>
      <c r="AY97" s="89"/>
      <c r="AZ97" s="89"/>
      <c r="BA97" s="89"/>
      <c r="BB97" s="259"/>
      <c r="BC97" s="98"/>
      <c r="BD97" s="99"/>
      <c r="BE97" s="259"/>
      <c r="BF97" s="787"/>
      <c r="BG97" s="787"/>
      <c r="BH97" s="779"/>
      <c r="BI97" s="783"/>
      <c r="BJ97" s="783"/>
      <c r="BK97" s="784"/>
      <c r="BL97" s="783"/>
      <c r="BM97" s="779"/>
      <c r="BN97" s="779"/>
      <c r="BO97" s="766"/>
      <c r="BP97" s="790"/>
      <c r="BQ97" s="783"/>
      <c r="BR97" s="783"/>
      <c r="BS97" s="783"/>
    </row>
    <row r="98" spans="1:71" x14ac:dyDescent="0.25">
      <c r="A98" s="35" t="s">
        <v>61</v>
      </c>
      <c r="B98" s="339">
        <v>18564.060000000001</v>
      </c>
      <c r="C98" s="340">
        <v>10474.629999999999</v>
      </c>
      <c r="D98" s="340">
        <v>3427.51</v>
      </c>
      <c r="E98" s="340">
        <v>161.21</v>
      </c>
      <c r="F98" s="340">
        <v>0</v>
      </c>
      <c r="G98" s="340">
        <v>0</v>
      </c>
      <c r="H98" s="340">
        <v>2098.12</v>
      </c>
      <c r="I98" s="340">
        <v>14756.12</v>
      </c>
      <c r="J98" s="340">
        <v>30843.78</v>
      </c>
      <c r="K98" s="342">
        <v>42691.92</v>
      </c>
      <c r="L98" s="340">
        <v>53813.94</v>
      </c>
      <c r="M98" s="340">
        <v>43902.54</v>
      </c>
      <c r="N98" s="340">
        <v>27816.73</v>
      </c>
      <c r="O98" s="340">
        <v>7830.5</v>
      </c>
      <c r="P98" s="340">
        <v>1629.11</v>
      </c>
      <c r="Q98" s="340">
        <v>1328.1</v>
      </c>
      <c r="R98" s="340">
        <v>177.39</v>
      </c>
      <c r="S98" s="340">
        <v>294.79000000000002</v>
      </c>
      <c r="T98" s="344">
        <v>1938.1</v>
      </c>
      <c r="U98" s="344">
        <v>10253.629999999999</v>
      </c>
      <c r="V98" s="344">
        <v>33068.550000000003</v>
      </c>
      <c r="W98" s="344">
        <v>54115.040000000001</v>
      </c>
      <c r="X98" s="523">
        <v>41575.24</v>
      </c>
      <c r="Y98" s="523">
        <v>31966.91</v>
      </c>
      <c r="Z98" s="523">
        <v>30607.439999999999</v>
      </c>
      <c r="AA98" s="523">
        <v>11936.19</v>
      </c>
      <c r="AB98" s="523">
        <v>14237.28</v>
      </c>
      <c r="AC98" s="593">
        <v>3238.48</v>
      </c>
      <c r="AD98" s="523">
        <v>297.26</v>
      </c>
      <c r="AE98" s="556">
        <v>361.45</v>
      </c>
      <c r="AF98" s="556">
        <v>1281.24</v>
      </c>
      <c r="AG98" s="756">
        <v>0</v>
      </c>
      <c r="AH98" s="525"/>
      <c r="AI98" s="838"/>
      <c r="AU98" s="857"/>
      <c r="AV98" s="89"/>
      <c r="AW98" s="89"/>
      <c r="AX98" s="89"/>
      <c r="AY98" s="89"/>
      <c r="AZ98" s="89"/>
      <c r="BA98" s="89"/>
      <c r="BB98" s="259"/>
      <c r="BC98" s="98"/>
      <c r="BD98" s="99"/>
      <c r="BE98" s="259"/>
      <c r="BF98" s="787"/>
      <c r="BG98" s="787"/>
      <c r="BH98" s="787"/>
      <c r="BI98" s="787"/>
      <c r="BJ98" s="787"/>
      <c r="BK98" s="593"/>
      <c r="BL98" s="787"/>
      <c r="BM98" s="779"/>
      <c r="BN98" s="779"/>
      <c r="BO98" s="766"/>
      <c r="BP98" s="790"/>
      <c r="BQ98" s="783"/>
      <c r="BR98" s="783"/>
      <c r="BS98" s="783"/>
    </row>
    <row r="99" spans="1:71" ht="15.75" thickBot="1" x14ac:dyDescent="0.3">
      <c r="A99" s="37" t="s">
        <v>41</v>
      </c>
      <c r="B99" s="339">
        <f>SUM(B94:B98)</f>
        <v>445058.64999999997</v>
      </c>
      <c r="C99" s="353">
        <v>266478.07</v>
      </c>
      <c r="D99" s="353">
        <v>136516.57999999999</v>
      </c>
      <c r="E99" s="353">
        <v>80741.77</v>
      </c>
      <c r="F99" s="353">
        <v>73816.52</v>
      </c>
      <c r="G99" s="353">
        <v>76470.399999999994</v>
      </c>
      <c r="H99" s="353">
        <v>77954.47</v>
      </c>
      <c r="I99" s="353">
        <v>145580.51999999999</v>
      </c>
      <c r="J99" s="353">
        <v>279192.12</v>
      </c>
      <c r="K99" s="354">
        <v>419190</v>
      </c>
      <c r="L99" s="353">
        <v>495445.49</v>
      </c>
      <c r="M99" s="353">
        <v>414566.85</v>
      </c>
      <c r="N99" s="353">
        <v>333624.81</v>
      </c>
      <c r="O99" s="353">
        <v>262890.55</v>
      </c>
      <c r="P99" s="353">
        <v>122366.45</v>
      </c>
      <c r="Q99" s="353">
        <v>82287.63</v>
      </c>
      <c r="R99" s="353">
        <v>67909.789999999994</v>
      </c>
      <c r="S99" s="353">
        <v>68007.240000000005</v>
      </c>
      <c r="T99" s="360">
        <v>93532.85</v>
      </c>
      <c r="U99" s="355">
        <v>117326.11</v>
      </c>
      <c r="V99" s="355">
        <v>257697.33</v>
      </c>
      <c r="W99" s="355">
        <v>448107.76</v>
      </c>
      <c r="X99" s="523">
        <v>376063.09</v>
      </c>
      <c r="Y99" s="523">
        <f t="shared" ref="Y99:AH99" si="25">SUM(Y94:Y98)</f>
        <v>408095.07999999996</v>
      </c>
      <c r="Z99" s="523">
        <f t="shared" si="25"/>
        <v>347466.6</v>
      </c>
      <c r="AA99" s="523">
        <f t="shared" si="25"/>
        <v>208269.08000000002</v>
      </c>
      <c r="AB99" s="523">
        <f t="shared" si="25"/>
        <v>108019.70999999999</v>
      </c>
      <c r="AC99" s="339">
        <f t="shared" si="25"/>
        <v>79219.409999999989</v>
      </c>
      <c r="AD99" s="339">
        <f t="shared" si="25"/>
        <v>76517.499999999985</v>
      </c>
      <c r="AE99" s="339">
        <f t="shared" si="25"/>
        <v>64331.929999999993</v>
      </c>
      <c r="AF99" s="339">
        <f t="shared" si="25"/>
        <v>69808.86</v>
      </c>
      <c r="AG99" s="339">
        <f t="shared" si="25"/>
        <v>97576.53</v>
      </c>
      <c r="AH99" s="339">
        <f t="shared" si="25"/>
        <v>344268.35</v>
      </c>
      <c r="AI99" s="847">
        <f>SUM(AI94:AI97)</f>
        <v>474240.43999999994</v>
      </c>
      <c r="AJ99" s="847">
        <f t="shared" ref="AJ99:AL99" si="26">SUM(AJ94:AJ97)</f>
        <v>786198.78</v>
      </c>
      <c r="AK99" s="847">
        <f t="shared" si="26"/>
        <v>679989.38</v>
      </c>
      <c r="AL99" s="847">
        <f t="shared" si="26"/>
        <v>1359561.33</v>
      </c>
      <c r="AM99" s="847">
        <f>SUM(AM94:AM97)</f>
        <v>303398.11</v>
      </c>
      <c r="AN99" s="525">
        <v>137053.45000000001</v>
      </c>
      <c r="AO99" s="360">
        <v>122221.86</v>
      </c>
      <c r="AP99" s="525">
        <v>91615.67</v>
      </c>
      <c r="AQ99" s="525">
        <v>87075.28</v>
      </c>
      <c r="AR99" s="525"/>
      <c r="AS99" s="525"/>
      <c r="AT99" s="525"/>
      <c r="AU99" s="863"/>
      <c r="AV99" s="81"/>
      <c r="AW99" s="81"/>
      <c r="AX99" s="81"/>
      <c r="AY99" s="81"/>
      <c r="AZ99" s="81"/>
      <c r="BA99" s="81"/>
      <c r="BB99" s="263"/>
      <c r="BC99" s="159"/>
      <c r="BD99" s="160"/>
      <c r="BE99" s="263"/>
      <c r="BF99" s="787"/>
      <c r="BG99" s="787"/>
      <c r="BH99" s="787"/>
      <c r="BI99" s="787"/>
      <c r="BJ99" s="787"/>
      <c r="BK99" s="593"/>
      <c r="BL99" s="593"/>
      <c r="BM99" s="593"/>
      <c r="BN99" s="593"/>
      <c r="BO99" s="593"/>
      <c r="BP99" s="593"/>
      <c r="BQ99" s="790"/>
      <c r="BR99" s="783"/>
      <c r="BS99" s="783"/>
    </row>
    <row r="100" spans="1:71" x14ac:dyDescent="0.25">
      <c r="A100" s="44" t="s">
        <v>35</v>
      </c>
      <c r="B100" s="102"/>
      <c r="C100" s="103"/>
      <c r="D100" s="103"/>
      <c r="E100" s="103"/>
      <c r="F100" s="103"/>
      <c r="G100" s="103"/>
      <c r="H100" s="103"/>
      <c r="I100" s="103"/>
      <c r="J100" s="103"/>
      <c r="K100" s="104"/>
      <c r="L100" s="161"/>
      <c r="M100" s="103"/>
      <c r="N100" s="161"/>
      <c r="O100" s="103"/>
      <c r="P100" s="103"/>
      <c r="Q100" s="103"/>
      <c r="R100" s="103"/>
      <c r="S100" s="103"/>
      <c r="T100" s="819"/>
      <c r="U100" s="522"/>
      <c r="V100" s="522"/>
      <c r="W100" s="522"/>
      <c r="X100" s="523"/>
      <c r="Y100" s="523"/>
      <c r="Z100" s="500"/>
      <c r="AC100" s="2"/>
      <c r="AG100" s="756"/>
      <c r="AH100" s="525"/>
      <c r="AI100" s="838"/>
      <c r="AU100" s="857"/>
      <c r="AV100" s="169"/>
      <c r="AW100" s="105"/>
      <c r="AX100" s="537"/>
      <c r="AY100" s="537"/>
      <c r="AZ100" s="537"/>
      <c r="BA100" s="537"/>
      <c r="BB100" s="832"/>
      <c r="BC100" s="835"/>
      <c r="BD100" s="529"/>
      <c r="BE100" s="529"/>
      <c r="BF100" s="787"/>
      <c r="BG100" s="787"/>
      <c r="BH100" s="779"/>
      <c r="BI100" s="783"/>
      <c r="BJ100" s="783"/>
      <c r="BK100" s="784"/>
      <c r="BL100" s="783"/>
      <c r="BM100" s="783"/>
      <c r="BN100" s="783"/>
      <c r="BO100" s="766"/>
      <c r="BP100" s="790"/>
      <c r="BQ100" s="783"/>
      <c r="BR100" s="783"/>
      <c r="BS100" s="783"/>
    </row>
    <row r="101" spans="1:71" s="525" customFormat="1" x14ac:dyDescent="0.25">
      <c r="A101" s="356" t="s">
        <v>36</v>
      </c>
      <c r="B101" s="357">
        <v>312299.93</v>
      </c>
      <c r="C101" s="358">
        <v>306692.46999999997</v>
      </c>
      <c r="D101" s="358">
        <v>208377.03</v>
      </c>
      <c r="E101" s="353">
        <v>133672.04</v>
      </c>
      <c r="F101" s="358">
        <v>93684.800000000003</v>
      </c>
      <c r="G101" s="358">
        <v>69040.89</v>
      </c>
      <c r="H101" s="358">
        <v>66621.649999999994</v>
      </c>
      <c r="I101" s="358">
        <v>69371.039999999994</v>
      </c>
      <c r="J101" s="358">
        <v>94902.36</v>
      </c>
      <c r="K101" s="359">
        <v>165565.26999999999</v>
      </c>
      <c r="L101" s="353">
        <v>261746.59</v>
      </c>
      <c r="M101" s="358">
        <v>275788</v>
      </c>
      <c r="N101" s="353">
        <v>257676.24</v>
      </c>
      <c r="O101" s="358">
        <v>222244.98</v>
      </c>
      <c r="P101" s="358">
        <v>188608.55</v>
      </c>
      <c r="Q101" s="358">
        <v>104872.07</v>
      </c>
      <c r="R101" s="358">
        <v>81013.100000000006</v>
      </c>
      <c r="S101" s="358">
        <v>65935.67</v>
      </c>
      <c r="T101" s="778">
        <v>72072.56</v>
      </c>
      <c r="U101" s="360">
        <v>78692.86</v>
      </c>
      <c r="V101" s="360">
        <v>86940.39</v>
      </c>
      <c r="W101" s="360">
        <v>155853.99</v>
      </c>
      <c r="X101" s="523">
        <v>241753.86</v>
      </c>
      <c r="Y101" s="523">
        <v>178475.53</v>
      </c>
      <c r="Z101" s="523">
        <v>257187.79</v>
      </c>
      <c r="AA101" s="525">
        <v>224881.08</v>
      </c>
      <c r="AB101" s="525">
        <v>164221.64000000001</v>
      </c>
      <c r="AC101" s="594">
        <v>117637.54</v>
      </c>
      <c r="AD101" s="745">
        <v>86382.5</v>
      </c>
      <c r="AE101" s="525">
        <v>74683.850000000006</v>
      </c>
      <c r="AF101" s="525">
        <v>75638.100000000006</v>
      </c>
      <c r="AG101" s="761">
        <v>63240.51</v>
      </c>
      <c r="AH101" s="523">
        <v>72445.06</v>
      </c>
      <c r="AI101" s="844">
        <v>204085.95</v>
      </c>
      <c r="AJ101" s="523">
        <v>294858.52</v>
      </c>
      <c r="AK101" s="523">
        <v>428372.22</v>
      </c>
      <c r="AL101" s="523">
        <v>474530.81</v>
      </c>
      <c r="AM101" s="523">
        <v>352099.33</v>
      </c>
      <c r="AN101" s="523">
        <v>236735.13</v>
      </c>
      <c r="AO101" s="523">
        <v>146342.53</v>
      </c>
      <c r="AP101" s="523">
        <v>110471.29</v>
      </c>
      <c r="AQ101" s="523">
        <v>98355.23</v>
      </c>
      <c r="AR101" s="523"/>
      <c r="AS101" s="523"/>
      <c r="AT101" s="523"/>
      <c r="AU101" s="861"/>
      <c r="AV101" s="353"/>
      <c r="AW101" s="353"/>
      <c r="AX101" s="353"/>
      <c r="AY101" s="353"/>
      <c r="AZ101" s="353"/>
      <c r="BA101" s="353"/>
      <c r="BB101" s="778"/>
      <c r="BC101" s="360"/>
      <c r="BD101" s="354"/>
      <c r="BE101" s="778"/>
      <c r="BF101" s="787"/>
      <c r="BG101" s="787"/>
      <c r="BH101" s="787"/>
      <c r="BI101" s="790"/>
      <c r="BJ101" s="790"/>
      <c r="BK101" s="805"/>
      <c r="BL101" s="806"/>
      <c r="BM101" s="790"/>
      <c r="BN101" s="790"/>
      <c r="BO101" s="807"/>
      <c r="BP101" s="787"/>
      <c r="BQ101" s="787"/>
      <c r="BR101" s="790"/>
      <c r="BS101" s="790"/>
    </row>
    <row r="102" spans="1:71" s="525" customFormat="1" x14ac:dyDescent="0.25">
      <c r="A102" s="356" t="s">
        <v>37</v>
      </c>
      <c r="B102" s="357">
        <v>25692.12</v>
      </c>
      <c r="C102" s="358">
        <v>30821.72</v>
      </c>
      <c r="D102" s="358">
        <v>12464.11</v>
      </c>
      <c r="E102" s="353">
        <v>11125.44</v>
      </c>
      <c r="F102" s="358">
        <v>4488.04</v>
      </c>
      <c r="G102" s="358">
        <v>4333.3999999999996</v>
      </c>
      <c r="H102" s="358">
        <v>2736.66</v>
      </c>
      <c r="I102" s="358">
        <v>3063.32</v>
      </c>
      <c r="J102" s="358">
        <v>4617.88</v>
      </c>
      <c r="K102" s="359">
        <v>5893.7</v>
      </c>
      <c r="L102" s="353">
        <v>13971</v>
      </c>
      <c r="M102" s="358">
        <v>30047.98</v>
      </c>
      <c r="N102" s="353">
        <v>18215.57</v>
      </c>
      <c r="O102" s="358">
        <v>11964.83</v>
      </c>
      <c r="P102" s="358">
        <v>7559.42</v>
      </c>
      <c r="Q102" s="358">
        <v>3705.66</v>
      </c>
      <c r="R102" s="358">
        <v>3230.64</v>
      </c>
      <c r="S102" s="358">
        <v>8154.27</v>
      </c>
      <c r="T102" s="778">
        <v>3407.25</v>
      </c>
      <c r="U102" s="360">
        <v>2896.3</v>
      </c>
      <c r="V102" s="360">
        <v>3271.6</v>
      </c>
      <c r="W102" s="360">
        <v>5690.18</v>
      </c>
      <c r="X102" s="523">
        <v>9135.36</v>
      </c>
      <c r="Y102" s="538">
        <v>4767.24</v>
      </c>
      <c r="Z102" s="523">
        <v>25217.99</v>
      </c>
      <c r="AA102" s="525">
        <v>19011.3</v>
      </c>
      <c r="AB102" s="525">
        <v>13622.72</v>
      </c>
      <c r="AC102" s="594">
        <v>4388.7299999999996</v>
      </c>
      <c r="AD102" s="745">
        <v>3604.13</v>
      </c>
      <c r="AE102" s="525">
        <v>10211.73</v>
      </c>
      <c r="AF102" s="525">
        <v>3976.04</v>
      </c>
      <c r="AG102" s="761">
        <v>2025.42</v>
      </c>
      <c r="AH102" s="523">
        <v>1793.6</v>
      </c>
      <c r="AI102" s="844">
        <v>33656.58</v>
      </c>
      <c r="AJ102" s="523">
        <v>13299.88</v>
      </c>
      <c r="AK102" s="523">
        <v>21651.86</v>
      </c>
      <c r="AL102" s="523">
        <v>11172.89</v>
      </c>
      <c r="AM102" s="523">
        <v>5485.93</v>
      </c>
      <c r="AN102" s="523">
        <v>36048.639999999999</v>
      </c>
      <c r="AO102" s="523">
        <v>24409.9</v>
      </c>
      <c r="AP102" s="523">
        <v>4277.51</v>
      </c>
      <c r="AQ102" s="523">
        <v>13164.9</v>
      </c>
      <c r="AR102" s="523"/>
      <c r="AS102" s="523"/>
      <c r="AT102" s="523"/>
      <c r="AU102" s="861"/>
      <c r="AV102" s="353"/>
      <c r="AW102" s="353"/>
      <c r="AX102" s="353"/>
      <c r="AY102" s="353"/>
      <c r="AZ102" s="353"/>
      <c r="BA102" s="353"/>
      <c r="BB102" s="778"/>
      <c r="BC102" s="360"/>
      <c r="BD102" s="354"/>
      <c r="BE102" s="778"/>
      <c r="BF102" s="787"/>
      <c r="BG102" s="787"/>
      <c r="BH102" s="787"/>
      <c r="BI102" s="790"/>
      <c r="BJ102" s="790"/>
      <c r="BK102" s="805"/>
      <c r="BL102" s="806"/>
      <c r="BM102" s="790"/>
      <c r="BN102" s="790"/>
      <c r="BO102" s="807"/>
      <c r="BP102" s="787"/>
      <c r="BQ102" s="787"/>
      <c r="BR102" s="790"/>
      <c r="BS102" s="790"/>
    </row>
    <row r="103" spans="1:71" s="525" customFormat="1" x14ac:dyDescent="0.25">
      <c r="A103" s="356" t="s">
        <v>38</v>
      </c>
      <c r="B103" s="357">
        <v>121656.59</v>
      </c>
      <c r="C103" s="358">
        <v>97674.32</v>
      </c>
      <c r="D103" s="358">
        <v>58676.23</v>
      </c>
      <c r="E103" s="353">
        <v>32630.57</v>
      </c>
      <c r="F103" s="358">
        <v>22898.16</v>
      </c>
      <c r="G103" s="358">
        <v>27231.54</v>
      </c>
      <c r="H103" s="358">
        <v>20706.919999999998</v>
      </c>
      <c r="I103" s="358">
        <v>20527.82</v>
      </c>
      <c r="J103" s="358">
        <v>29008.78</v>
      </c>
      <c r="K103" s="359">
        <v>57704.68</v>
      </c>
      <c r="L103" s="353">
        <v>87149.67</v>
      </c>
      <c r="M103" s="358">
        <v>98111.29</v>
      </c>
      <c r="N103" s="353">
        <v>86176.3</v>
      </c>
      <c r="O103" s="358">
        <v>64450.22</v>
      </c>
      <c r="P103" s="358">
        <v>52489.15</v>
      </c>
      <c r="Q103" s="358">
        <v>31045.85</v>
      </c>
      <c r="R103" s="358">
        <v>20841.48</v>
      </c>
      <c r="S103" s="358">
        <v>15772.39</v>
      </c>
      <c r="T103" s="778">
        <v>19538.150000000001</v>
      </c>
      <c r="U103" s="360">
        <v>23887.13</v>
      </c>
      <c r="V103" s="360">
        <v>23691.200000000001</v>
      </c>
      <c r="W103" s="360">
        <v>44419.1</v>
      </c>
      <c r="X103" s="523">
        <v>77002.679999999993</v>
      </c>
      <c r="Y103" s="538">
        <v>41062.68</v>
      </c>
      <c r="Z103" s="523">
        <v>109215.52</v>
      </c>
      <c r="AA103" s="525">
        <v>75600.83</v>
      </c>
      <c r="AB103" s="525">
        <v>39234.14</v>
      </c>
      <c r="AC103" s="594">
        <v>30916.01</v>
      </c>
      <c r="AD103" s="745">
        <v>12458.29</v>
      </c>
      <c r="AE103" s="525">
        <v>18647.169999999998</v>
      </c>
      <c r="AF103" s="525">
        <v>14878.47</v>
      </c>
      <c r="AG103" s="761">
        <v>16796.07</v>
      </c>
      <c r="AH103" s="523">
        <v>26082.82</v>
      </c>
      <c r="AI103" s="844">
        <v>77490.929999999993</v>
      </c>
      <c r="AJ103" s="523">
        <v>154862.64000000001</v>
      </c>
      <c r="AK103" s="523">
        <v>85990.67</v>
      </c>
      <c r="AL103" s="523">
        <v>297380.49</v>
      </c>
      <c r="AM103" s="523">
        <v>104604.61</v>
      </c>
      <c r="AN103" s="523">
        <v>127583.05</v>
      </c>
      <c r="AO103" s="523">
        <v>55814.86</v>
      </c>
      <c r="AP103" s="523">
        <v>39286.18</v>
      </c>
      <c r="AQ103" s="523">
        <v>28279.96</v>
      </c>
      <c r="AR103" s="523"/>
      <c r="AS103" s="523"/>
      <c r="AT103" s="523"/>
      <c r="AU103" s="861"/>
      <c r="AV103" s="353"/>
      <c r="AW103" s="353"/>
      <c r="AX103" s="353"/>
      <c r="AY103" s="353"/>
      <c r="AZ103" s="353"/>
      <c r="BA103" s="353"/>
      <c r="BB103" s="335"/>
      <c r="BC103" s="360"/>
      <c r="BD103" s="354"/>
      <c r="BE103" s="778"/>
      <c r="BF103" s="787"/>
      <c r="BG103" s="787"/>
      <c r="BH103" s="787"/>
      <c r="BI103" s="790"/>
      <c r="BJ103" s="790"/>
      <c r="BK103" s="805"/>
      <c r="BL103" s="806"/>
      <c r="BM103" s="790"/>
      <c r="BN103" s="790"/>
      <c r="BO103" s="807"/>
      <c r="BP103" s="787"/>
      <c r="BQ103" s="787"/>
      <c r="BR103" s="790"/>
      <c r="BS103" s="790"/>
    </row>
    <row r="104" spans="1:71" s="525" customFormat="1" x14ac:dyDescent="0.25">
      <c r="A104" s="356" t="s">
        <v>39</v>
      </c>
      <c r="B104" s="357"/>
      <c r="C104" s="358"/>
      <c r="D104" s="358"/>
      <c r="E104" s="353"/>
      <c r="F104" s="358"/>
      <c r="G104" s="358"/>
      <c r="H104" s="358"/>
      <c r="I104" s="358"/>
      <c r="J104" s="358"/>
      <c r="K104" s="359"/>
      <c r="L104" s="353"/>
      <c r="M104" s="358"/>
      <c r="N104" s="353"/>
      <c r="O104" s="358"/>
      <c r="P104" s="358"/>
      <c r="Q104" s="358"/>
      <c r="R104" s="358"/>
      <c r="S104" s="358"/>
      <c r="T104" s="778"/>
      <c r="U104" s="360"/>
      <c r="V104" s="360"/>
      <c r="W104" s="360"/>
      <c r="X104" s="523"/>
      <c r="Y104" s="538"/>
      <c r="Z104" s="523"/>
      <c r="AC104" s="594"/>
      <c r="AD104" s="745"/>
      <c r="AG104" s="761"/>
      <c r="AH104" s="523"/>
      <c r="AI104" s="847"/>
      <c r="AJ104" s="523"/>
      <c r="AK104" s="523"/>
      <c r="AL104" s="523"/>
      <c r="AM104" s="523"/>
      <c r="AN104" s="523"/>
      <c r="AO104" s="523"/>
      <c r="AP104" s="523"/>
      <c r="AQ104" s="523"/>
      <c r="AR104" s="523"/>
      <c r="AS104" s="523"/>
      <c r="AT104" s="523"/>
      <c r="AU104" s="861"/>
      <c r="AV104" s="353"/>
      <c r="AW104" s="353"/>
      <c r="AX104" s="353"/>
      <c r="AY104" s="353"/>
      <c r="AZ104" s="353"/>
      <c r="BA104" s="353"/>
      <c r="BB104" s="360"/>
      <c r="BC104" s="360"/>
      <c r="BD104" s="354"/>
      <c r="BE104" s="778"/>
      <c r="BF104" s="787"/>
      <c r="BG104" s="787"/>
      <c r="BH104" s="787"/>
      <c r="BI104" s="790"/>
      <c r="BJ104" s="790"/>
      <c r="BK104" s="805"/>
      <c r="BL104" s="806"/>
      <c r="BM104" s="790"/>
      <c r="BN104" s="790"/>
      <c r="BO104" s="807"/>
      <c r="BP104" s="787"/>
      <c r="BQ104" s="790"/>
      <c r="BR104" s="790"/>
      <c r="BS104" s="790"/>
    </row>
    <row r="105" spans="1:71" s="525" customFormat="1" x14ac:dyDescent="0.25">
      <c r="A105" s="356" t="s">
        <v>61</v>
      </c>
      <c r="B105" s="357">
        <v>65320.31</v>
      </c>
      <c r="C105" s="358">
        <v>48205.78</v>
      </c>
      <c r="D105" s="358">
        <v>22073.61</v>
      </c>
      <c r="E105" s="353">
        <v>13184.66</v>
      </c>
      <c r="F105" s="358">
        <v>2947</v>
      </c>
      <c r="G105" s="358">
        <v>1444.57</v>
      </c>
      <c r="H105" s="358">
        <v>656.25</v>
      </c>
      <c r="I105" s="358">
        <v>1947.93</v>
      </c>
      <c r="J105" s="358">
        <v>11469.58</v>
      </c>
      <c r="K105" s="359">
        <v>33964.15</v>
      </c>
      <c r="L105" s="353">
        <v>42651.92</v>
      </c>
      <c r="M105" s="358">
        <v>53853.94</v>
      </c>
      <c r="N105" s="353">
        <v>43902.54</v>
      </c>
      <c r="O105" s="358">
        <v>27816.73</v>
      </c>
      <c r="P105" s="358">
        <v>7830.5</v>
      </c>
      <c r="Q105" s="358">
        <v>1629.11</v>
      </c>
      <c r="R105" s="358">
        <v>1328.1</v>
      </c>
      <c r="S105" s="358">
        <v>177.39</v>
      </c>
      <c r="T105" s="778">
        <v>320.79000000000002</v>
      </c>
      <c r="U105" s="360">
        <v>1242.21</v>
      </c>
      <c r="V105" s="360">
        <v>10922.31</v>
      </c>
      <c r="W105" s="360">
        <v>33068.550000000003</v>
      </c>
      <c r="X105" s="523">
        <v>54115.040000000001</v>
      </c>
      <c r="Y105" s="538">
        <v>31966.91</v>
      </c>
      <c r="Z105" s="523">
        <v>65234.75</v>
      </c>
      <c r="AA105" s="525">
        <v>1500</v>
      </c>
      <c r="AB105" s="525">
        <v>38914.839999999997</v>
      </c>
      <c r="AC105" s="594">
        <v>26173.47</v>
      </c>
      <c r="AD105" s="745">
        <v>3238.48</v>
      </c>
      <c r="AE105" s="525">
        <v>297.26</v>
      </c>
      <c r="AF105" s="525">
        <v>361.45</v>
      </c>
      <c r="AG105" s="761">
        <v>0</v>
      </c>
      <c r="AH105" s="523"/>
      <c r="AI105" s="847"/>
      <c r="AJ105" s="523"/>
      <c r="AK105" s="523"/>
      <c r="AL105" s="523"/>
      <c r="AM105" s="523"/>
      <c r="AN105" s="523"/>
      <c r="AO105" s="523"/>
      <c r="AP105" s="523"/>
      <c r="AQ105" s="523"/>
      <c r="AR105" s="523"/>
      <c r="AS105" s="523"/>
      <c r="AT105" s="523"/>
      <c r="AU105" s="861"/>
      <c r="AV105" s="353"/>
      <c r="AW105" s="353"/>
      <c r="AX105" s="353"/>
      <c r="AY105" s="353"/>
      <c r="AZ105" s="353"/>
      <c r="BA105" s="353"/>
      <c r="BB105" s="360"/>
      <c r="BC105" s="360"/>
      <c r="BD105" s="354"/>
      <c r="BE105" s="778"/>
      <c r="BF105" s="787"/>
      <c r="BG105" s="787"/>
      <c r="BH105" s="787"/>
      <c r="BI105" s="790"/>
      <c r="BJ105" s="790"/>
      <c r="BK105" s="805"/>
      <c r="BL105" s="806"/>
      <c r="BM105" s="790"/>
      <c r="BN105" s="790"/>
      <c r="BO105" s="807"/>
      <c r="BP105" s="787"/>
      <c r="BQ105" s="790"/>
      <c r="BR105" s="790"/>
      <c r="BS105" s="790"/>
    </row>
    <row r="106" spans="1:71" s="525" customFormat="1" x14ac:dyDescent="0.25">
      <c r="A106" s="356" t="s">
        <v>41</v>
      </c>
      <c r="B106" s="339">
        <f>SUM(B101:B105)</f>
        <v>524968.94999999995</v>
      </c>
      <c r="C106" s="339">
        <f t="shared" ref="C106:BE106" si="27">SUM(C101:C105)</f>
        <v>483394.28999999992</v>
      </c>
      <c r="D106" s="339">
        <f t="shared" si="27"/>
        <v>301590.98</v>
      </c>
      <c r="E106" s="339">
        <f t="shared" si="27"/>
        <v>190612.71000000002</v>
      </c>
      <c r="F106" s="339">
        <f t="shared" si="27"/>
        <v>124018</v>
      </c>
      <c r="G106" s="339">
        <f t="shared" si="27"/>
        <v>102050.4</v>
      </c>
      <c r="H106" s="339">
        <f t="shared" si="27"/>
        <v>90721.48</v>
      </c>
      <c r="I106" s="339">
        <f t="shared" si="27"/>
        <v>94910.109999999986</v>
      </c>
      <c r="J106" s="339">
        <f t="shared" si="27"/>
        <v>139998.6</v>
      </c>
      <c r="K106" s="339">
        <f t="shared" si="27"/>
        <v>263127.8</v>
      </c>
      <c r="L106" s="339">
        <f t="shared" si="27"/>
        <v>405519.17999999993</v>
      </c>
      <c r="M106" s="339">
        <f t="shared" si="27"/>
        <v>457801.20999999996</v>
      </c>
      <c r="N106" s="339">
        <f t="shared" si="27"/>
        <v>405970.64999999997</v>
      </c>
      <c r="O106" s="339">
        <f t="shared" si="27"/>
        <v>326476.76</v>
      </c>
      <c r="P106" s="339">
        <f t="shared" si="27"/>
        <v>256487.62</v>
      </c>
      <c r="Q106" s="339">
        <f t="shared" si="27"/>
        <v>141252.69</v>
      </c>
      <c r="R106" s="339">
        <f t="shared" si="27"/>
        <v>106413.32</v>
      </c>
      <c r="S106" s="339">
        <f t="shared" si="27"/>
        <v>90039.72</v>
      </c>
      <c r="T106" s="339">
        <f t="shared" si="27"/>
        <v>95338.749999999985</v>
      </c>
      <c r="U106" s="344">
        <f t="shared" si="27"/>
        <v>106718.50000000001</v>
      </c>
      <c r="V106" s="339">
        <f t="shared" si="27"/>
        <v>124825.5</v>
      </c>
      <c r="W106" s="339">
        <f t="shared" si="27"/>
        <v>239031.82</v>
      </c>
      <c r="X106" s="339">
        <f>SUM(X101:X105)</f>
        <v>382006.93999999994</v>
      </c>
      <c r="Y106" s="525">
        <f t="shared" ref="Y106:AE106" si="28">SUM(Y101:Y105)</f>
        <v>256272.36</v>
      </c>
      <c r="Z106" s="525">
        <f t="shared" si="28"/>
        <v>456856.05000000005</v>
      </c>
      <c r="AA106" s="525">
        <f t="shared" si="28"/>
        <v>320993.20999999996</v>
      </c>
      <c r="AB106" s="525">
        <f t="shared" si="28"/>
        <v>255993.34</v>
      </c>
      <c r="AC106" s="594">
        <f t="shared" si="28"/>
        <v>179115.75</v>
      </c>
      <c r="AD106" s="745">
        <f t="shared" si="28"/>
        <v>105683.40000000001</v>
      </c>
      <c r="AE106" s="745">
        <f t="shared" si="28"/>
        <v>103840.01</v>
      </c>
      <c r="AF106" s="745">
        <f>SUM(AF101:AF105)</f>
        <v>94854.06</v>
      </c>
      <c r="AG106" s="745">
        <f t="shared" ref="AG106:AH106" si="29">SUM(AG101:AG105)</f>
        <v>82062</v>
      </c>
      <c r="AH106" s="523">
        <f t="shared" si="29"/>
        <v>100321.48000000001</v>
      </c>
      <c r="AI106" s="844">
        <f t="shared" ref="AI106" si="30">SUM(AI101:AI105)</f>
        <v>315233.46000000002</v>
      </c>
      <c r="AJ106" s="523">
        <f t="shared" ref="AJ106:AM106" si="31">SUM(AJ101:AJ105)</f>
        <v>463021.04000000004</v>
      </c>
      <c r="AK106" s="523">
        <f t="shared" si="31"/>
        <v>536014.75</v>
      </c>
      <c r="AL106" s="523">
        <f t="shared" si="31"/>
        <v>783084.19</v>
      </c>
      <c r="AM106" s="523">
        <f t="shared" si="31"/>
        <v>462189.87</v>
      </c>
      <c r="AN106" s="523">
        <v>400366.82</v>
      </c>
      <c r="AO106" s="523">
        <v>226567.29</v>
      </c>
      <c r="AP106" s="523">
        <v>154034.98000000001</v>
      </c>
      <c r="AQ106" s="523">
        <v>139800.09</v>
      </c>
      <c r="AR106" s="523"/>
      <c r="AS106" s="523"/>
      <c r="AT106" s="523"/>
      <c r="AU106" s="861"/>
      <c r="AV106" s="344">
        <f t="shared" si="27"/>
        <v>0</v>
      </c>
      <c r="AW106" s="339">
        <f t="shared" si="27"/>
        <v>0</v>
      </c>
      <c r="AX106" s="339">
        <f t="shared" si="27"/>
        <v>0</v>
      </c>
      <c r="AY106" s="339">
        <f t="shared" si="27"/>
        <v>0</v>
      </c>
      <c r="AZ106" s="339">
        <f t="shared" si="27"/>
        <v>0</v>
      </c>
      <c r="BA106" s="339">
        <f t="shared" si="27"/>
        <v>0</v>
      </c>
      <c r="BB106" s="339">
        <f t="shared" si="27"/>
        <v>0</v>
      </c>
      <c r="BC106" s="344">
        <f t="shared" si="27"/>
        <v>0</v>
      </c>
      <c r="BD106" s="344">
        <f t="shared" si="27"/>
        <v>0</v>
      </c>
      <c r="BE106" s="339">
        <f t="shared" si="27"/>
        <v>0</v>
      </c>
      <c r="BF106" s="593"/>
      <c r="BG106" s="790"/>
      <c r="BH106" s="790"/>
      <c r="BI106" s="790"/>
      <c r="BJ106" s="790"/>
      <c r="BK106" s="805"/>
      <c r="BL106" s="806"/>
      <c r="BM106" s="806"/>
      <c r="BN106" s="806"/>
      <c r="BO106" s="806"/>
      <c r="BP106" s="787"/>
      <c r="BQ106" s="787"/>
      <c r="BR106" s="790"/>
      <c r="BS106" s="790"/>
    </row>
    <row r="107" spans="1:71" x14ac:dyDescent="0.25">
      <c r="A107" s="43" t="s">
        <v>32</v>
      </c>
      <c r="B107" s="111"/>
      <c r="C107" s="112"/>
      <c r="D107" s="112"/>
      <c r="E107" s="113"/>
      <c r="F107" s="112"/>
      <c r="G107" s="112"/>
      <c r="H107" s="112"/>
      <c r="I107" s="112"/>
      <c r="J107" s="112"/>
      <c r="K107" s="114"/>
      <c r="L107" s="113"/>
      <c r="M107" s="112"/>
      <c r="N107" s="113"/>
      <c r="O107" s="112"/>
      <c r="P107" s="112"/>
      <c r="Q107" s="112"/>
      <c r="R107" s="112"/>
      <c r="S107" s="112"/>
      <c r="T107" s="820"/>
      <c r="U107" s="325"/>
      <c r="V107" s="325"/>
      <c r="W107" s="325"/>
      <c r="AI107" s="838"/>
      <c r="AU107" s="857"/>
      <c r="AV107" s="113"/>
      <c r="AW107" s="115"/>
      <c r="AX107" s="539"/>
      <c r="AY107" s="539"/>
      <c r="AZ107" s="539"/>
      <c r="BA107" s="539"/>
      <c r="BB107" s="681"/>
      <c r="BC107" s="836"/>
      <c r="BD107" s="540"/>
      <c r="BE107" s="540"/>
      <c r="BF107" s="787"/>
      <c r="BG107" s="779"/>
      <c r="BH107" s="779"/>
      <c r="BI107" s="783"/>
      <c r="BJ107" s="783"/>
      <c r="BK107" s="784"/>
      <c r="BL107" s="783"/>
      <c r="BM107" s="783"/>
      <c r="BN107" s="783"/>
      <c r="BO107" s="766"/>
      <c r="BP107" s="783"/>
      <c r="BQ107" s="783"/>
      <c r="BR107" s="783"/>
      <c r="BS107" s="783"/>
    </row>
    <row r="108" spans="1:71" x14ac:dyDescent="0.25">
      <c r="A108" s="35" t="s">
        <v>36</v>
      </c>
      <c r="B108" s="118"/>
      <c r="C108" s="119"/>
      <c r="D108" s="119"/>
      <c r="E108" s="120"/>
      <c r="F108" s="119"/>
      <c r="G108" s="119"/>
      <c r="H108" s="119"/>
      <c r="I108" s="119"/>
      <c r="J108" s="119"/>
      <c r="K108" s="121"/>
      <c r="L108" s="120"/>
      <c r="M108" s="119"/>
      <c r="N108" s="120"/>
      <c r="O108" s="119"/>
      <c r="P108" s="119"/>
      <c r="Q108" s="119"/>
      <c r="R108" s="119"/>
      <c r="S108" s="119"/>
      <c r="T108" s="261"/>
      <c r="U108" s="326"/>
      <c r="V108" s="326"/>
      <c r="W108" s="326"/>
      <c r="X108" s="326"/>
      <c r="Y108" s="326"/>
      <c r="Z108" s="326"/>
      <c r="AA108" s="326"/>
      <c r="AB108" s="326"/>
      <c r="AC108" s="326"/>
      <c r="AD108" s="326"/>
      <c r="AE108" s="326"/>
      <c r="AF108" s="326"/>
      <c r="AG108" s="326"/>
      <c r="AH108" s="326"/>
      <c r="AI108" s="848"/>
      <c r="AJ108" s="326"/>
      <c r="AK108" s="326"/>
      <c r="AL108" s="326"/>
      <c r="AM108" s="326"/>
      <c r="AN108" s="326"/>
      <c r="AO108" s="326"/>
      <c r="AP108" s="326"/>
      <c r="AQ108" s="326"/>
      <c r="AR108" s="326"/>
      <c r="AS108" s="326"/>
      <c r="AT108" s="326"/>
      <c r="AU108" s="392"/>
      <c r="AV108" s="120"/>
      <c r="AW108" s="120"/>
      <c r="AX108" s="120"/>
      <c r="AY108" s="120"/>
      <c r="AZ108" s="120"/>
      <c r="BA108" s="120"/>
      <c r="BB108" s="261"/>
      <c r="BC108" s="326"/>
      <c r="BD108" s="392"/>
      <c r="BE108" s="261"/>
      <c r="BF108" s="779"/>
      <c r="BG108" s="779"/>
      <c r="BH108" s="779"/>
      <c r="BI108" s="783"/>
      <c r="BJ108" s="783"/>
      <c r="BK108" s="784"/>
      <c r="BL108" s="783"/>
      <c r="BM108" s="783"/>
      <c r="BN108" s="783"/>
      <c r="BO108" s="766"/>
      <c r="BP108" s="783"/>
      <c r="BQ108" s="783"/>
      <c r="BR108" s="783"/>
      <c r="BS108" s="783"/>
    </row>
    <row r="109" spans="1:71" x14ac:dyDescent="0.25">
      <c r="A109" s="35" t="s">
        <v>37</v>
      </c>
      <c r="B109" s="118"/>
      <c r="C109" s="119"/>
      <c r="D109" s="119"/>
      <c r="E109" s="120"/>
      <c r="F109" s="119"/>
      <c r="G109" s="119"/>
      <c r="H109" s="119"/>
      <c r="I109" s="119"/>
      <c r="J109" s="119"/>
      <c r="K109" s="121"/>
      <c r="L109" s="120"/>
      <c r="M109" s="119"/>
      <c r="N109" s="120"/>
      <c r="O109" s="119"/>
      <c r="P109" s="119"/>
      <c r="Q109" s="119"/>
      <c r="R109" s="119"/>
      <c r="S109" s="119"/>
      <c r="T109" s="261"/>
      <c r="U109" s="326"/>
      <c r="V109" s="326"/>
      <c r="W109" s="326"/>
      <c r="X109" s="326"/>
      <c r="Y109" s="326"/>
      <c r="Z109" s="326"/>
      <c r="AA109" s="326"/>
      <c r="AB109" s="326"/>
      <c r="AC109" s="326"/>
      <c r="AD109" s="326"/>
      <c r="AE109" s="326"/>
      <c r="AF109" s="326"/>
      <c r="AG109" s="326"/>
      <c r="AH109" s="326"/>
      <c r="AI109" s="848"/>
      <c r="AJ109" s="326"/>
      <c r="AK109" s="326"/>
      <c r="AL109" s="326"/>
      <c r="AM109" s="326"/>
      <c r="AN109" s="326"/>
      <c r="AO109" s="326"/>
      <c r="AP109" s="326"/>
      <c r="AQ109" s="326"/>
      <c r="AR109" s="326"/>
      <c r="AS109" s="326"/>
      <c r="AT109" s="326"/>
      <c r="AU109" s="392"/>
      <c r="AV109" s="120"/>
      <c r="AW109" s="120"/>
      <c r="AX109" s="120"/>
      <c r="AY109" s="120"/>
      <c r="AZ109" s="120"/>
      <c r="BA109" s="120"/>
      <c r="BB109" s="261"/>
      <c r="BC109" s="326"/>
      <c r="BD109" s="392"/>
      <c r="BE109" s="261"/>
      <c r="BF109" s="779"/>
      <c r="BG109" s="779"/>
      <c r="BH109" s="779"/>
      <c r="BI109" s="783"/>
      <c r="BJ109" s="783"/>
      <c r="BK109" s="784"/>
      <c r="BL109" s="783"/>
      <c r="BM109" s="783"/>
      <c r="BN109" s="783"/>
      <c r="BO109" s="766"/>
      <c r="BP109" s="783"/>
      <c r="BQ109" s="783"/>
      <c r="BR109" s="783"/>
      <c r="BS109" s="783"/>
    </row>
    <row r="110" spans="1:71" x14ac:dyDescent="0.25">
      <c r="A110" s="35" t="s">
        <v>38</v>
      </c>
      <c r="B110" s="118"/>
      <c r="C110" s="119"/>
      <c r="D110" s="119"/>
      <c r="E110" s="120"/>
      <c r="F110" s="119"/>
      <c r="G110" s="119"/>
      <c r="H110" s="119"/>
      <c r="I110" s="119"/>
      <c r="J110" s="119"/>
      <c r="K110" s="121"/>
      <c r="L110" s="120"/>
      <c r="M110" s="119"/>
      <c r="N110" s="120"/>
      <c r="O110" s="119"/>
      <c r="P110" s="119"/>
      <c r="Q110" s="119"/>
      <c r="R110" s="119"/>
      <c r="S110" s="119"/>
      <c r="T110" s="261"/>
      <c r="U110" s="326"/>
      <c r="V110" s="326"/>
      <c r="W110" s="326"/>
      <c r="X110" s="326"/>
      <c r="Y110" s="326"/>
      <c r="Z110" s="326"/>
      <c r="AA110" s="326"/>
      <c r="AB110" s="326"/>
      <c r="AC110" s="326"/>
      <c r="AD110" s="326"/>
      <c r="AE110" s="326"/>
      <c r="AF110" s="326"/>
      <c r="AG110" s="326"/>
      <c r="AH110" s="326"/>
      <c r="AI110" s="848"/>
      <c r="AJ110" s="326"/>
      <c r="AK110" s="326"/>
      <c r="AL110" s="326"/>
      <c r="AM110" s="326"/>
      <c r="AN110" s="326"/>
      <c r="AO110" s="326"/>
      <c r="AP110" s="326"/>
      <c r="AQ110" s="326"/>
      <c r="AR110" s="326"/>
      <c r="AS110" s="326"/>
      <c r="AT110" s="326"/>
      <c r="AU110" s="392"/>
      <c r="AV110" s="120"/>
      <c r="AW110" s="120"/>
      <c r="AX110" s="120"/>
      <c r="AY110" s="120"/>
      <c r="AZ110" s="120"/>
      <c r="BA110" s="120"/>
      <c r="BB110" s="261"/>
      <c r="BC110" s="326"/>
      <c r="BD110" s="392"/>
      <c r="BE110" s="261"/>
      <c r="BF110" s="779"/>
      <c r="BG110" s="779"/>
      <c r="BH110" s="779"/>
      <c r="BI110" s="783"/>
      <c r="BJ110" s="783"/>
      <c r="BK110" s="784"/>
      <c r="BL110" s="783"/>
      <c r="BM110" s="783"/>
      <c r="BN110" s="783"/>
      <c r="BO110" s="766"/>
      <c r="BP110" s="783"/>
      <c r="BQ110" s="783"/>
      <c r="BR110" s="783"/>
      <c r="BS110" s="783"/>
    </row>
    <row r="111" spans="1:71" x14ac:dyDescent="0.25">
      <c r="A111" s="35" t="s">
        <v>39</v>
      </c>
      <c r="B111" s="118"/>
      <c r="C111" s="119"/>
      <c r="D111" s="119"/>
      <c r="E111" s="120"/>
      <c r="F111" s="119"/>
      <c r="G111" s="119"/>
      <c r="H111" s="119"/>
      <c r="I111" s="119"/>
      <c r="J111" s="119"/>
      <c r="K111" s="121"/>
      <c r="L111" s="120"/>
      <c r="M111" s="119"/>
      <c r="N111" s="120"/>
      <c r="O111" s="119"/>
      <c r="P111" s="119"/>
      <c r="Q111" s="119"/>
      <c r="R111" s="119"/>
      <c r="S111" s="119"/>
      <c r="T111" s="261"/>
      <c r="U111" s="326"/>
      <c r="V111" s="326"/>
      <c r="W111" s="326"/>
      <c r="X111" s="326"/>
      <c r="Y111" s="326"/>
      <c r="Z111" s="326"/>
      <c r="AA111" s="326"/>
      <c r="AB111" s="326"/>
      <c r="AC111" s="326"/>
      <c r="AD111" s="326"/>
      <c r="AE111" s="326"/>
      <c r="AF111" s="326"/>
      <c r="AG111" s="326"/>
      <c r="AH111" s="326"/>
      <c r="AI111" s="848"/>
      <c r="AJ111" s="326"/>
      <c r="AK111" s="326"/>
      <c r="AL111" s="326"/>
      <c r="AM111" s="326"/>
      <c r="AN111" s="326"/>
      <c r="AO111" s="326"/>
      <c r="AP111" s="326"/>
      <c r="AQ111" s="326"/>
      <c r="AR111" s="326"/>
      <c r="AS111" s="326"/>
      <c r="AT111" s="326"/>
      <c r="AU111" s="392"/>
      <c r="AV111" s="120"/>
      <c r="AW111" s="120"/>
      <c r="AX111" s="120"/>
      <c r="AY111" s="120"/>
      <c r="AZ111" s="120"/>
      <c r="BA111" s="120"/>
      <c r="BB111" s="261"/>
      <c r="BC111" s="326"/>
      <c r="BD111" s="392"/>
      <c r="BE111" s="261"/>
      <c r="BF111" s="779"/>
      <c r="BG111" s="779"/>
      <c r="BH111" s="779"/>
      <c r="BI111" s="783"/>
      <c r="BJ111" s="783"/>
      <c r="BK111" s="784"/>
      <c r="BL111" s="783"/>
      <c r="BM111" s="783"/>
      <c r="BN111" s="783"/>
      <c r="BO111" s="766"/>
      <c r="BP111" s="783"/>
      <c r="BQ111" s="783"/>
      <c r="BR111" s="783"/>
      <c r="BS111" s="783"/>
    </row>
    <row r="112" spans="1:71" x14ac:dyDescent="0.25">
      <c r="A112" s="35" t="s">
        <v>40</v>
      </c>
      <c r="B112" s="118"/>
      <c r="C112" s="119"/>
      <c r="D112" s="119"/>
      <c r="E112" s="120"/>
      <c r="F112" s="119"/>
      <c r="G112" s="119"/>
      <c r="H112" s="119"/>
      <c r="I112" s="119"/>
      <c r="J112" s="119"/>
      <c r="K112" s="121"/>
      <c r="L112" s="120"/>
      <c r="M112" s="119"/>
      <c r="N112" s="120"/>
      <c r="O112" s="119"/>
      <c r="P112" s="119"/>
      <c r="Q112" s="119"/>
      <c r="R112" s="119"/>
      <c r="S112" s="119"/>
      <c r="T112" s="261"/>
      <c r="U112" s="326"/>
      <c r="V112" s="326"/>
      <c r="W112" s="326"/>
      <c r="X112" s="326"/>
      <c r="Y112" s="326"/>
      <c r="Z112" s="326"/>
      <c r="AA112" s="326"/>
      <c r="AB112" s="326"/>
      <c r="AC112" s="326"/>
      <c r="AD112" s="326"/>
      <c r="AE112" s="326"/>
      <c r="AF112" s="326"/>
      <c r="AG112" s="326"/>
      <c r="AH112" s="326"/>
      <c r="AI112" s="848"/>
      <c r="AJ112" s="326"/>
      <c r="AK112" s="326"/>
      <c r="AL112" s="326"/>
      <c r="AM112" s="326"/>
      <c r="AN112" s="326"/>
      <c r="AO112" s="326"/>
      <c r="AP112" s="326"/>
      <c r="AQ112" s="326"/>
      <c r="AR112" s="326"/>
      <c r="AS112" s="326"/>
      <c r="AT112" s="326"/>
      <c r="AU112" s="392"/>
      <c r="AV112" s="120"/>
      <c r="AW112" s="120"/>
      <c r="AX112" s="120"/>
      <c r="AY112" s="120"/>
      <c r="AZ112" s="120"/>
      <c r="BA112" s="120"/>
      <c r="BB112" s="261"/>
      <c r="BC112" s="326"/>
      <c r="BD112" s="392"/>
      <c r="BE112" s="261"/>
      <c r="BF112" s="779"/>
      <c r="BG112" s="779"/>
      <c r="BH112" s="779"/>
      <c r="BI112" s="783"/>
      <c r="BJ112" s="783"/>
      <c r="BK112" s="784"/>
      <c r="BL112" s="783"/>
      <c r="BM112" s="783"/>
      <c r="BN112" s="783"/>
      <c r="BO112" s="766"/>
      <c r="BP112" s="783"/>
      <c r="BQ112" s="783"/>
      <c r="BR112" s="783"/>
      <c r="BS112" s="783"/>
    </row>
    <row r="113" spans="1:71" ht="15.75" thickBot="1" x14ac:dyDescent="0.3">
      <c r="A113" s="37" t="s">
        <v>41</v>
      </c>
      <c r="B113" s="122"/>
      <c r="C113" s="340"/>
      <c r="D113" s="344"/>
      <c r="E113" s="344"/>
      <c r="F113" s="340"/>
      <c r="G113" s="344"/>
      <c r="H113" s="344"/>
      <c r="I113" s="344"/>
      <c r="J113" s="344"/>
      <c r="K113" s="342"/>
      <c r="L113" s="340"/>
      <c r="M113" s="353"/>
      <c r="N113" s="344"/>
      <c r="O113" s="360"/>
      <c r="P113" s="344"/>
      <c r="Q113" s="360"/>
      <c r="R113" s="344"/>
      <c r="S113" s="340"/>
      <c r="T113" s="360"/>
      <c r="U113" s="355"/>
      <c r="V113" s="355"/>
      <c r="W113" s="355"/>
      <c r="X113" s="360"/>
      <c r="Y113" s="360"/>
      <c r="Z113" s="360"/>
      <c r="AA113" s="360"/>
      <c r="AB113" s="360"/>
      <c r="AC113" s="360"/>
      <c r="AD113" s="360"/>
      <c r="AE113" s="360"/>
      <c r="AF113" s="360"/>
      <c r="AG113" s="360"/>
      <c r="AH113" s="360"/>
      <c r="AI113" s="355"/>
      <c r="AJ113" s="360"/>
      <c r="AK113" s="360"/>
      <c r="AL113" s="360"/>
      <c r="AM113" s="360"/>
      <c r="AN113" s="360"/>
      <c r="AO113" s="360"/>
      <c r="AP113" s="360"/>
      <c r="AQ113" s="360"/>
      <c r="AR113" s="360"/>
      <c r="AS113" s="360"/>
      <c r="AT113" s="360"/>
      <c r="AU113" s="354"/>
      <c r="AV113" s="60"/>
      <c r="AW113" s="60"/>
      <c r="AX113" s="60"/>
      <c r="AY113" s="60"/>
      <c r="AZ113" s="60"/>
      <c r="BA113" s="60"/>
      <c r="BB113" s="262"/>
      <c r="BC113" s="252"/>
      <c r="BD113" s="163"/>
      <c r="BE113" s="262"/>
      <c r="BF113" s="779"/>
      <c r="BG113" s="779"/>
      <c r="BH113" s="779"/>
      <c r="BI113" s="783"/>
      <c r="BJ113" s="783"/>
      <c r="BK113" s="784"/>
      <c r="BL113" s="783"/>
      <c r="BM113" s="783"/>
      <c r="BN113" s="783"/>
      <c r="BO113" s="766"/>
      <c r="BP113" s="783"/>
      <c r="BQ113" s="783"/>
      <c r="BR113" s="783"/>
      <c r="BS113" s="783"/>
    </row>
    <row r="114" spans="1:71" x14ac:dyDescent="0.25">
      <c r="A114" s="45" t="s">
        <v>44</v>
      </c>
      <c r="B114" s="123"/>
      <c r="C114" s="124"/>
      <c r="D114" s="124"/>
      <c r="E114" s="125"/>
      <c r="F114" s="124"/>
      <c r="G114" s="124"/>
      <c r="H114" s="124"/>
      <c r="I114" s="124"/>
      <c r="J114" s="124"/>
      <c r="K114" s="126"/>
      <c r="L114" s="125"/>
      <c r="M114" s="124"/>
      <c r="N114" s="125"/>
      <c r="O114" s="124"/>
      <c r="P114" s="124"/>
      <c r="Q114" s="124"/>
      <c r="R114" s="124"/>
      <c r="S114" s="124"/>
      <c r="T114" s="821"/>
      <c r="U114" s="534"/>
      <c r="V114" s="534"/>
      <c r="W114" s="534"/>
      <c r="X114" s="534"/>
      <c r="Y114" s="534"/>
      <c r="Z114" s="534"/>
      <c r="AA114" s="534"/>
      <c r="AB114" s="534"/>
      <c r="AC114" s="534"/>
      <c r="AD114" s="534"/>
      <c r="AE114" s="534"/>
      <c r="AF114" s="534"/>
      <c r="AG114" s="534"/>
      <c r="AH114" s="534"/>
      <c r="AI114" s="849"/>
      <c r="AJ114" s="534"/>
      <c r="AK114" s="534"/>
      <c r="AL114" s="534"/>
      <c r="AM114" s="534"/>
      <c r="AN114" s="534"/>
      <c r="AO114" s="534"/>
      <c r="AP114" s="534"/>
      <c r="AQ114" s="534"/>
      <c r="AR114" s="534"/>
      <c r="AS114" s="534"/>
      <c r="AT114" s="534"/>
      <c r="AU114" s="393"/>
      <c r="AV114" s="125"/>
      <c r="AW114" s="127"/>
      <c r="AX114" s="541"/>
      <c r="AY114" s="541"/>
      <c r="AZ114" s="541"/>
      <c r="BA114" s="541"/>
      <c r="BB114" s="833"/>
      <c r="BC114" s="776"/>
      <c r="BD114" s="500"/>
      <c r="BE114" s="500"/>
      <c r="BF114" s="779"/>
      <c r="BG114" s="779"/>
      <c r="BH114" s="779"/>
      <c r="BI114" s="783"/>
      <c r="BJ114" s="783"/>
      <c r="BK114" s="784"/>
      <c r="BL114" s="783"/>
      <c r="BM114" s="783"/>
      <c r="BN114" s="783"/>
      <c r="BO114" s="766"/>
      <c r="BP114" s="783"/>
      <c r="BQ114" s="783"/>
      <c r="BR114" s="783"/>
      <c r="BS114" s="783"/>
    </row>
    <row r="115" spans="1:71" x14ac:dyDescent="0.25">
      <c r="A115" s="35" t="s">
        <v>36</v>
      </c>
      <c r="B115" s="97"/>
      <c r="C115" s="89"/>
      <c r="D115" s="89"/>
      <c r="E115" s="89"/>
      <c r="F115" s="89"/>
      <c r="G115" s="89"/>
      <c r="H115" s="89"/>
      <c r="I115" s="89"/>
      <c r="J115" s="89"/>
      <c r="K115" s="99"/>
      <c r="L115" s="89"/>
      <c r="M115" s="87"/>
      <c r="N115" s="89"/>
      <c r="O115" s="89"/>
      <c r="P115" s="89"/>
      <c r="Q115" s="89"/>
      <c r="R115" s="89"/>
      <c r="S115" s="89"/>
      <c r="T115" s="254"/>
      <c r="U115" s="175"/>
      <c r="V115" s="189"/>
      <c r="W115" s="189"/>
      <c r="X115" s="98"/>
      <c r="Y115" s="98"/>
      <c r="Z115" s="98"/>
      <c r="AA115" s="98"/>
      <c r="AB115" s="98"/>
      <c r="AC115" s="98"/>
      <c r="AD115" s="98"/>
      <c r="AE115" s="98"/>
      <c r="AF115" s="98"/>
      <c r="AG115" s="98"/>
      <c r="AH115" s="98"/>
      <c r="AI115" s="180"/>
      <c r="AJ115" s="98"/>
      <c r="AK115" s="98"/>
      <c r="AL115" s="98"/>
      <c r="AM115" s="98"/>
      <c r="AN115" s="98"/>
      <c r="AO115" s="98"/>
      <c r="AP115" s="98"/>
      <c r="AQ115" s="98"/>
      <c r="AR115" s="98"/>
      <c r="AS115" s="98"/>
      <c r="AT115" s="98"/>
      <c r="AU115" s="99"/>
      <c r="AV115" s="89"/>
      <c r="AW115" s="89"/>
      <c r="AX115" s="89"/>
      <c r="AY115" s="89"/>
      <c r="AZ115" s="89"/>
      <c r="BA115" s="89"/>
      <c r="BB115" s="259"/>
      <c r="BC115" s="98"/>
      <c r="BD115" s="99"/>
      <c r="BE115" s="259"/>
      <c r="BF115" s="779"/>
      <c r="BG115" s="779"/>
      <c r="BH115" s="779"/>
      <c r="BI115" s="783"/>
      <c r="BJ115" s="783"/>
      <c r="BK115" s="784"/>
      <c r="BL115" s="783"/>
      <c r="BM115" s="783"/>
      <c r="BN115" s="783"/>
      <c r="BO115" s="766"/>
      <c r="BP115" s="783"/>
      <c r="BQ115" s="783"/>
      <c r="BR115" s="783"/>
      <c r="BS115" s="783"/>
    </row>
    <row r="116" spans="1:71" x14ac:dyDescent="0.25">
      <c r="A116" s="35" t="s">
        <v>37</v>
      </c>
      <c r="B116" s="97"/>
      <c r="C116" s="89"/>
      <c r="D116" s="89"/>
      <c r="E116" s="89"/>
      <c r="F116" s="89"/>
      <c r="G116" s="89"/>
      <c r="H116" s="89"/>
      <c r="I116" s="89"/>
      <c r="J116" s="89"/>
      <c r="K116" s="99"/>
      <c r="L116" s="89"/>
      <c r="M116" s="87"/>
      <c r="N116" s="89"/>
      <c r="O116" s="89"/>
      <c r="P116" s="89"/>
      <c r="Q116" s="89"/>
      <c r="R116" s="89"/>
      <c r="S116" s="89"/>
      <c r="T116" s="259"/>
      <c r="U116" s="175"/>
      <c r="V116" s="189"/>
      <c r="W116" s="189"/>
      <c r="X116" s="98"/>
      <c r="Y116" s="98"/>
      <c r="Z116" s="98"/>
      <c r="AA116" s="98"/>
      <c r="AB116" s="98"/>
      <c r="AC116" s="98"/>
      <c r="AD116" s="98"/>
      <c r="AE116" s="98"/>
      <c r="AF116" s="98"/>
      <c r="AG116" s="98"/>
      <c r="AH116" s="98"/>
      <c r="AI116" s="180"/>
      <c r="AJ116" s="98"/>
      <c r="AK116" s="98"/>
      <c r="AL116" s="98"/>
      <c r="AM116" s="98"/>
      <c r="AN116" s="98"/>
      <c r="AO116" s="98"/>
      <c r="AP116" s="98"/>
      <c r="AQ116" s="98"/>
      <c r="AR116" s="98"/>
      <c r="AS116" s="98"/>
      <c r="AT116" s="98"/>
      <c r="AU116" s="99"/>
      <c r="AV116" s="89"/>
      <c r="AW116" s="89"/>
      <c r="AX116" s="89"/>
      <c r="AY116" s="89"/>
      <c r="AZ116" s="89"/>
      <c r="BA116" s="89"/>
      <c r="BB116" s="259"/>
      <c r="BC116" s="98"/>
      <c r="BD116" s="99"/>
      <c r="BE116" s="259"/>
      <c r="BF116" s="779"/>
      <c r="BG116" s="779"/>
      <c r="BH116" s="779"/>
      <c r="BI116" s="783"/>
      <c r="BJ116" s="783"/>
      <c r="BK116" s="784"/>
      <c r="BL116" s="783"/>
      <c r="BM116" s="783"/>
      <c r="BN116" s="783"/>
      <c r="BO116" s="766"/>
      <c r="BP116" s="783"/>
      <c r="BQ116" s="783"/>
      <c r="BR116" s="783"/>
      <c r="BS116" s="783"/>
    </row>
    <row r="117" spans="1:71" x14ac:dyDescent="0.25">
      <c r="A117" s="35" t="s">
        <v>38</v>
      </c>
      <c r="B117" s="97"/>
      <c r="C117" s="89"/>
      <c r="D117" s="89"/>
      <c r="E117" s="89"/>
      <c r="F117" s="89"/>
      <c r="G117" s="89"/>
      <c r="H117" s="89"/>
      <c r="I117" s="89"/>
      <c r="J117" s="89"/>
      <c r="K117" s="99"/>
      <c r="L117" s="89"/>
      <c r="M117" s="87"/>
      <c r="N117" s="89"/>
      <c r="O117" s="89"/>
      <c r="P117" s="89"/>
      <c r="Q117" s="89"/>
      <c r="R117" s="89"/>
      <c r="S117" s="89"/>
      <c r="T117" s="259"/>
      <c r="U117" s="175"/>
      <c r="V117" s="189"/>
      <c r="W117" s="189"/>
      <c r="X117" s="98"/>
      <c r="Y117" s="98"/>
      <c r="Z117" s="98"/>
      <c r="AA117" s="98"/>
      <c r="AB117" s="98"/>
      <c r="AC117" s="98"/>
      <c r="AD117" s="98"/>
      <c r="AE117" s="98"/>
      <c r="AF117" s="98"/>
      <c r="AG117" s="98"/>
      <c r="AH117" s="98"/>
      <c r="AI117" s="180"/>
      <c r="AJ117" s="98"/>
      <c r="AK117" s="98"/>
      <c r="AL117" s="98"/>
      <c r="AM117" s="98"/>
      <c r="AN117" s="98"/>
      <c r="AO117" s="98"/>
      <c r="AP117" s="98"/>
      <c r="AQ117" s="98"/>
      <c r="AR117" s="98"/>
      <c r="AS117" s="98"/>
      <c r="AT117" s="98"/>
      <c r="AU117" s="99"/>
      <c r="AV117" s="89"/>
      <c r="AW117" s="89"/>
      <c r="AX117" s="89"/>
      <c r="AY117" s="89"/>
      <c r="AZ117" s="89"/>
      <c r="BA117" s="89"/>
      <c r="BB117" s="259"/>
      <c r="BC117" s="98"/>
      <c r="BD117" s="99"/>
      <c r="BE117" s="259"/>
      <c r="BF117" s="779"/>
      <c r="BG117" s="779"/>
      <c r="BH117" s="779"/>
      <c r="BI117" s="783"/>
      <c r="BJ117" s="783"/>
      <c r="BK117" s="784"/>
      <c r="BL117" s="783"/>
      <c r="BM117" s="783"/>
      <c r="BN117" s="783"/>
      <c r="BO117" s="766"/>
      <c r="BP117" s="783"/>
      <c r="BQ117" s="783"/>
      <c r="BR117" s="783"/>
      <c r="BS117" s="783"/>
    </row>
    <row r="118" spans="1:71" x14ac:dyDescent="0.25">
      <c r="A118" s="35" t="s">
        <v>39</v>
      </c>
      <c r="B118" s="97"/>
      <c r="C118" s="89"/>
      <c r="D118" s="89"/>
      <c r="E118" s="89"/>
      <c r="F118" s="89"/>
      <c r="G118" s="89"/>
      <c r="H118" s="89"/>
      <c r="I118" s="89"/>
      <c r="J118" s="89"/>
      <c r="K118" s="99"/>
      <c r="L118" s="89"/>
      <c r="M118" s="87"/>
      <c r="N118" s="89"/>
      <c r="O118" s="89"/>
      <c r="P118" s="89"/>
      <c r="Q118" s="89"/>
      <c r="R118" s="89"/>
      <c r="S118" s="89"/>
      <c r="T118" s="259"/>
      <c r="U118" s="175"/>
      <c r="V118" s="189"/>
      <c r="W118" s="189"/>
      <c r="X118" s="98"/>
      <c r="Y118" s="98"/>
      <c r="Z118" s="98"/>
      <c r="AA118" s="98"/>
      <c r="AB118" s="98"/>
      <c r="AC118" s="98"/>
      <c r="AD118" s="98"/>
      <c r="AE118" s="98"/>
      <c r="AF118" s="98"/>
      <c r="AG118" s="98"/>
      <c r="AH118" s="98"/>
      <c r="AI118" s="180"/>
      <c r="AJ118" s="98"/>
      <c r="AK118" s="98"/>
      <c r="AL118" s="98"/>
      <c r="AM118" s="98"/>
      <c r="AN118" s="98"/>
      <c r="AO118" s="98"/>
      <c r="AP118" s="98"/>
      <c r="AQ118" s="98"/>
      <c r="AR118" s="98"/>
      <c r="AS118" s="98"/>
      <c r="AT118" s="98"/>
      <c r="AU118" s="99"/>
      <c r="AV118" s="89"/>
      <c r="AW118" s="89"/>
      <c r="AX118" s="89"/>
      <c r="AY118" s="89"/>
      <c r="AZ118" s="89"/>
      <c r="BA118" s="89"/>
      <c r="BB118" s="259"/>
      <c r="BC118" s="98"/>
      <c r="BD118" s="99"/>
      <c r="BE118" s="259"/>
      <c r="BF118" s="779"/>
      <c r="BG118" s="779"/>
      <c r="BH118" s="779"/>
      <c r="BI118" s="783"/>
      <c r="BJ118" s="783"/>
      <c r="BK118" s="784"/>
      <c r="BL118" s="783"/>
      <c r="BM118" s="783"/>
      <c r="BN118" s="783"/>
      <c r="BO118" s="766"/>
      <c r="BP118" s="783"/>
      <c r="BQ118" s="783"/>
      <c r="BR118" s="783"/>
      <c r="BS118" s="783"/>
    </row>
    <row r="119" spans="1:71" x14ac:dyDescent="0.25">
      <c r="A119" s="35" t="s">
        <v>40</v>
      </c>
      <c r="B119" s="97"/>
      <c r="C119" s="89"/>
      <c r="D119" s="89"/>
      <c r="E119" s="89"/>
      <c r="F119" s="89"/>
      <c r="G119" s="89"/>
      <c r="H119" s="89"/>
      <c r="I119" s="89"/>
      <c r="J119" s="89"/>
      <c r="K119" s="99"/>
      <c r="L119" s="89"/>
      <c r="M119" s="87"/>
      <c r="N119" s="89"/>
      <c r="O119" s="89"/>
      <c r="P119" s="89"/>
      <c r="Q119" s="89"/>
      <c r="R119" s="89"/>
      <c r="S119" s="89"/>
      <c r="T119" s="259"/>
      <c r="U119" s="175"/>
      <c r="V119" s="189"/>
      <c r="W119" s="189"/>
      <c r="X119" s="98"/>
      <c r="Y119" s="98"/>
      <c r="Z119" s="98"/>
      <c r="AA119" s="98"/>
      <c r="AB119" s="98"/>
      <c r="AC119" s="98"/>
      <c r="AD119" s="98"/>
      <c r="AE119" s="98"/>
      <c r="AF119" s="98"/>
      <c r="AG119" s="98"/>
      <c r="AH119" s="98"/>
      <c r="AI119" s="180"/>
      <c r="AJ119" s="98"/>
      <c r="AK119" s="98"/>
      <c r="AL119" s="98"/>
      <c r="AM119" s="98"/>
      <c r="AN119" s="98"/>
      <c r="AO119" s="98"/>
      <c r="AP119" s="98"/>
      <c r="AQ119" s="98"/>
      <c r="AR119" s="98"/>
      <c r="AS119" s="98"/>
      <c r="AT119" s="98"/>
      <c r="AU119" s="99"/>
      <c r="AV119" s="89"/>
      <c r="AW119" s="89"/>
      <c r="AX119" s="89"/>
      <c r="AY119" s="89"/>
      <c r="AZ119" s="89"/>
      <c r="BA119" s="89"/>
      <c r="BB119" s="259"/>
      <c r="BC119" s="98"/>
      <c r="BD119" s="99"/>
      <c r="BE119" s="259"/>
      <c r="BF119" s="779"/>
      <c r="BG119" s="779"/>
      <c r="BH119" s="779"/>
      <c r="BI119" s="783"/>
      <c r="BJ119" s="783"/>
      <c r="BK119" s="784"/>
      <c r="BL119" s="783"/>
      <c r="BM119" s="783"/>
      <c r="BN119" s="783"/>
      <c r="BO119" s="766"/>
      <c r="BP119" s="783"/>
      <c r="BQ119" s="783"/>
      <c r="BR119" s="783"/>
      <c r="BS119" s="783"/>
    </row>
    <row r="120" spans="1:71" ht="15.75" thickBot="1" x14ac:dyDescent="0.3">
      <c r="A120" s="37" t="s">
        <v>41</v>
      </c>
      <c r="B120" s="100"/>
      <c r="C120" s="81"/>
      <c r="D120" s="81"/>
      <c r="E120" s="81"/>
      <c r="F120" s="81"/>
      <c r="G120" s="81"/>
      <c r="H120" s="81"/>
      <c r="I120" s="81"/>
      <c r="J120" s="81"/>
      <c r="K120" s="160"/>
      <c r="L120" s="81"/>
      <c r="M120" s="200"/>
      <c r="N120" s="81"/>
      <c r="O120" s="81"/>
      <c r="P120" s="81"/>
      <c r="Q120" s="81"/>
      <c r="R120" s="81"/>
      <c r="S120" s="81"/>
      <c r="T120" s="263"/>
      <c r="U120" s="160"/>
      <c r="V120" s="80"/>
      <c r="W120" s="80"/>
      <c r="X120" s="159"/>
      <c r="Y120" s="159"/>
      <c r="Z120" s="159"/>
      <c r="AA120" s="159"/>
      <c r="AB120" s="159"/>
      <c r="AC120" s="159"/>
      <c r="AD120" s="159"/>
      <c r="AE120" s="159"/>
      <c r="AF120" s="159"/>
      <c r="AG120" s="159"/>
      <c r="AH120" s="159"/>
      <c r="AI120" s="176"/>
      <c r="AJ120" s="159"/>
      <c r="AK120" s="159"/>
      <c r="AL120" s="159"/>
      <c r="AM120" s="159"/>
      <c r="AN120" s="159"/>
      <c r="AO120" s="159"/>
      <c r="AP120" s="159"/>
      <c r="AQ120" s="159"/>
      <c r="AR120" s="159"/>
      <c r="AS120" s="159"/>
      <c r="AT120" s="159"/>
      <c r="AU120" s="160"/>
      <c r="AV120" s="81"/>
      <c r="AW120" s="81"/>
      <c r="AX120" s="81"/>
      <c r="AY120" s="81"/>
      <c r="AZ120" s="81"/>
      <c r="BA120" s="81"/>
      <c r="BB120" s="263"/>
      <c r="BC120" s="159"/>
      <c r="BD120" s="160"/>
      <c r="BE120" s="263"/>
      <c r="BF120" s="779"/>
      <c r="BG120" s="779"/>
      <c r="BH120" s="779"/>
      <c r="BI120" s="783"/>
      <c r="BJ120" s="783"/>
      <c r="BK120" s="784"/>
      <c r="BL120" s="783"/>
      <c r="BM120" s="783"/>
      <c r="BN120" s="783"/>
      <c r="BO120" s="766"/>
      <c r="BP120" s="783"/>
      <c r="BQ120" s="783"/>
      <c r="BR120" s="783"/>
      <c r="BS120" s="783"/>
    </row>
    <row r="121" spans="1:71" x14ac:dyDescent="0.25">
      <c r="A121" s="45" t="s">
        <v>20</v>
      </c>
      <c r="B121" s="61"/>
      <c r="C121" s="62"/>
      <c r="D121" s="62"/>
      <c r="E121" s="64"/>
      <c r="F121" s="62"/>
      <c r="G121" s="62"/>
      <c r="H121" s="62"/>
      <c r="I121" s="62"/>
      <c r="J121" s="62"/>
      <c r="K121" s="63"/>
      <c r="L121" s="64"/>
      <c r="M121" s="62"/>
      <c r="N121" s="64"/>
      <c r="O121" s="62"/>
      <c r="P121" s="62"/>
      <c r="Q121" s="62"/>
      <c r="R121" s="62"/>
      <c r="S121" s="62"/>
      <c r="T121" s="255"/>
      <c r="U121" s="320"/>
      <c r="V121" s="320"/>
      <c r="W121" s="320"/>
      <c r="X121" s="320"/>
      <c r="Y121" s="320"/>
      <c r="Z121" s="320"/>
      <c r="AA121" s="320"/>
      <c r="AB121" s="320"/>
      <c r="AC121" s="320"/>
      <c r="AD121" s="320"/>
      <c r="AE121" s="320"/>
      <c r="AF121" s="320"/>
      <c r="AG121" s="320"/>
      <c r="AH121" s="320"/>
      <c r="AI121" s="177"/>
      <c r="AJ121" s="320"/>
      <c r="AK121" s="320"/>
      <c r="AL121" s="320"/>
      <c r="AM121" s="320"/>
      <c r="AN121" s="320"/>
      <c r="AO121" s="320"/>
      <c r="AP121" s="320"/>
      <c r="AQ121" s="320"/>
      <c r="AR121" s="320"/>
      <c r="AS121" s="320"/>
      <c r="AT121" s="320"/>
      <c r="AU121" s="165"/>
      <c r="AV121" s="64"/>
      <c r="AW121" s="65"/>
      <c r="AX121" s="513"/>
      <c r="AY121" s="513"/>
      <c r="AZ121" s="513"/>
      <c r="BA121" s="513"/>
      <c r="BB121" s="626"/>
      <c r="BC121" s="776"/>
      <c r="BD121" s="500"/>
      <c r="BE121" s="500"/>
      <c r="BF121" s="779"/>
      <c r="BG121" s="779"/>
      <c r="BH121" s="779"/>
      <c r="BI121" s="783"/>
      <c r="BJ121" s="783"/>
      <c r="BK121" s="784"/>
      <c r="BL121" s="783"/>
      <c r="BM121" s="783"/>
      <c r="BN121" s="783"/>
      <c r="BO121" s="766"/>
      <c r="BP121" s="783"/>
      <c r="BQ121" s="783"/>
      <c r="BR121" s="783"/>
      <c r="BS121" s="783"/>
    </row>
    <row r="122" spans="1:71" x14ac:dyDescent="0.25">
      <c r="A122" s="35" t="s">
        <v>36</v>
      </c>
      <c r="B122" s="55"/>
      <c r="C122" s="56"/>
      <c r="D122" s="56"/>
      <c r="E122" s="58"/>
      <c r="F122" s="56"/>
      <c r="G122" s="58"/>
      <c r="H122" s="56"/>
      <c r="I122" s="58"/>
      <c r="J122" s="56"/>
      <c r="K122" s="130"/>
      <c r="L122" s="58"/>
      <c r="M122" s="58"/>
      <c r="N122" s="58"/>
      <c r="O122" s="58"/>
      <c r="P122" s="56"/>
      <c r="Q122" s="58"/>
      <c r="R122" s="56"/>
      <c r="S122" s="58"/>
      <c r="T122" s="338"/>
      <c r="U122" s="58"/>
      <c r="V122" s="58"/>
      <c r="W122" s="58"/>
      <c r="X122" s="58"/>
      <c r="Y122" s="58"/>
      <c r="Z122" s="58"/>
      <c r="AA122" s="58"/>
      <c r="AB122" s="58"/>
      <c r="AC122" s="58"/>
      <c r="AD122" s="58"/>
      <c r="AE122" s="58"/>
      <c r="AF122" s="58"/>
      <c r="AG122" s="58"/>
      <c r="AH122" s="58"/>
      <c r="AI122" s="850"/>
      <c r="AJ122" s="58"/>
      <c r="AK122" s="58"/>
      <c r="AL122" s="58"/>
      <c r="AM122" s="58"/>
      <c r="AN122" s="58"/>
      <c r="AO122" s="58"/>
      <c r="AP122" s="58"/>
      <c r="AQ122" s="58"/>
      <c r="AR122" s="58"/>
      <c r="AS122" s="58"/>
      <c r="AT122" s="58"/>
      <c r="AU122" s="130"/>
      <c r="AV122" s="58"/>
      <c r="AW122" s="58"/>
      <c r="AX122" s="58"/>
      <c r="AY122" s="58"/>
      <c r="AZ122" s="58"/>
      <c r="BA122" s="58"/>
      <c r="BB122" s="242"/>
      <c r="BC122" s="251"/>
      <c r="BD122" s="162"/>
      <c r="BE122" s="242"/>
      <c r="BF122" s="779"/>
      <c r="BG122" s="779"/>
      <c r="BH122" s="779"/>
      <c r="BI122" s="783"/>
      <c r="BJ122" s="783"/>
      <c r="BK122" s="784"/>
      <c r="BL122" s="783"/>
      <c r="BM122" s="783"/>
      <c r="BN122" s="783"/>
      <c r="BO122" s="766"/>
      <c r="BP122" s="783"/>
      <c r="BQ122" s="783"/>
      <c r="BR122" s="783"/>
      <c r="BS122" s="783"/>
    </row>
    <row r="123" spans="1:71" x14ac:dyDescent="0.25">
      <c r="A123" s="35" t="s">
        <v>37</v>
      </c>
      <c r="B123" s="55"/>
      <c r="C123" s="56"/>
      <c r="D123" s="56"/>
      <c r="E123" s="58"/>
      <c r="F123" s="56"/>
      <c r="G123" s="58"/>
      <c r="H123" s="56"/>
      <c r="I123" s="58"/>
      <c r="J123" s="56"/>
      <c r="K123" s="130"/>
      <c r="L123" s="58"/>
      <c r="M123" s="58"/>
      <c r="N123" s="58"/>
      <c r="O123" s="58"/>
      <c r="P123" s="56"/>
      <c r="Q123" s="58"/>
      <c r="R123" s="56"/>
      <c r="S123" s="58"/>
      <c r="T123" s="338"/>
      <c r="U123" s="58"/>
      <c r="V123" s="58"/>
      <c r="W123" s="58"/>
      <c r="X123" s="58"/>
      <c r="Y123" s="58"/>
      <c r="Z123" s="58"/>
      <c r="AA123" s="58"/>
      <c r="AB123" s="58"/>
      <c r="AC123" s="58"/>
      <c r="AD123" s="58"/>
      <c r="AE123" s="58"/>
      <c r="AF123" s="58"/>
      <c r="AG123" s="58"/>
      <c r="AH123" s="58"/>
      <c r="AI123" s="850"/>
      <c r="AJ123" s="58"/>
      <c r="AK123" s="58"/>
      <c r="AL123" s="58"/>
      <c r="AM123" s="58"/>
      <c r="AN123" s="58"/>
      <c r="AO123" s="58"/>
      <c r="AP123" s="58"/>
      <c r="AQ123" s="58"/>
      <c r="AR123" s="58"/>
      <c r="AS123" s="58"/>
      <c r="AT123" s="58"/>
      <c r="AU123" s="130"/>
      <c r="AV123" s="58"/>
      <c r="AW123" s="58"/>
      <c r="AX123" s="58"/>
      <c r="AY123" s="58"/>
      <c r="AZ123" s="58"/>
      <c r="BA123" s="58"/>
      <c r="BB123" s="242"/>
      <c r="BC123" s="251"/>
      <c r="BD123" s="162"/>
      <c r="BE123" s="242"/>
      <c r="BF123" s="779"/>
      <c r="BG123" s="779"/>
      <c r="BH123" s="779"/>
      <c r="BI123" s="783"/>
      <c r="BJ123" s="783"/>
      <c r="BK123" s="784"/>
      <c r="BL123" s="783"/>
      <c r="BM123" s="783"/>
      <c r="BN123" s="783"/>
      <c r="BO123" s="766"/>
      <c r="BP123" s="783"/>
      <c r="BQ123" s="783"/>
      <c r="BR123" s="783"/>
      <c r="BS123" s="783"/>
    </row>
    <row r="124" spans="1:71" x14ac:dyDescent="0.25">
      <c r="A124" s="35" t="s">
        <v>38</v>
      </c>
      <c r="B124" s="55"/>
      <c r="C124" s="56"/>
      <c r="D124" s="56"/>
      <c r="E124" s="56"/>
      <c r="F124" s="56"/>
      <c r="G124" s="56"/>
      <c r="H124" s="56"/>
      <c r="I124" s="56"/>
      <c r="J124" s="56"/>
      <c r="K124" s="56"/>
      <c r="L124" s="58"/>
      <c r="M124" s="58"/>
      <c r="N124" s="58"/>
      <c r="O124" s="58"/>
      <c r="P124" s="56"/>
      <c r="Q124" s="58"/>
      <c r="R124" s="56"/>
      <c r="S124" s="58"/>
      <c r="T124" s="338"/>
      <c r="U124" s="58"/>
      <c r="V124" s="58"/>
      <c r="W124" s="58"/>
      <c r="X124" s="58"/>
      <c r="Y124" s="58"/>
      <c r="Z124" s="58"/>
      <c r="AA124" s="58"/>
      <c r="AB124" s="58"/>
      <c r="AC124" s="58"/>
      <c r="AD124" s="58"/>
      <c r="AE124" s="58"/>
      <c r="AF124" s="58"/>
      <c r="AG124" s="58"/>
      <c r="AH124" s="58"/>
      <c r="AI124" s="850"/>
      <c r="AJ124" s="58"/>
      <c r="AK124" s="58"/>
      <c r="AL124" s="58"/>
      <c r="AM124" s="58"/>
      <c r="AN124" s="58"/>
      <c r="AO124" s="58"/>
      <c r="AP124" s="58"/>
      <c r="AQ124" s="58"/>
      <c r="AR124" s="58"/>
      <c r="AS124" s="58"/>
      <c r="AT124" s="58"/>
      <c r="AU124" s="130"/>
      <c r="AV124" s="58"/>
      <c r="AW124" s="58"/>
      <c r="AX124" s="58"/>
      <c r="AY124" s="58"/>
      <c r="AZ124" s="58"/>
      <c r="BA124" s="58"/>
      <c r="BB124" s="264"/>
      <c r="BC124" s="251"/>
      <c r="BD124" s="162"/>
      <c r="BE124" s="242"/>
      <c r="BF124" s="779"/>
      <c r="BG124" s="779"/>
      <c r="BH124" s="779"/>
      <c r="BI124" s="783"/>
      <c r="BJ124" s="783"/>
      <c r="BK124" s="784"/>
      <c r="BL124" s="783"/>
      <c r="BM124" s="783"/>
      <c r="BN124" s="783"/>
      <c r="BO124" s="766"/>
      <c r="BP124" s="783"/>
      <c r="BQ124" s="783"/>
      <c r="BR124" s="783"/>
      <c r="BS124" s="783"/>
    </row>
    <row r="125" spans="1:71" x14ac:dyDescent="0.25">
      <c r="A125" s="35" t="s">
        <v>39</v>
      </c>
      <c r="B125" s="55"/>
      <c r="C125" s="56"/>
      <c r="D125" s="56"/>
      <c r="E125" s="56"/>
      <c r="F125" s="56"/>
      <c r="G125" s="56"/>
      <c r="H125" s="56"/>
      <c r="I125" s="56"/>
      <c r="J125" s="56"/>
      <c r="K125" s="56"/>
      <c r="L125" s="58"/>
      <c r="M125" s="58"/>
      <c r="N125" s="58"/>
      <c r="O125" s="58"/>
      <c r="P125" s="56"/>
      <c r="Q125" s="58"/>
      <c r="R125" s="56"/>
      <c r="S125" s="58"/>
      <c r="T125" s="338"/>
      <c r="U125" s="58"/>
      <c r="V125" s="58"/>
      <c r="W125" s="58"/>
      <c r="X125" s="58"/>
      <c r="Y125" s="58"/>
      <c r="Z125" s="58"/>
      <c r="AA125" s="58"/>
      <c r="AB125" s="58"/>
      <c r="AC125" s="58"/>
      <c r="AD125" s="58"/>
      <c r="AE125" s="58"/>
      <c r="AF125" s="58"/>
      <c r="AG125" s="58"/>
      <c r="AH125" s="58"/>
      <c r="AI125" s="850"/>
      <c r="AJ125" s="58"/>
      <c r="AK125" s="58"/>
      <c r="AL125" s="58"/>
      <c r="AM125" s="58"/>
      <c r="AN125" s="58"/>
      <c r="AO125" s="58"/>
      <c r="AP125" s="58"/>
      <c r="AQ125" s="58"/>
      <c r="AR125" s="58"/>
      <c r="AS125" s="58"/>
      <c r="AT125" s="58"/>
      <c r="AU125" s="130"/>
      <c r="AV125" s="58"/>
      <c r="AW125" s="58"/>
      <c r="AX125" s="58"/>
      <c r="AY125" s="58"/>
      <c r="AZ125" s="58"/>
      <c r="BA125" s="58"/>
      <c r="BB125" s="264"/>
      <c r="BC125" s="251"/>
      <c r="BD125" s="162"/>
      <c r="BE125" s="242"/>
      <c r="BF125" s="779"/>
      <c r="BG125" s="779"/>
      <c r="BH125" s="779"/>
      <c r="BI125" s="783"/>
      <c r="BJ125" s="783"/>
      <c r="BK125" s="784"/>
      <c r="BL125" s="783"/>
      <c r="BM125" s="783"/>
      <c r="BN125" s="783"/>
      <c r="BO125" s="766"/>
      <c r="BP125" s="783"/>
      <c r="BQ125" s="783"/>
      <c r="BR125" s="783"/>
      <c r="BS125" s="783"/>
    </row>
    <row r="126" spans="1:71" x14ac:dyDescent="0.25">
      <c r="A126" s="35" t="s">
        <v>40</v>
      </c>
      <c r="B126" s="55"/>
      <c r="C126" s="56"/>
      <c r="D126" s="56"/>
      <c r="E126" s="56"/>
      <c r="F126" s="56"/>
      <c r="G126" s="56"/>
      <c r="H126" s="56"/>
      <c r="I126" s="56"/>
      <c r="J126" s="56"/>
      <c r="K126" s="56"/>
      <c r="L126" s="58"/>
      <c r="M126" s="58"/>
      <c r="N126" s="58"/>
      <c r="O126" s="58"/>
      <c r="P126" s="56"/>
      <c r="Q126" s="58"/>
      <c r="R126" s="56"/>
      <c r="S126" s="58"/>
      <c r="T126" s="338"/>
      <c r="U126" s="58"/>
      <c r="V126" s="58"/>
      <c r="W126" s="58"/>
      <c r="X126" s="58"/>
      <c r="Y126" s="58"/>
      <c r="Z126" s="58"/>
      <c r="AA126" s="58"/>
      <c r="AB126" s="58"/>
      <c r="AC126" s="58"/>
      <c r="AD126" s="58"/>
      <c r="AE126" s="58"/>
      <c r="AF126" s="58"/>
      <c r="AG126" s="58"/>
      <c r="AH126" s="58"/>
      <c r="AI126" s="850"/>
      <c r="AJ126" s="58"/>
      <c r="AK126" s="58"/>
      <c r="AL126" s="58"/>
      <c r="AM126" s="58"/>
      <c r="AN126" s="58"/>
      <c r="AO126" s="58"/>
      <c r="AP126" s="58"/>
      <c r="AQ126" s="58"/>
      <c r="AR126" s="58"/>
      <c r="AS126" s="58"/>
      <c r="AT126" s="58"/>
      <c r="AU126" s="130"/>
      <c r="AV126" s="58"/>
      <c r="AW126" s="58"/>
      <c r="AX126" s="58"/>
      <c r="AY126" s="58"/>
      <c r="AZ126" s="58"/>
      <c r="BA126" s="58"/>
      <c r="BB126" s="264"/>
      <c r="BC126" s="251"/>
      <c r="BD126" s="162"/>
      <c r="BE126" s="242"/>
      <c r="BF126" s="779"/>
      <c r="BG126" s="779"/>
      <c r="BH126" s="779"/>
      <c r="BI126" s="783"/>
      <c r="BJ126" s="783"/>
      <c r="BK126" s="784"/>
      <c r="BL126" s="783"/>
      <c r="BM126" s="783"/>
      <c r="BN126" s="783"/>
      <c r="BO126" s="766"/>
      <c r="BP126" s="783"/>
      <c r="BQ126" s="783"/>
      <c r="BR126" s="783"/>
      <c r="BS126" s="783"/>
    </row>
    <row r="127" spans="1:71" x14ac:dyDescent="0.25">
      <c r="A127" s="35" t="s">
        <v>41</v>
      </c>
      <c r="B127" s="131"/>
      <c r="C127" s="58"/>
      <c r="D127" s="58"/>
      <c r="E127" s="58"/>
      <c r="F127" s="58"/>
      <c r="G127" s="58"/>
      <c r="H127" s="58"/>
      <c r="I127" s="58"/>
      <c r="J127" s="58"/>
      <c r="K127" s="130"/>
      <c r="L127" s="58"/>
      <c r="M127" s="58"/>
      <c r="N127" s="58"/>
      <c r="O127" s="58"/>
      <c r="P127" s="58"/>
      <c r="Q127" s="58"/>
      <c r="R127" s="58"/>
      <c r="S127" s="58"/>
      <c r="T127" s="242"/>
      <c r="U127" s="251"/>
      <c r="V127" s="251"/>
      <c r="W127" s="251"/>
      <c r="X127" s="338"/>
      <c r="Y127" s="338"/>
      <c r="Z127" s="338"/>
      <c r="AA127" s="338"/>
      <c r="AB127" s="338"/>
      <c r="AC127" s="338"/>
      <c r="AD127" s="338"/>
      <c r="AE127" s="338"/>
      <c r="AF127" s="338"/>
      <c r="AG127" s="338"/>
      <c r="AH127" s="338"/>
      <c r="AI127" s="850"/>
      <c r="AJ127" s="338"/>
      <c r="AK127" s="338"/>
      <c r="AL127" s="338"/>
      <c r="AM127" s="338"/>
      <c r="AN127" s="338"/>
      <c r="AO127" s="338"/>
      <c r="AP127" s="338"/>
      <c r="AQ127" s="338"/>
      <c r="AR127" s="338"/>
      <c r="AS127" s="338"/>
      <c r="AT127" s="338"/>
      <c r="AU127" s="130"/>
      <c r="AV127" s="58"/>
      <c r="AW127" s="58"/>
      <c r="AX127" s="58"/>
      <c r="AY127" s="58"/>
      <c r="AZ127" s="58"/>
      <c r="BA127" s="58"/>
      <c r="BB127" s="264"/>
      <c r="BC127" s="338"/>
      <c r="BD127" s="130"/>
      <c r="BE127" s="264"/>
      <c r="BF127" s="779"/>
      <c r="BG127" s="779"/>
      <c r="BH127" s="779"/>
      <c r="BI127" s="783"/>
      <c r="BJ127" s="783"/>
      <c r="BK127" s="784"/>
      <c r="BL127" s="783"/>
      <c r="BM127" s="783"/>
      <c r="BN127" s="783"/>
      <c r="BO127" s="766"/>
      <c r="BP127" s="783"/>
      <c r="BQ127" s="783"/>
      <c r="BR127" s="783"/>
      <c r="BS127" s="783"/>
    </row>
    <row r="128" spans="1:71" x14ac:dyDescent="0.25">
      <c r="A128" s="45" t="s">
        <v>25</v>
      </c>
      <c r="B128" s="542"/>
      <c r="C128" s="513"/>
      <c r="D128" s="513"/>
      <c r="E128" s="513"/>
      <c r="F128" s="513"/>
      <c r="G128" s="543"/>
      <c r="H128" s="513"/>
      <c r="I128" s="543"/>
      <c r="J128" s="513"/>
      <c r="K128" s="544"/>
      <c r="L128" s="543"/>
      <c r="M128" s="543"/>
      <c r="N128" s="543"/>
      <c r="O128" s="543"/>
      <c r="P128" s="513"/>
      <c r="Q128" s="543"/>
      <c r="R128" s="513"/>
      <c r="S128" s="543"/>
      <c r="T128" s="545"/>
      <c r="U128" s="545"/>
      <c r="V128" s="545"/>
      <c r="W128" s="545"/>
      <c r="X128" s="545"/>
      <c r="Y128" s="545"/>
      <c r="Z128" s="545"/>
      <c r="AA128" s="545"/>
      <c r="AB128" s="545"/>
      <c r="AC128" s="545"/>
      <c r="AD128" s="545"/>
      <c r="AE128" s="545"/>
      <c r="AF128" s="545"/>
      <c r="AG128" s="545"/>
      <c r="AH128" s="545"/>
      <c r="AI128" s="851"/>
      <c r="AJ128" s="545"/>
      <c r="AK128" s="545"/>
      <c r="AL128" s="545"/>
      <c r="AM128" s="545"/>
      <c r="AN128" s="545"/>
      <c r="AO128" s="545"/>
      <c r="AP128" s="545"/>
      <c r="AQ128" s="545"/>
      <c r="AR128" s="545"/>
      <c r="AS128" s="545"/>
      <c r="AT128" s="545"/>
      <c r="AU128" s="544"/>
      <c r="AV128" s="543"/>
      <c r="AW128" s="543"/>
      <c r="AX128" s="513"/>
      <c r="AY128" s="543"/>
      <c r="AZ128" s="513"/>
      <c r="BA128" s="543"/>
      <c r="BB128" s="545"/>
      <c r="BC128" s="776"/>
      <c r="BD128" s="500"/>
      <c r="BE128" s="500"/>
      <c r="BF128" s="779"/>
      <c r="BG128" s="779"/>
      <c r="BH128" s="779"/>
      <c r="BI128" s="783"/>
      <c r="BJ128" s="783"/>
      <c r="BK128" s="784"/>
      <c r="BL128" s="783"/>
      <c r="BM128" s="783"/>
      <c r="BN128" s="783"/>
      <c r="BO128" s="766"/>
      <c r="BP128" s="783"/>
      <c r="BQ128" s="783"/>
      <c r="BR128" s="783"/>
      <c r="BS128" s="783"/>
    </row>
    <row r="129" spans="1:83" x14ac:dyDescent="0.25">
      <c r="A129" s="35" t="s">
        <v>36</v>
      </c>
      <c r="B129" s="546"/>
      <c r="C129" s="547"/>
      <c r="D129" s="547"/>
      <c r="E129" s="547"/>
      <c r="F129" s="547"/>
      <c r="G129" s="548"/>
      <c r="H129" s="547"/>
      <c r="I129" s="548"/>
      <c r="J129" s="547"/>
      <c r="K129" s="549"/>
      <c r="L129" s="548"/>
      <c r="M129" s="548"/>
      <c r="N129" s="548"/>
      <c r="O129" s="548"/>
      <c r="P129" s="547"/>
      <c r="Q129" s="548"/>
      <c r="R129" s="547"/>
      <c r="S129" s="548"/>
      <c r="T129" s="775"/>
      <c r="U129" s="775"/>
      <c r="V129" s="775"/>
      <c r="W129" s="775"/>
      <c r="X129" s="512"/>
      <c r="Y129" s="512"/>
      <c r="Z129" s="512"/>
      <c r="AA129" s="512"/>
      <c r="AB129" s="512"/>
      <c r="AC129" s="512"/>
      <c r="AD129" s="512"/>
      <c r="AE129" s="512"/>
      <c r="AF129" s="512"/>
      <c r="AG129" s="512"/>
      <c r="AH129" s="512"/>
      <c r="AI129" s="852"/>
      <c r="AJ129" s="512"/>
      <c r="AK129" s="512"/>
      <c r="AL129" s="512"/>
      <c r="AM129" s="512"/>
      <c r="AN129" s="512"/>
      <c r="AO129" s="512"/>
      <c r="AP129" s="512"/>
      <c r="AQ129" s="512"/>
      <c r="AR129" s="512"/>
      <c r="AS129" s="512"/>
      <c r="AT129" s="512"/>
      <c r="AU129" s="549"/>
      <c r="AV129" s="855"/>
      <c r="AW129" s="548"/>
      <c r="AX129" s="548"/>
      <c r="AY129" s="548"/>
      <c r="AZ129" s="548"/>
      <c r="BA129" s="548"/>
      <c r="BB129" s="775"/>
      <c r="BC129" s="775"/>
      <c r="BD129" s="548"/>
      <c r="BE129" s="775"/>
      <c r="BF129" s="779"/>
      <c r="BG129" s="779"/>
      <c r="BH129" s="779"/>
      <c r="BI129" s="783"/>
      <c r="BJ129" s="783"/>
      <c r="BK129" s="784"/>
      <c r="BL129" s="783"/>
      <c r="BM129" s="783"/>
      <c r="BN129" s="783"/>
      <c r="BO129" s="766"/>
      <c r="BP129" s="783"/>
      <c r="BQ129" s="783"/>
      <c r="BR129" s="783"/>
      <c r="BS129" s="783"/>
    </row>
    <row r="130" spans="1:83" x14ac:dyDescent="0.25">
      <c r="A130" s="35" t="s">
        <v>37</v>
      </c>
      <c r="B130" s="546"/>
      <c r="C130" s="547"/>
      <c r="D130" s="547"/>
      <c r="E130" s="547"/>
      <c r="F130" s="547"/>
      <c r="G130" s="548"/>
      <c r="H130" s="547"/>
      <c r="I130" s="548"/>
      <c r="J130" s="547"/>
      <c r="K130" s="512"/>
      <c r="L130" s="548"/>
      <c r="M130" s="548"/>
      <c r="N130" s="548"/>
      <c r="O130" s="548"/>
      <c r="P130" s="547"/>
      <c r="Q130" s="548"/>
      <c r="R130" s="547"/>
      <c r="S130" s="548"/>
      <c r="T130" s="775"/>
      <c r="U130" s="775"/>
      <c r="V130" s="775"/>
      <c r="W130" s="775"/>
      <c r="X130" s="512"/>
      <c r="Y130" s="512"/>
      <c r="Z130" s="512"/>
      <c r="AA130" s="512"/>
      <c r="AB130" s="512"/>
      <c r="AC130" s="512"/>
      <c r="AD130" s="512"/>
      <c r="AE130" s="512"/>
      <c r="AF130" s="512"/>
      <c r="AG130" s="512"/>
      <c r="AH130" s="512"/>
      <c r="AI130" s="852"/>
      <c r="AJ130" s="512"/>
      <c r="AK130" s="512"/>
      <c r="AL130" s="512"/>
      <c r="AM130" s="512"/>
      <c r="AN130" s="512"/>
      <c r="AO130" s="512"/>
      <c r="AP130" s="512"/>
      <c r="AQ130" s="512"/>
      <c r="AR130" s="512"/>
      <c r="AS130" s="512"/>
      <c r="AT130" s="512"/>
      <c r="AU130" s="549"/>
      <c r="AV130" s="855"/>
      <c r="AW130" s="548"/>
      <c r="AX130" s="548"/>
      <c r="AY130" s="548"/>
      <c r="AZ130" s="548"/>
      <c r="BA130" s="548"/>
      <c r="BB130" s="775"/>
      <c r="BC130" s="775"/>
      <c r="BD130" s="548"/>
      <c r="BE130" s="775"/>
      <c r="BF130" s="779"/>
      <c r="BG130" s="779"/>
      <c r="BH130" s="779"/>
      <c r="BI130" s="783"/>
      <c r="BJ130" s="783"/>
      <c r="BK130" s="784"/>
      <c r="BL130" s="783"/>
      <c r="BM130" s="783"/>
      <c r="BN130" s="783"/>
      <c r="BO130" s="766"/>
      <c r="BP130" s="783"/>
      <c r="BQ130" s="783"/>
      <c r="BR130" s="783"/>
      <c r="BS130" s="783"/>
    </row>
    <row r="131" spans="1:83" x14ac:dyDescent="0.25">
      <c r="A131" s="35" t="s">
        <v>38</v>
      </c>
      <c r="B131" s="546"/>
      <c r="C131" s="547"/>
      <c r="D131" s="547"/>
      <c r="E131" s="547"/>
      <c r="F131" s="547"/>
      <c r="G131" s="548"/>
      <c r="H131" s="547"/>
      <c r="I131" s="548"/>
      <c r="J131" s="547"/>
      <c r="K131" s="512"/>
      <c r="L131" s="517"/>
      <c r="M131" s="517"/>
      <c r="N131" s="517"/>
      <c r="O131" s="517"/>
      <c r="P131" s="517"/>
      <c r="Q131" s="517"/>
      <c r="R131" s="517"/>
      <c r="S131" s="517"/>
      <c r="T131" s="635"/>
      <c r="U131" s="775"/>
      <c r="V131" s="775"/>
      <c r="W131" s="775"/>
      <c r="X131" s="512"/>
      <c r="Y131" s="512"/>
      <c r="Z131" s="512"/>
      <c r="AA131" s="512"/>
      <c r="AB131" s="512"/>
      <c r="AC131" s="512"/>
      <c r="AD131" s="512"/>
      <c r="AE131" s="512"/>
      <c r="AF131" s="512"/>
      <c r="AG131" s="512"/>
      <c r="AH131" s="512"/>
      <c r="AI131" s="852"/>
      <c r="AJ131" s="512"/>
      <c r="AK131" s="512"/>
      <c r="AL131" s="512"/>
      <c r="AM131" s="512"/>
      <c r="AN131" s="512"/>
      <c r="AO131" s="512"/>
      <c r="AP131" s="512"/>
      <c r="AQ131" s="512"/>
      <c r="AR131" s="512"/>
      <c r="AS131" s="512"/>
      <c r="AT131" s="512"/>
      <c r="AU131" s="549"/>
      <c r="AV131" s="775"/>
      <c r="AW131" s="548"/>
      <c r="AX131" s="548"/>
      <c r="AY131" s="548"/>
      <c r="AZ131" s="548"/>
      <c r="BA131" s="548"/>
      <c r="BB131" s="700"/>
      <c r="BC131" s="775"/>
      <c r="BD131" s="548"/>
      <c r="BE131" s="775"/>
      <c r="BF131" s="779"/>
      <c r="BG131" s="779"/>
      <c r="BH131" s="779"/>
      <c r="BI131" s="783"/>
      <c r="BJ131" s="783"/>
      <c r="BK131" s="784"/>
      <c r="BL131" s="783"/>
      <c r="BM131" s="783"/>
      <c r="BN131" s="783"/>
      <c r="BO131" s="766"/>
      <c r="BP131" s="783"/>
      <c r="BQ131" s="783"/>
      <c r="BR131" s="783"/>
      <c r="BS131" s="783"/>
    </row>
    <row r="132" spans="1:83" x14ac:dyDescent="0.25">
      <c r="A132" s="35" t="s">
        <v>39</v>
      </c>
      <c r="B132" s="546"/>
      <c r="C132" s="547"/>
      <c r="D132" s="547"/>
      <c r="E132" s="547"/>
      <c r="F132" s="547"/>
      <c r="G132" s="548"/>
      <c r="H132" s="547"/>
      <c r="I132" s="548"/>
      <c r="J132" s="547"/>
      <c r="K132" s="512"/>
      <c r="L132" s="517"/>
      <c r="M132" s="517"/>
      <c r="N132" s="517"/>
      <c r="O132" s="517"/>
      <c r="P132" s="517"/>
      <c r="Q132" s="517"/>
      <c r="R132" s="517"/>
      <c r="S132" s="517"/>
      <c r="T132" s="635"/>
      <c r="U132" s="775"/>
      <c r="V132" s="775"/>
      <c r="W132" s="775"/>
      <c r="X132" s="512"/>
      <c r="Y132" s="512"/>
      <c r="Z132" s="512"/>
      <c r="AA132" s="512"/>
      <c r="AB132" s="512"/>
      <c r="AC132" s="512"/>
      <c r="AD132" s="512"/>
      <c r="AE132" s="512"/>
      <c r="AF132" s="512"/>
      <c r="AG132" s="512"/>
      <c r="AH132" s="512"/>
      <c r="AI132" s="852"/>
      <c r="AJ132" s="512"/>
      <c r="AK132" s="512"/>
      <c r="AL132" s="512"/>
      <c r="AM132" s="512"/>
      <c r="AN132" s="512"/>
      <c r="AO132" s="512"/>
      <c r="AP132" s="512"/>
      <c r="AQ132" s="512"/>
      <c r="AR132" s="512"/>
      <c r="AS132" s="512"/>
      <c r="AT132" s="512"/>
      <c r="AU132" s="549"/>
      <c r="AV132" s="775"/>
      <c r="AW132" s="548"/>
      <c r="AX132" s="548"/>
      <c r="AY132" s="548"/>
      <c r="AZ132" s="548"/>
      <c r="BA132" s="548"/>
      <c r="BB132" s="700"/>
      <c r="BC132" s="775"/>
      <c r="BD132" s="548"/>
      <c r="BE132" s="775"/>
      <c r="BF132" s="779"/>
      <c r="BG132" s="779"/>
      <c r="BH132" s="779"/>
      <c r="BI132" s="783"/>
      <c r="BJ132" s="783"/>
      <c r="BK132" s="784"/>
      <c r="BL132" s="783"/>
      <c r="BM132" s="783"/>
      <c r="BN132" s="783"/>
      <c r="BO132" s="766"/>
      <c r="BP132" s="783"/>
      <c r="BQ132" s="783"/>
      <c r="BR132" s="783"/>
      <c r="BS132" s="783"/>
    </row>
    <row r="133" spans="1:83" x14ac:dyDescent="0.25">
      <c r="A133" s="35" t="s">
        <v>40</v>
      </c>
      <c r="B133" s="546"/>
      <c r="C133" s="547"/>
      <c r="D133" s="547"/>
      <c r="E133" s="547"/>
      <c r="F133" s="547"/>
      <c r="G133" s="548"/>
      <c r="H133" s="547"/>
      <c r="I133" s="548"/>
      <c r="J133" s="547"/>
      <c r="K133" s="512"/>
      <c r="L133" s="517"/>
      <c r="M133" s="517"/>
      <c r="N133" s="517"/>
      <c r="O133" s="517"/>
      <c r="P133" s="517"/>
      <c r="Q133" s="517"/>
      <c r="R133" s="517"/>
      <c r="S133" s="517"/>
      <c r="T133" s="635"/>
      <c r="U133" s="775"/>
      <c r="V133" s="775"/>
      <c r="W133" s="775"/>
      <c r="X133" s="512"/>
      <c r="Y133" s="512"/>
      <c r="Z133" s="512"/>
      <c r="AA133" s="512"/>
      <c r="AB133" s="512"/>
      <c r="AC133" s="512"/>
      <c r="AD133" s="512"/>
      <c r="AE133" s="512"/>
      <c r="AF133" s="512"/>
      <c r="AG133" s="512"/>
      <c r="AH133" s="512"/>
      <c r="AI133" s="852"/>
      <c r="AJ133" s="512"/>
      <c r="AK133" s="512"/>
      <c r="AL133" s="512"/>
      <c r="AM133" s="512"/>
      <c r="AN133" s="512"/>
      <c r="AO133" s="512"/>
      <c r="AP133" s="512"/>
      <c r="AQ133" s="512"/>
      <c r="AR133" s="512"/>
      <c r="AS133" s="512"/>
      <c r="AT133" s="512"/>
      <c r="AU133" s="549"/>
      <c r="AV133" s="775"/>
      <c r="AW133" s="548"/>
      <c r="AX133" s="548"/>
      <c r="AY133" s="548"/>
      <c r="AZ133" s="548"/>
      <c r="BA133" s="548"/>
      <c r="BB133" s="700"/>
      <c r="BC133" s="775"/>
      <c r="BD133" s="548"/>
      <c r="BE133" s="548"/>
      <c r="BK133" s="2"/>
    </row>
    <row r="134" spans="1:83" x14ac:dyDescent="0.25">
      <c r="A134" s="35" t="s">
        <v>41</v>
      </c>
      <c r="B134" s="551"/>
      <c r="C134" s="548"/>
      <c r="D134" s="548"/>
      <c r="E134" s="548"/>
      <c r="F134" s="548"/>
      <c r="G134" s="548"/>
      <c r="H134" s="548"/>
      <c r="I134" s="548"/>
      <c r="J134" s="548"/>
      <c r="K134" s="512"/>
      <c r="L134" s="517"/>
      <c r="M134" s="517"/>
      <c r="N134" s="517"/>
      <c r="O134" s="517"/>
      <c r="P134" s="517"/>
      <c r="Q134" s="517"/>
      <c r="R134" s="517"/>
      <c r="S134" s="517"/>
      <c r="T134" s="635"/>
      <c r="U134" s="825"/>
      <c r="V134" s="825"/>
      <c r="W134" s="825"/>
      <c r="X134" s="775"/>
      <c r="Y134" s="775"/>
      <c r="Z134" s="775"/>
      <c r="AA134" s="775"/>
      <c r="AB134" s="775"/>
      <c r="AC134" s="775"/>
      <c r="AD134" s="775"/>
      <c r="AE134" s="775"/>
      <c r="AF134" s="775"/>
      <c r="AG134" s="775"/>
      <c r="AH134" s="775"/>
      <c r="AI134" s="852"/>
      <c r="AJ134" s="775"/>
      <c r="AK134" s="775"/>
      <c r="AL134" s="775"/>
      <c r="AM134" s="775"/>
      <c r="AN134" s="775"/>
      <c r="AO134" s="775"/>
      <c r="AP134" s="775"/>
      <c r="AQ134" s="775"/>
      <c r="AR134" s="775"/>
      <c r="AS134" s="775"/>
      <c r="AT134" s="775"/>
      <c r="AU134" s="549"/>
      <c r="AV134" s="775"/>
      <c r="AW134" s="548"/>
      <c r="AX134" s="548"/>
      <c r="AY134" s="548"/>
      <c r="AZ134" s="548"/>
      <c r="BA134" s="548"/>
      <c r="BB134" s="700"/>
      <c r="BC134" s="775"/>
      <c r="BD134" s="549"/>
      <c r="BE134" s="552"/>
      <c r="BK134" s="2"/>
    </row>
    <row r="135" spans="1:83" x14ac:dyDescent="0.25">
      <c r="A135" s="553" t="s">
        <v>24</v>
      </c>
      <c r="B135" s="554"/>
      <c r="C135" s="541"/>
      <c r="D135" s="541"/>
      <c r="E135" s="541"/>
      <c r="F135" s="541"/>
      <c r="G135" s="554"/>
      <c r="H135" s="541"/>
      <c r="I135" s="554"/>
      <c r="J135" s="541"/>
      <c r="K135" s="500"/>
      <c r="L135" s="555"/>
      <c r="M135" s="555"/>
      <c r="N135" s="555"/>
      <c r="O135" s="555"/>
      <c r="P135" s="555"/>
      <c r="Q135" s="555"/>
      <c r="R135" s="555"/>
      <c r="S135" s="555"/>
      <c r="T135" s="822"/>
      <c r="U135" s="776"/>
      <c r="V135" s="776"/>
      <c r="W135" s="776"/>
      <c r="X135" s="500"/>
      <c r="Y135" s="500"/>
      <c r="Z135" s="500"/>
      <c r="AA135" s="500"/>
      <c r="AB135" s="500"/>
      <c r="AC135" s="500"/>
      <c r="AD135" s="500"/>
      <c r="AE135" s="500"/>
      <c r="AF135" s="500"/>
      <c r="AG135" s="500"/>
      <c r="AH135" s="500"/>
      <c r="AI135" s="839"/>
      <c r="AJ135" s="500"/>
      <c r="AK135" s="500"/>
      <c r="AL135" s="500"/>
      <c r="AM135" s="500"/>
      <c r="AN135" s="500"/>
      <c r="AO135" s="500"/>
      <c r="AP135" s="500"/>
      <c r="AQ135" s="500"/>
      <c r="AR135" s="500"/>
      <c r="AS135" s="500"/>
      <c r="AT135" s="500"/>
      <c r="AU135" s="716"/>
      <c r="AV135" s="554"/>
      <c r="AW135" s="554"/>
      <c r="AX135" s="541"/>
      <c r="AY135" s="554"/>
      <c r="AZ135" s="541"/>
      <c r="BA135" s="554"/>
      <c r="BB135" s="688"/>
      <c r="BC135" s="776"/>
      <c r="BD135" s="500"/>
      <c r="BE135" s="500"/>
      <c r="BK135" s="2"/>
    </row>
    <row r="136" spans="1:83" x14ac:dyDescent="0.25">
      <c r="A136" s="35" t="s">
        <v>36</v>
      </c>
      <c r="B136" s="558"/>
      <c r="C136" s="559"/>
      <c r="D136" s="559"/>
      <c r="E136" s="559"/>
      <c r="F136" s="559"/>
      <c r="G136" s="560"/>
      <c r="H136" s="559"/>
      <c r="I136" s="560"/>
      <c r="J136" s="559"/>
      <c r="K136" s="561"/>
      <c r="L136" s="562"/>
      <c r="M136" s="562"/>
      <c r="N136" s="562"/>
      <c r="O136" s="562"/>
      <c r="P136" s="562"/>
      <c r="Q136" s="562"/>
      <c r="R136" s="562"/>
      <c r="S136" s="562"/>
      <c r="T136" s="823"/>
      <c r="U136" s="823"/>
      <c r="V136" s="826"/>
      <c r="W136" s="826"/>
      <c r="X136" s="776"/>
      <c r="Y136" s="776"/>
      <c r="Z136" s="776"/>
      <c r="AA136" s="776"/>
      <c r="AB136" s="776"/>
      <c r="AC136" s="776"/>
      <c r="AD136" s="776"/>
      <c r="AE136" s="776"/>
      <c r="AF136" s="776"/>
      <c r="AG136" s="776"/>
      <c r="AH136" s="776"/>
      <c r="AI136" s="839"/>
      <c r="AJ136" s="776"/>
      <c r="AK136" s="776"/>
      <c r="AL136" s="776"/>
      <c r="AM136" s="776"/>
      <c r="AN136" s="776"/>
      <c r="AO136" s="776"/>
      <c r="AP136" s="776"/>
      <c r="AQ136" s="776"/>
      <c r="AR136" s="776"/>
      <c r="AS136" s="776"/>
      <c r="AT136" s="776"/>
      <c r="AU136" s="716"/>
      <c r="AV136" s="823"/>
      <c r="AW136" s="560"/>
      <c r="AX136" s="560"/>
      <c r="AY136" s="560"/>
      <c r="AZ136" s="560"/>
      <c r="BA136" s="560"/>
      <c r="BB136" s="706"/>
      <c r="BC136" s="823"/>
      <c r="BD136" s="827"/>
      <c r="BE136" s="564"/>
      <c r="BK136" s="2"/>
    </row>
    <row r="137" spans="1:83" x14ac:dyDescent="0.25">
      <c r="A137" s="35" t="s">
        <v>37</v>
      </c>
      <c r="B137" s="558"/>
      <c r="C137" s="559"/>
      <c r="D137" s="559"/>
      <c r="E137" s="559"/>
      <c r="F137" s="559"/>
      <c r="G137" s="560"/>
      <c r="H137" s="559"/>
      <c r="I137" s="560"/>
      <c r="J137" s="559"/>
      <c r="K137" s="561"/>
      <c r="L137" s="562"/>
      <c r="M137" s="562"/>
      <c r="N137" s="562"/>
      <c r="O137" s="562"/>
      <c r="P137" s="562"/>
      <c r="Q137" s="562"/>
      <c r="R137" s="562"/>
      <c r="S137" s="562"/>
      <c r="T137" s="823"/>
      <c r="U137" s="823"/>
      <c r="V137" s="826"/>
      <c r="W137" s="826"/>
      <c r="X137" s="776"/>
      <c r="Y137" s="776"/>
      <c r="Z137" s="776"/>
      <c r="AA137" s="776"/>
      <c r="AB137" s="776"/>
      <c r="AC137" s="776"/>
      <c r="AD137" s="776"/>
      <c r="AE137" s="776"/>
      <c r="AF137" s="776"/>
      <c r="AG137" s="776"/>
      <c r="AH137" s="776"/>
      <c r="AI137" s="839"/>
      <c r="AJ137" s="776"/>
      <c r="AK137" s="776"/>
      <c r="AL137" s="776"/>
      <c r="AM137" s="776"/>
      <c r="AN137" s="776"/>
      <c r="AO137" s="776"/>
      <c r="AP137" s="776"/>
      <c r="AQ137" s="776"/>
      <c r="AR137" s="776"/>
      <c r="AS137" s="776"/>
      <c r="AT137" s="776"/>
      <c r="AU137" s="716"/>
      <c r="AV137" s="823"/>
      <c r="AW137" s="560"/>
      <c r="AX137" s="560"/>
      <c r="AY137" s="560"/>
      <c r="AZ137" s="560"/>
      <c r="BA137" s="560"/>
      <c r="BB137" s="706"/>
      <c r="BC137" s="823"/>
      <c r="BD137" s="827"/>
      <c r="BE137" s="564"/>
    </row>
    <row r="138" spans="1:83" x14ac:dyDescent="0.25">
      <c r="A138" s="35" t="s">
        <v>38</v>
      </c>
      <c r="B138" s="558"/>
      <c r="C138" s="559"/>
      <c r="D138" s="559"/>
      <c r="E138" s="559"/>
      <c r="F138" s="559"/>
      <c r="G138" s="560"/>
      <c r="H138" s="559"/>
      <c r="I138" s="560"/>
      <c r="J138" s="559"/>
      <c r="K138" s="561"/>
      <c r="L138" s="562"/>
      <c r="M138" s="562"/>
      <c r="N138" s="562"/>
      <c r="O138" s="562"/>
      <c r="P138" s="562"/>
      <c r="Q138" s="562"/>
      <c r="R138" s="562"/>
      <c r="S138" s="562"/>
      <c r="T138" s="823"/>
      <c r="U138" s="823"/>
      <c r="V138" s="826"/>
      <c r="W138" s="826"/>
      <c r="X138" s="776"/>
      <c r="Y138" s="776"/>
      <c r="Z138" s="776"/>
      <c r="AA138" s="776"/>
      <c r="AB138" s="776"/>
      <c r="AC138" s="776"/>
      <c r="AD138" s="776"/>
      <c r="AE138" s="776"/>
      <c r="AF138" s="776"/>
      <c r="AG138" s="776"/>
      <c r="AH138" s="776"/>
      <c r="AI138" s="839"/>
      <c r="AJ138" s="776"/>
      <c r="AK138" s="776"/>
      <c r="AL138" s="776"/>
      <c r="AM138" s="776"/>
      <c r="AN138" s="776"/>
      <c r="AO138" s="776"/>
      <c r="AP138" s="776"/>
      <c r="AQ138" s="776"/>
      <c r="AR138" s="776"/>
      <c r="AS138" s="776"/>
      <c r="AT138" s="776"/>
      <c r="AU138" s="716"/>
      <c r="AV138" s="823"/>
      <c r="AW138" s="560"/>
      <c r="AX138" s="560"/>
      <c r="AY138" s="560"/>
      <c r="AZ138" s="560"/>
      <c r="BA138" s="560"/>
      <c r="BB138" s="706"/>
      <c r="BC138" s="823"/>
      <c r="BD138" s="827"/>
      <c r="BE138" s="564"/>
    </row>
    <row r="139" spans="1:83" x14ac:dyDescent="0.25">
      <c r="A139" s="35" t="s">
        <v>39</v>
      </c>
      <c r="B139" s="558"/>
      <c r="C139" s="559"/>
      <c r="D139" s="559"/>
      <c r="E139" s="559"/>
      <c r="F139" s="559"/>
      <c r="G139" s="560"/>
      <c r="H139" s="559"/>
      <c r="I139" s="560"/>
      <c r="J139" s="559"/>
      <c r="K139" s="561"/>
      <c r="L139" s="565"/>
      <c r="M139" s="565"/>
      <c r="N139" s="565"/>
      <c r="O139" s="565"/>
      <c r="P139" s="562"/>
      <c r="Q139" s="562"/>
      <c r="R139" s="562"/>
      <c r="S139" s="562"/>
      <c r="T139" s="823"/>
      <c r="U139" s="823"/>
      <c r="V139" s="826"/>
      <c r="W139" s="826"/>
      <c r="X139" s="776"/>
      <c r="Y139" s="776"/>
      <c r="Z139" s="776"/>
      <c r="AA139" s="776"/>
      <c r="AB139" s="776"/>
      <c r="AC139" s="776"/>
      <c r="AD139" s="776"/>
      <c r="AE139" s="776"/>
      <c r="AF139" s="776"/>
      <c r="AG139" s="776"/>
      <c r="AH139" s="776"/>
      <c r="AI139" s="839"/>
      <c r="AJ139" s="776"/>
      <c r="AK139" s="776"/>
      <c r="AL139" s="776"/>
      <c r="AM139" s="776"/>
      <c r="AN139" s="776"/>
      <c r="AO139" s="776"/>
      <c r="AP139" s="776"/>
      <c r="AQ139" s="776"/>
      <c r="AR139" s="776"/>
      <c r="AS139" s="776"/>
      <c r="AT139" s="776"/>
      <c r="AU139" s="716"/>
      <c r="AV139" s="823"/>
      <c r="AW139" s="560"/>
      <c r="AX139" s="560"/>
      <c r="AY139" s="560"/>
      <c r="AZ139" s="560"/>
      <c r="BA139" s="560"/>
      <c r="BB139" s="706"/>
      <c r="BC139" s="823"/>
      <c r="BD139" s="827"/>
      <c r="BE139" s="564"/>
    </row>
    <row r="140" spans="1:83" x14ac:dyDescent="0.25">
      <c r="A140" s="35" t="s">
        <v>40</v>
      </c>
      <c r="B140" s="558"/>
      <c r="C140" s="559"/>
      <c r="D140" s="559"/>
      <c r="E140" s="559"/>
      <c r="F140" s="559"/>
      <c r="G140" s="560"/>
      <c r="H140" s="559"/>
      <c r="I140" s="560"/>
      <c r="J140" s="559"/>
      <c r="K140" s="561"/>
      <c r="L140" s="566"/>
      <c r="M140" s="567"/>
      <c r="N140" s="567"/>
      <c r="O140" s="567"/>
      <c r="P140" s="565"/>
      <c r="Q140" s="565"/>
      <c r="R140" s="565"/>
      <c r="S140" s="565"/>
      <c r="T140" s="823"/>
      <c r="U140" s="823"/>
      <c r="V140" s="823"/>
      <c r="W140" s="823"/>
      <c r="X140" s="561"/>
      <c r="Y140" s="561"/>
      <c r="Z140" s="561"/>
      <c r="AA140" s="561"/>
      <c r="AB140" s="561"/>
      <c r="AC140" s="561"/>
      <c r="AD140" s="561"/>
      <c r="AE140" s="561"/>
      <c r="AF140" s="561"/>
      <c r="AG140" s="561"/>
      <c r="AH140" s="561"/>
      <c r="AI140" s="853"/>
      <c r="AJ140" s="561"/>
      <c r="AK140" s="561"/>
      <c r="AL140" s="561"/>
      <c r="AM140" s="561"/>
      <c r="AN140" s="561"/>
      <c r="AO140" s="561"/>
      <c r="AP140" s="561"/>
      <c r="AQ140" s="561"/>
      <c r="AR140" s="561"/>
      <c r="AS140" s="561"/>
      <c r="AT140" s="561"/>
      <c r="AU140" s="827"/>
      <c r="AV140" s="823"/>
      <c r="AW140" s="560"/>
      <c r="AX140" s="560"/>
      <c r="AY140" s="560"/>
      <c r="AZ140" s="560"/>
      <c r="BA140" s="560"/>
      <c r="BB140" s="706"/>
      <c r="BC140" s="823"/>
      <c r="BD140" s="827"/>
      <c r="BE140" s="564"/>
    </row>
    <row r="141" spans="1:83" ht="15.75" thickBot="1" x14ac:dyDescent="0.3">
      <c r="A141" s="36" t="s">
        <v>41</v>
      </c>
      <c r="B141" s="568"/>
      <c r="C141" s="569"/>
      <c r="D141" s="569"/>
      <c r="E141" s="569"/>
      <c r="F141" s="569"/>
      <c r="G141" s="569"/>
      <c r="H141" s="569"/>
      <c r="I141" s="569"/>
      <c r="J141" s="569"/>
      <c r="K141" s="570"/>
      <c r="L141" s="569"/>
      <c r="M141" s="571"/>
      <c r="N141" s="569"/>
      <c r="O141" s="569"/>
      <c r="P141" s="569"/>
      <c r="Q141" s="569"/>
      <c r="R141" s="569"/>
      <c r="S141" s="569"/>
      <c r="T141" s="824"/>
      <c r="U141" s="735"/>
      <c r="V141" s="735"/>
      <c r="W141" s="735"/>
      <c r="X141" s="735"/>
      <c r="Y141" s="735"/>
      <c r="Z141" s="735"/>
      <c r="AA141" s="735"/>
      <c r="AB141" s="735"/>
      <c r="AC141" s="735"/>
      <c r="AD141" s="735"/>
      <c r="AE141" s="735"/>
      <c r="AF141" s="735"/>
      <c r="AG141" s="735"/>
      <c r="AH141" s="735"/>
      <c r="AI141" s="854"/>
      <c r="AJ141" s="735"/>
      <c r="AK141" s="735"/>
      <c r="AL141" s="735"/>
      <c r="AM141" s="735"/>
      <c r="AN141" s="735"/>
      <c r="AO141" s="735"/>
      <c r="AP141" s="735"/>
      <c r="AQ141" s="735"/>
      <c r="AR141" s="735"/>
      <c r="AS141" s="735"/>
      <c r="AT141" s="735"/>
      <c r="AU141" s="570"/>
      <c r="AV141" s="569"/>
      <c r="AW141" s="569"/>
      <c r="AX141" s="569"/>
      <c r="AY141" s="569"/>
      <c r="AZ141" s="569"/>
      <c r="BA141" s="569"/>
      <c r="BB141" s="824"/>
      <c r="BC141" s="735"/>
      <c r="BD141" s="570"/>
      <c r="BE141" s="572"/>
    </row>
    <row r="142" spans="1:83" ht="15.75" thickTop="1" x14ac:dyDescent="0.25"/>
    <row r="143" spans="1:83" x14ac:dyDescent="0.25">
      <c r="A143" s="1" t="s">
        <v>27</v>
      </c>
    </row>
    <row r="144" spans="1:83" ht="191.25" customHeight="1" x14ac:dyDescent="0.25">
      <c r="A144" s="573" t="s">
        <v>51</v>
      </c>
      <c r="B144" s="493" t="s">
        <v>53</v>
      </c>
      <c r="C144" s="493"/>
      <c r="D144" s="493"/>
      <c r="E144" s="493"/>
      <c r="F144" s="493"/>
      <c r="G144" s="493"/>
      <c r="H144" s="493"/>
      <c r="I144" s="493"/>
      <c r="J144" s="493"/>
      <c r="K144" s="493"/>
      <c r="M144" s="574" t="s">
        <v>52</v>
      </c>
      <c r="N144" s="574"/>
      <c r="O144" s="574"/>
      <c r="P144" s="574"/>
      <c r="Q144" s="574"/>
      <c r="R144" s="575"/>
      <c r="S144" s="576" t="s">
        <v>54</v>
      </c>
      <c r="T144" s="576"/>
      <c r="U144" s="576"/>
      <c r="V144" s="576"/>
      <c r="W144" s="576"/>
      <c r="X144" s="765"/>
      <c r="Y144" s="765"/>
      <c r="Z144" s="765"/>
      <c r="AA144" s="765"/>
      <c r="AB144" s="765"/>
      <c r="AC144" s="765"/>
      <c r="AD144" s="765"/>
      <c r="AE144" s="765"/>
      <c r="AF144" s="765"/>
      <c r="AG144" s="765"/>
      <c r="AH144" s="765"/>
      <c r="AI144" s="765"/>
      <c r="AJ144" s="811"/>
      <c r="AK144" s="811"/>
      <c r="AL144" s="811"/>
      <c r="AM144" s="811"/>
      <c r="AN144" s="811"/>
      <c r="AO144" s="811"/>
      <c r="AP144" s="811"/>
      <c r="AQ144" s="811"/>
      <c r="AR144" s="811"/>
      <c r="AS144" s="811"/>
      <c r="AT144" s="811"/>
      <c r="AU144" s="811"/>
      <c r="AV144" s="576"/>
      <c r="AW144" s="576"/>
      <c r="AX144" s="576"/>
      <c r="AY144" s="576"/>
      <c r="BA144" s="907" t="s">
        <v>55</v>
      </c>
      <c r="BB144" s="907"/>
      <c r="BC144" s="907"/>
      <c r="BD144" s="907"/>
      <c r="BE144" s="907"/>
      <c r="BF144" s="907"/>
      <c r="BG144" s="907"/>
      <c r="BI144" s="907" t="s">
        <v>56</v>
      </c>
      <c r="BJ144" s="907"/>
      <c r="BK144" s="907"/>
      <c r="BL144" s="907"/>
      <c r="BM144" s="907"/>
      <c r="BN144" s="907"/>
      <c r="BP144" s="907" t="s">
        <v>58</v>
      </c>
      <c r="BQ144" s="907"/>
      <c r="BR144" s="907"/>
      <c r="BS144" s="907"/>
      <c r="BT144" s="907"/>
      <c r="BV144" s="908" t="s">
        <v>59</v>
      </c>
      <c r="BW144" s="908"/>
      <c r="BX144" s="908"/>
      <c r="BY144" s="908"/>
      <c r="BZ144" s="908"/>
      <c r="CA144" s="909" t="s">
        <v>60</v>
      </c>
      <c r="CB144" s="909"/>
      <c r="CC144" s="909"/>
      <c r="CD144" s="909"/>
      <c r="CE144" s="909"/>
    </row>
    <row r="147" spans="1:11" x14ac:dyDescent="0.25">
      <c r="A147" s="577" t="s">
        <v>26</v>
      </c>
    </row>
    <row r="148" spans="1:11" ht="97.5" customHeight="1" x14ac:dyDescent="0.25">
      <c r="A148" s="578"/>
      <c r="B148" s="578"/>
      <c r="C148" s="578"/>
      <c r="D148" s="578"/>
      <c r="E148" s="578"/>
      <c r="F148" s="578"/>
      <c r="G148" s="578"/>
      <c r="H148" s="578"/>
      <c r="I148" s="578"/>
      <c r="J148" s="578"/>
      <c r="K148" s="578"/>
    </row>
    <row r="149" spans="1:11" ht="52.5" customHeight="1" x14ac:dyDescent="0.25">
      <c r="A149" s="578"/>
      <c r="B149" s="578"/>
      <c r="C149" s="578"/>
      <c r="D149" s="578"/>
      <c r="E149" s="578"/>
      <c r="F149" s="578"/>
      <c r="G149" s="578"/>
      <c r="H149" s="578"/>
      <c r="I149" s="578"/>
      <c r="J149" s="578"/>
      <c r="K149" s="578"/>
    </row>
    <row r="150" spans="1:11" ht="37.5" customHeight="1" x14ac:dyDescent="0.25">
      <c r="A150" s="578"/>
      <c r="B150" s="578"/>
      <c r="C150" s="578"/>
      <c r="D150" s="578"/>
      <c r="E150" s="578"/>
      <c r="F150" s="578"/>
      <c r="G150" s="578"/>
      <c r="H150" s="578"/>
      <c r="I150" s="578"/>
      <c r="J150" s="578"/>
      <c r="K150" s="578"/>
    </row>
    <row r="151" spans="1:11" ht="63.75" customHeight="1" x14ac:dyDescent="0.25">
      <c r="A151" s="578"/>
      <c r="B151" s="578"/>
      <c r="C151" s="578"/>
      <c r="D151" s="578"/>
      <c r="E151" s="578"/>
      <c r="F151" s="578"/>
      <c r="G151" s="578"/>
      <c r="H151" s="578"/>
      <c r="I151" s="578"/>
      <c r="J151" s="578"/>
      <c r="K151" s="578"/>
    </row>
  </sheetData>
  <mergeCells count="10">
    <mergeCell ref="B7:K7"/>
    <mergeCell ref="L7:W7"/>
    <mergeCell ref="X7:AI7"/>
    <mergeCell ref="AV7:BE7"/>
    <mergeCell ref="AJ7:AU7"/>
    <mergeCell ref="BA144:BG144"/>
    <mergeCell ref="BI144:BN144"/>
    <mergeCell ref="BP144:BT144"/>
    <mergeCell ref="BV144:BZ144"/>
    <mergeCell ref="CA144:CE144"/>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2.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Monthly</vt:lpstr>
      <vt:lpstr>Weekly</vt:lpstr>
      <vt:lpstr>Blackstone-weekly</vt:lpstr>
      <vt:lpstr>Blackstone-monthly</vt:lpstr>
      <vt:lpstr>'Blackstone-weekly'!Print_Area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Jennifer Hemeon</cp:lastModifiedBy>
  <cp:lastPrinted>2021-04-23T12:05:36Z</cp:lastPrinted>
  <dcterms:created xsi:type="dcterms:W3CDTF">2020-04-08T09:56:20Z</dcterms:created>
  <dcterms:modified xsi:type="dcterms:W3CDTF">2022-09-15T12:37:12Z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