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8_{FF6ABC2E-DB3E-4E13-A010-B89C10A18D35}" xr6:coauthVersionLast="47" xr6:coauthVersionMax="47" xr10:uidLastSave="{00000000-0000-0000-0000-000000000000}"/>
  <bookViews>
    <workbookView xWindow="-20610" yWindow="-120" windowWidth="20730" windowHeight="111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3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217" i="13" l="1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S10" i="15"/>
  <c r="CS13" i="15"/>
  <c r="CS16" i="15"/>
  <c r="CS17" i="15"/>
  <c r="CS18" i="15"/>
  <c r="CS19" i="15"/>
  <c r="CS21" i="15"/>
  <c r="CS24" i="15"/>
  <c r="CS27" i="15"/>
  <c r="CS28" i="15"/>
  <c r="CS29" i="15"/>
  <c r="CS30" i="15"/>
  <c r="CS32" i="15"/>
  <c r="CS35" i="15"/>
  <c r="CS41" i="15" s="1"/>
  <c r="CS38" i="15"/>
  <c r="CS39" i="15"/>
  <c r="CS40" i="15"/>
  <c r="CS43" i="15"/>
  <c r="CS46" i="15"/>
  <c r="CS49" i="15"/>
  <c r="CS50" i="15"/>
  <c r="CS51" i="15"/>
  <c r="CS52" i="15"/>
  <c r="CS54" i="15"/>
  <c r="CS57" i="15"/>
  <c r="CS60" i="15"/>
  <c r="CS61" i="15"/>
  <c r="CS62" i="15"/>
  <c r="CS63" i="15"/>
  <c r="CS65" i="15"/>
  <c r="CS68" i="15"/>
  <c r="CS71" i="15"/>
  <c r="CS72" i="15"/>
  <c r="CS73" i="15"/>
  <c r="CS74" i="15"/>
  <c r="CS76" i="15"/>
  <c r="CS79" i="15"/>
  <c r="CS82" i="15"/>
  <c r="CS83" i="15"/>
  <c r="CS84" i="15"/>
  <c r="CS85" i="15"/>
  <c r="CS87" i="15"/>
  <c r="CS90" i="15"/>
  <c r="CS93" i="15"/>
  <c r="CS94" i="15"/>
  <c r="CS95" i="15"/>
  <c r="CS96" i="15"/>
  <c r="CS98" i="15"/>
  <c r="CS101" i="15"/>
  <c r="CS104" i="15"/>
  <c r="CS105" i="15"/>
  <c r="CS106" i="15"/>
  <c r="CS107" i="15"/>
  <c r="CS109" i="15"/>
  <c r="CS110" i="15"/>
  <c r="CS111" i="15"/>
  <c r="CS112" i="15"/>
  <c r="CS113" i="15"/>
  <c r="CS114" i="15"/>
  <c r="CS116" i="15"/>
  <c r="CS117" i="15"/>
  <c r="CS118" i="15"/>
  <c r="CS119" i="15"/>
  <c r="CS120" i="15"/>
  <c r="CS121" i="15"/>
  <c r="CS123" i="15"/>
  <c r="CS124" i="15"/>
  <c r="CS125" i="15"/>
  <c r="CS126" i="15"/>
  <c r="CS127" i="15"/>
  <c r="CS128" i="15"/>
  <c r="CS130" i="15"/>
  <c r="CS133" i="15"/>
  <c r="CS136" i="15"/>
  <c r="CS137" i="15"/>
  <c r="CS138" i="15"/>
  <c r="CS139" i="15"/>
  <c r="CS141" i="15"/>
  <c r="CS142" i="15"/>
  <c r="CS143" i="15"/>
  <c r="CS144" i="15"/>
  <c r="CS145" i="15"/>
  <c r="CS146" i="15"/>
  <c r="CS148" i="15"/>
  <c r="CS149" i="15"/>
  <c r="CS150" i="15"/>
  <c r="CS151" i="15"/>
  <c r="CS152" i="15"/>
  <c r="CS153" i="15"/>
  <c r="CS155" i="15"/>
  <c r="CS156" i="15"/>
  <c r="CS157" i="15"/>
  <c r="CS158" i="15"/>
  <c r="CS159" i="15"/>
  <c r="CS160" i="15"/>
  <c r="CS162" i="15"/>
  <c r="CS165" i="15"/>
  <c r="CS168" i="15"/>
  <c r="CS169" i="15"/>
  <c r="CS170" i="15"/>
  <c r="CS171" i="15"/>
  <c r="CS173" i="15"/>
  <c r="CS176" i="15"/>
  <c r="CS179" i="15"/>
  <c r="CS180" i="15"/>
  <c r="CS181" i="15"/>
  <c r="CS182" i="15"/>
  <c r="CS195" i="15"/>
  <c r="CS198" i="15"/>
  <c r="CS201" i="15"/>
  <c r="CS202" i="15"/>
  <c r="CS203" i="15"/>
  <c r="CS204" i="15"/>
  <c r="CS206" i="15"/>
  <c r="CS209" i="15"/>
  <c r="CS212" i="15"/>
  <c r="CS213" i="15"/>
  <c r="CS214" i="15"/>
  <c r="CS215" i="15"/>
  <c r="CS217" i="15"/>
  <c r="CS220" i="15"/>
  <c r="CS223" i="15"/>
  <c r="CS224" i="15"/>
  <c r="CS225" i="15"/>
  <c r="CS226" i="15"/>
  <c r="CS10" i="14"/>
  <c r="CS13" i="14"/>
  <c r="CS16" i="14"/>
  <c r="CS17" i="14"/>
  <c r="CS18" i="14"/>
  <c r="CS19" i="14"/>
  <c r="CS21" i="14"/>
  <c r="CS24" i="14"/>
  <c r="CS27" i="14"/>
  <c r="CS28" i="14"/>
  <c r="CS29" i="14"/>
  <c r="CS30" i="14"/>
  <c r="CS32" i="14"/>
  <c r="CS35" i="14"/>
  <c r="CS38" i="14"/>
  <c r="CS39" i="14"/>
  <c r="CS40" i="14"/>
  <c r="CS41" i="14"/>
  <c r="CS43" i="14"/>
  <c r="CS46" i="14"/>
  <c r="CS49" i="14"/>
  <c r="CS50" i="14"/>
  <c r="CS51" i="14"/>
  <c r="CS52" i="14"/>
  <c r="CS54" i="14"/>
  <c r="CS57" i="14"/>
  <c r="CS60" i="14"/>
  <c r="CS61" i="14"/>
  <c r="CS62" i="14"/>
  <c r="CS63" i="14"/>
  <c r="CS65" i="14"/>
  <c r="CS68" i="14"/>
  <c r="CS71" i="14"/>
  <c r="CS72" i="14"/>
  <c r="CS73" i="14"/>
  <c r="CS74" i="14"/>
  <c r="CS76" i="14"/>
  <c r="CS79" i="14"/>
  <c r="CS82" i="14"/>
  <c r="CS83" i="14"/>
  <c r="CS84" i="14"/>
  <c r="CS85" i="14"/>
  <c r="CS87" i="14"/>
  <c r="CS90" i="14"/>
  <c r="CS93" i="14"/>
  <c r="CS94" i="14"/>
  <c r="CS95" i="14"/>
  <c r="CS96" i="14"/>
  <c r="CS98" i="14"/>
  <c r="CS101" i="14"/>
  <c r="CS104" i="14"/>
  <c r="CS105" i="14"/>
  <c r="CS106" i="14"/>
  <c r="CS107" i="14"/>
  <c r="CS109" i="14"/>
  <c r="CS110" i="14"/>
  <c r="CS111" i="14"/>
  <c r="CS112" i="14"/>
  <c r="CS113" i="14"/>
  <c r="CS114" i="14"/>
  <c r="CS116" i="14"/>
  <c r="CS117" i="14"/>
  <c r="CS118" i="14"/>
  <c r="CS119" i="14"/>
  <c r="CS120" i="14"/>
  <c r="CS121" i="14"/>
  <c r="CS123" i="14"/>
  <c r="CS124" i="14"/>
  <c r="CS125" i="14"/>
  <c r="CS126" i="14"/>
  <c r="CS127" i="14"/>
  <c r="CS128" i="14"/>
  <c r="CS130" i="14"/>
  <c r="CS133" i="14"/>
  <c r="CS136" i="14"/>
  <c r="CS137" i="14"/>
  <c r="CS138" i="14"/>
  <c r="CS139" i="14"/>
  <c r="CS141" i="14"/>
  <c r="CS142" i="14"/>
  <c r="CS143" i="14"/>
  <c r="CS144" i="14"/>
  <c r="CS145" i="14"/>
  <c r="CS146" i="14"/>
  <c r="CS148" i="14"/>
  <c r="CS149" i="14"/>
  <c r="CS150" i="14"/>
  <c r="CS151" i="14"/>
  <c r="CS152" i="14"/>
  <c r="CS153" i="14"/>
  <c r="CS155" i="14"/>
  <c r="CS156" i="14"/>
  <c r="CS157" i="14"/>
  <c r="CS158" i="14"/>
  <c r="CS159" i="14"/>
  <c r="CS160" i="14"/>
  <c r="CS162" i="14"/>
  <c r="CS165" i="14"/>
  <c r="CS168" i="14"/>
  <c r="CS169" i="14"/>
  <c r="CS170" i="14"/>
  <c r="CS171" i="14"/>
  <c r="CS173" i="14"/>
  <c r="CS176" i="14"/>
  <c r="CS179" i="14"/>
  <c r="CS180" i="14"/>
  <c r="CS181" i="14"/>
  <c r="CS182" i="14"/>
  <c r="CS195" i="14"/>
  <c r="CS198" i="14"/>
  <c r="CS201" i="14"/>
  <c r="CS202" i="14"/>
  <c r="CS203" i="14"/>
  <c r="CS204" i="14"/>
  <c r="CS206" i="14"/>
  <c r="CS209" i="14"/>
  <c r="CS212" i="14"/>
  <c r="CS213" i="14"/>
  <c r="CS214" i="14"/>
  <c r="CS215" i="14"/>
  <c r="CS217" i="14"/>
  <c r="CS220" i="14"/>
  <c r="CS223" i="14"/>
  <c r="CS224" i="14"/>
  <c r="CS225" i="14"/>
  <c r="CS226" i="14"/>
  <c r="CR10" i="13"/>
  <c r="CR19" i="13" s="1"/>
  <c r="CR13" i="13"/>
  <c r="CR16" i="13"/>
  <c r="CR17" i="13"/>
  <c r="CR18" i="13"/>
  <c r="CR21" i="13"/>
  <c r="CR24" i="13"/>
  <c r="CR27" i="13"/>
  <c r="CR28" i="13"/>
  <c r="CR29" i="13"/>
  <c r="CR30" i="13"/>
  <c r="CR32" i="13"/>
  <c r="CR41" i="13" s="1"/>
  <c r="CR35" i="13"/>
  <c r="CR38" i="13"/>
  <c r="CR39" i="13"/>
  <c r="CR40" i="13"/>
  <c r="CR43" i="13"/>
  <c r="CR46" i="13"/>
  <c r="CR49" i="13"/>
  <c r="CR50" i="13"/>
  <c r="CR51" i="13"/>
  <c r="CR52" i="13"/>
  <c r="CR54" i="13"/>
  <c r="CR63" i="13" s="1"/>
  <c r="CR57" i="13"/>
  <c r="CR60" i="13"/>
  <c r="CR61" i="13"/>
  <c r="CR62" i="13"/>
  <c r="CR65" i="13"/>
  <c r="CR68" i="13"/>
  <c r="CR71" i="13"/>
  <c r="CR72" i="13"/>
  <c r="CR73" i="13"/>
  <c r="CR74" i="13"/>
  <c r="CR76" i="13"/>
  <c r="CR85" i="13" s="1"/>
  <c r="CR79" i="13"/>
  <c r="CR82" i="13"/>
  <c r="CR83" i="13"/>
  <c r="CR84" i="13"/>
  <c r="CR87" i="13"/>
  <c r="CR90" i="13"/>
  <c r="CR93" i="13"/>
  <c r="CR94" i="13"/>
  <c r="CR95" i="13"/>
  <c r="CR96" i="13"/>
  <c r="CR98" i="13"/>
  <c r="CR107" i="13" s="1"/>
  <c r="CR101" i="13"/>
  <c r="CR104" i="13"/>
  <c r="CR105" i="13"/>
  <c r="CR106" i="13"/>
  <c r="CR109" i="13"/>
  <c r="CR110" i="13"/>
  <c r="CR111" i="13"/>
  <c r="CR112" i="13"/>
  <c r="CR113" i="13"/>
  <c r="CR114" i="13"/>
  <c r="CR116" i="13"/>
  <c r="CR117" i="13"/>
  <c r="CR118" i="13"/>
  <c r="CR119" i="13"/>
  <c r="CR120" i="13"/>
  <c r="CR121" i="13" s="1"/>
  <c r="CR123" i="13"/>
  <c r="CR124" i="13"/>
  <c r="CR125" i="13"/>
  <c r="CR126" i="13"/>
  <c r="CR127" i="13"/>
  <c r="CR128" i="13"/>
  <c r="CR130" i="13"/>
  <c r="CR139" i="13" s="1"/>
  <c r="CR133" i="13"/>
  <c r="CR136" i="13"/>
  <c r="CR137" i="13"/>
  <c r="CR138" i="13"/>
  <c r="CR141" i="13"/>
  <c r="CR142" i="13"/>
  <c r="CR143" i="13"/>
  <c r="CR144" i="13"/>
  <c r="CR145" i="13"/>
  <c r="CR146" i="13"/>
  <c r="CR148" i="13"/>
  <c r="CR153" i="13" s="1"/>
  <c r="CR149" i="13"/>
  <c r="CR150" i="13"/>
  <c r="CR151" i="13"/>
  <c r="CR152" i="13"/>
  <c r="CR155" i="13"/>
  <c r="CR156" i="13"/>
  <c r="CR157" i="13"/>
  <c r="CR158" i="13"/>
  <c r="CR159" i="13"/>
  <c r="CR160" i="13"/>
  <c r="CR162" i="13"/>
  <c r="CR171" i="13" s="1"/>
  <c r="CR165" i="13"/>
  <c r="CR168" i="13"/>
  <c r="CR169" i="13"/>
  <c r="CR170" i="13"/>
  <c r="CR173" i="13"/>
  <c r="CR176" i="13"/>
  <c r="CR179" i="13"/>
  <c r="CR180" i="13"/>
  <c r="CR181" i="13"/>
  <c r="CR182" i="13"/>
  <c r="CR195" i="13"/>
  <c r="CR204" i="13" s="1"/>
  <c r="CR198" i="13"/>
  <c r="CR201" i="13"/>
  <c r="CR202" i="13"/>
  <c r="CR203" i="13"/>
  <c r="CR206" i="13"/>
  <c r="CR209" i="13"/>
  <c r="CR212" i="13"/>
  <c r="CR213" i="13"/>
  <c r="CR214" i="13"/>
  <c r="CR215" i="13"/>
  <c r="CR217" i="13"/>
  <c r="CR220" i="13"/>
  <c r="CR223" i="13"/>
  <c r="CR224" i="13"/>
  <c r="CR225" i="13"/>
  <c r="CR226" i="13"/>
  <c r="CR10" i="14"/>
  <c r="CR13" i="14"/>
  <c r="CR16" i="14"/>
  <c r="CR17" i="14"/>
  <c r="CR18" i="14"/>
  <c r="CR19" i="14"/>
  <c r="CR21" i="14"/>
  <c r="CR30" i="14" s="1"/>
  <c r="CR24" i="14"/>
  <c r="CR27" i="14"/>
  <c r="CR28" i="14"/>
  <c r="CR29" i="14"/>
  <c r="CR32" i="14"/>
  <c r="CR35" i="14"/>
  <c r="CR38" i="14"/>
  <c r="CR39" i="14"/>
  <c r="CR40" i="14"/>
  <c r="CR41" i="14"/>
  <c r="CR43" i="14"/>
  <c r="CR52" i="14" s="1"/>
  <c r="CR46" i="14"/>
  <c r="CR49" i="14"/>
  <c r="CR50" i="14"/>
  <c r="CR51" i="14"/>
  <c r="CR54" i="14"/>
  <c r="CR57" i="14"/>
  <c r="CR60" i="14"/>
  <c r="CR61" i="14"/>
  <c r="CR62" i="14"/>
  <c r="CR63" i="14"/>
  <c r="CR65" i="14"/>
  <c r="CR74" i="14" s="1"/>
  <c r="CR68" i="14"/>
  <c r="CR71" i="14"/>
  <c r="CR72" i="14"/>
  <c r="CR73" i="14"/>
  <c r="CR76" i="14"/>
  <c r="CR79" i="14"/>
  <c r="CR82" i="14"/>
  <c r="CR83" i="14"/>
  <c r="CR84" i="14"/>
  <c r="CR85" i="14"/>
  <c r="CR87" i="14"/>
  <c r="CR96" i="14" s="1"/>
  <c r="CR90" i="14"/>
  <c r="CR93" i="14"/>
  <c r="CR94" i="14"/>
  <c r="CR95" i="14"/>
  <c r="CR98" i="14"/>
  <c r="CR101" i="14"/>
  <c r="CR104" i="14"/>
  <c r="CR105" i="14"/>
  <c r="CR106" i="14"/>
  <c r="CR107" i="14"/>
  <c r="CR109" i="14"/>
  <c r="CR114" i="14" s="1"/>
  <c r="CR110" i="14"/>
  <c r="CR111" i="14"/>
  <c r="CR112" i="14"/>
  <c r="CR113" i="14"/>
  <c r="CR116" i="14"/>
  <c r="CR117" i="14"/>
  <c r="CR118" i="14"/>
  <c r="CR119" i="14"/>
  <c r="CR120" i="14"/>
  <c r="CR121" i="14"/>
  <c r="CR123" i="14"/>
  <c r="CR128" i="14" s="1"/>
  <c r="CR124" i="14"/>
  <c r="CR125" i="14"/>
  <c r="CR126" i="14"/>
  <c r="CR127" i="14"/>
  <c r="CR130" i="14"/>
  <c r="CR133" i="14"/>
  <c r="CR136" i="14"/>
  <c r="CR137" i="14"/>
  <c r="CR138" i="14"/>
  <c r="CR139" i="14"/>
  <c r="CR141" i="14"/>
  <c r="CR146" i="14" s="1"/>
  <c r="CR142" i="14"/>
  <c r="CR143" i="14"/>
  <c r="CR144" i="14"/>
  <c r="CR145" i="14"/>
  <c r="CR148" i="14"/>
  <c r="CR149" i="14"/>
  <c r="CR150" i="14"/>
  <c r="CR151" i="14"/>
  <c r="CR152" i="14"/>
  <c r="CR153" i="14"/>
  <c r="CR155" i="14"/>
  <c r="CR160" i="14" s="1"/>
  <c r="CR156" i="14"/>
  <c r="CR157" i="14"/>
  <c r="CR158" i="14"/>
  <c r="CR159" i="14"/>
  <c r="CR162" i="14"/>
  <c r="CR165" i="14"/>
  <c r="CR168" i="14"/>
  <c r="CR169" i="14"/>
  <c r="CR170" i="14"/>
  <c r="CR171" i="14"/>
  <c r="CR173" i="14"/>
  <c r="CR182" i="14" s="1"/>
  <c r="CR176" i="14"/>
  <c r="CR179" i="14"/>
  <c r="CR180" i="14"/>
  <c r="CR181" i="14"/>
  <c r="CR195" i="14"/>
  <c r="CR198" i="14"/>
  <c r="CR201" i="14"/>
  <c r="CR202" i="14"/>
  <c r="CR203" i="14"/>
  <c r="CR204" i="14"/>
  <c r="CR206" i="14"/>
  <c r="CR215" i="14" s="1"/>
  <c r="CR209" i="14"/>
  <c r="CR212" i="14"/>
  <c r="CR213" i="14"/>
  <c r="CR214" i="14"/>
  <c r="CR217" i="14"/>
  <c r="CR220" i="14"/>
  <c r="CR223" i="14"/>
  <c r="CR224" i="14"/>
  <c r="CR225" i="14"/>
  <c r="CR226" i="14"/>
  <c r="CR10" i="15"/>
  <c r="CR19" i="15" s="1"/>
  <c r="CR13" i="15"/>
  <c r="CR16" i="15"/>
  <c r="CR17" i="15"/>
  <c r="CR18" i="15"/>
  <c r="CR21" i="15"/>
  <c r="CR24" i="15"/>
  <c r="CR27" i="15"/>
  <c r="CR28" i="15"/>
  <c r="CR29" i="15"/>
  <c r="CR30" i="15"/>
  <c r="CR32" i="15"/>
  <c r="CR41" i="15" s="1"/>
  <c r="CR35" i="15"/>
  <c r="CR38" i="15"/>
  <c r="CR39" i="15"/>
  <c r="CR40" i="15"/>
  <c r="CR43" i="15"/>
  <c r="CR46" i="15"/>
  <c r="CR49" i="15"/>
  <c r="CR50" i="15"/>
  <c r="CR51" i="15"/>
  <c r="CR52" i="15"/>
  <c r="CR54" i="15"/>
  <c r="CR63" i="15" s="1"/>
  <c r="CR57" i="15"/>
  <c r="CR60" i="15"/>
  <c r="CR61" i="15"/>
  <c r="CR62" i="15"/>
  <c r="CR65" i="15"/>
  <c r="CR68" i="15"/>
  <c r="CR71" i="15"/>
  <c r="CR72" i="15"/>
  <c r="CR73" i="15"/>
  <c r="CR74" i="15"/>
  <c r="CR76" i="15"/>
  <c r="CR85" i="15" s="1"/>
  <c r="CR79" i="15"/>
  <c r="CR82" i="15"/>
  <c r="CR83" i="15"/>
  <c r="CR84" i="15"/>
  <c r="CR87" i="15"/>
  <c r="CR90" i="15"/>
  <c r="CR93" i="15"/>
  <c r="CR94" i="15"/>
  <c r="CR95" i="15"/>
  <c r="CR96" i="15"/>
  <c r="CR98" i="15"/>
  <c r="CR107" i="15" s="1"/>
  <c r="CR101" i="15"/>
  <c r="CR104" i="15"/>
  <c r="CR105" i="15"/>
  <c r="CR106" i="15"/>
  <c r="CR109" i="15"/>
  <c r="CR110" i="15"/>
  <c r="CR111" i="15"/>
  <c r="CR112" i="15"/>
  <c r="CR113" i="15"/>
  <c r="CR114" i="15"/>
  <c r="CR116" i="15"/>
  <c r="CR121" i="15" s="1"/>
  <c r="CR117" i="15"/>
  <c r="CR118" i="15"/>
  <c r="CR119" i="15"/>
  <c r="CR120" i="15"/>
  <c r="CR123" i="15"/>
  <c r="CR124" i="15"/>
  <c r="CR125" i="15"/>
  <c r="CR126" i="15"/>
  <c r="CR127" i="15"/>
  <c r="CR128" i="15"/>
  <c r="CR130" i="15"/>
  <c r="CR139" i="15" s="1"/>
  <c r="CR133" i="15"/>
  <c r="CR136" i="15"/>
  <c r="CR137" i="15"/>
  <c r="CR138" i="15"/>
  <c r="CR141" i="15"/>
  <c r="CR142" i="15"/>
  <c r="CR143" i="15"/>
  <c r="CR144" i="15"/>
  <c r="CR145" i="15"/>
  <c r="CR146" i="15"/>
  <c r="CR148" i="15"/>
  <c r="CR153" i="15" s="1"/>
  <c r="CR149" i="15"/>
  <c r="CR150" i="15"/>
  <c r="CR151" i="15"/>
  <c r="CR152" i="15"/>
  <c r="CR155" i="15"/>
  <c r="CR156" i="15"/>
  <c r="CR157" i="15"/>
  <c r="CR158" i="15"/>
  <c r="CR159" i="15"/>
  <c r="CR160" i="15"/>
  <c r="CR162" i="15"/>
  <c r="CR171" i="15" s="1"/>
  <c r="CR165" i="15"/>
  <c r="CR168" i="15"/>
  <c r="CR169" i="15"/>
  <c r="CR170" i="15"/>
  <c r="CR173" i="15"/>
  <c r="CR176" i="15"/>
  <c r="CR179" i="15"/>
  <c r="CR180" i="15"/>
  <c r="CR181" i="15"/>
  <c r="CR182" i="15"/>
  <c r="CR195" i="15"/>
  <c r="CR204" i="15" s="1"/>
  <c r="CR198" i="15"/>
  <c r="CR201" i="15"/>
  <c r="CR202" i="15"/>
  <c r="CR203" i="15"/>
  <c r="CR206" i="15"/>
  <c r="CR209" i="15"/>
  <c r="CR212" i="15"/>
  <c r="CR213" i="15"/>
  <c r="CR214" i="15"/>
  <c r="CR215" i="15"/>
  <c r="CR217" i="15"/>
  <c r="CR220" i="15"/>
  <c r="CR223" i="15"/>
  <c r="CR224" i="15"/>
  <c r="CR225" i="15"/>
  <c r="CR226" i="15"/>
  <c r="CR10" i="11"/>
  <c r="CR13" i="11"/>
  <c r="CR16" i="11"/>
  <c r="CR17" i="11"/>
  <c r="CR18" i="11"/>
  <c r="CR19" i="11"/>
  <c r="CR21" i="11"/>
  <c r="CR30" i="11" s="1"/>
  <c r="CR24" i="11"/>
  <c r="CR27" i="11"/>
  <c r="CR28" i="11"/>
  <c r="CR29" i="11"/>
  <c r="CR32" i="11"/>
  <c r="CR35" i="11"/>
  <c r="CR38" i="11"/>
  <c r="CR39" i="11"/>
  <c r="CR40" i="11"/>
  <c r="CR41" i="11"/>
  <c r="CR43" i="11"/>
  <c r="CR52" i="11" s="1"/>
  <c r="CR46" i="11"/>
  <c r="CR49" i="11"/>
  <c r="CR50" i="11"/>
  <c r="CR51" i="11"/>
  <c r="CR54" i="11"/>
  <c r="CR57" i="11"/>
  <c r="CR60" i="11"/>
  <c r="CR61" i="11"/>
  <c r="CR62" i="11"/>
  <c r="CR63" i="11"/>
  <c r="CR65" i="11"/>
  <c r="CR74" i="11" s="1"/>
  <c r="CR68" i="11"/>
  <c r="CR71" i="11"/>
  <c r="CR72" i="11"/>
  <c r="CR73" i="11"/>
  <c r="CR76" i="11"/>
  <c r="CR79" i="11"/>
  <c r="CR82" i="11"/>
  <c r="CR83" i="11"/>
  <c r="CR84" i="11"/>
  <c r="CR85" i="11"/>
  <c r="CR87" i="11"/>
  <c r="CR96" i="11" s="1"/>
  <c r="CR90" i="11"/>
  <c r="CR93" i="11"/>
  <c r="CR94" i="11"/>
  <c r="CR95" i="11"/>
  <c r="CR98" i="11"/>
  <c r="CR101" i="11"/>
  <c r="CR104" i="11"/>
  <c r="CR105" i="11"/>
  <c r="CR106" i="11"/>
  <c r="CR107" i="11"/>
  <c r="CR109" i="11"/>
  <c r="CR110" i="11"/>
  <c r="CR111" i="11"/>
  <c r="CR112" i="11"/>
  <c r="CR113" i="11"/>
  <c r="CR114" i="11" s="1"/>
  <c r="CR116" i="11"/>
  <c r="CR117" i="11"/>
  <c r="CR118" i="11"/>
  <c r="CR119" i="11"/>
  <c r="CR120" i="11"/>
  <c r="CR121" i="11"/>
  <c r="CR123" i="11"/>
  <c r="CR124" i="11"/>
  <c r="CR125" i="11"/>
  <c r="CR126" i="11"/>
  <c r="CR127" i="11"/>
  <c r="CR128" i="11" s="1"/>
  <c r="CR130" i="11"/>
  <c r="CR133" i="11"/>
  <c r="CR136" i="11"/>
  <c r="CR137" i="11"/>
  <c r="CR138" i="11"/>
  <c r="CR139" i="11"/>
  <c r="CR141" i="11"/>
  <c r="CR146" i="11" s="1"/>
  <c r="CR142" i="11"/>
  <c r="CR143" i="11"/>
  <c r="CR144" i="11"/>
  <c r="CR145" i="11"/>
  <c r="CR148" i="11"/>
  <c r="CR149" i="11"/>
  <c r="CR150" i="11"/>
  <c r="CR151" i="11"/>
  <c r="CR152" i="11"/>
  <c r="CR153" i="11"/>
  <c r="CR155" i="11"/>
  <c r="CR160" i="11" s="1"/>
  <c r="CR156" i="11"/>
  <c r="CR157" i="11"/>
  <c r="CR158" i="11"/>
  <c r="CR159" i="11"/>
  <c r="CR162" i="11"/>
  <c r="CR165" i="11"/>
  <c r="CR168" i="11"/>
  <c r="CR169" i="11"/>
  <c r="CR170" i="11"/>
  <c r="CR171" i="11"/>
  <c r="CR173" i="11"/>
  <c r="CR182" i="11" s="1"/>
  <c r="CR176" i="11"/>
  <c r="CR179" i="11"/>
  <c r="CR180" i="11"/>
  <c r="CR181" i="11"/>
  <c r="CR195" i="11"/>
  <c r="CR198" i="11"/>
  <c r="CR201" i="11"/>
  <c r="CR202" i="11"/>
  <c r="CR203" i="11"/>
  <c r="CR204" i="11"/>
  <c r="CR206" i="11"/>
  <c r="CR215" i="11" s="1"/>
  <c r="CR209" i="11"/>
  <c r="CR212" i="11"/>
  <c r="CR213" i="11"/>
  <c r="CR214" i="11"/>
  <c r="CR217" i="11"/>
  <c r="CR220" i="11"/>
  <c r="CR223" i="11"/>
  <c r="CR224" i="11"/>
  <c r="CR225" i="11"/>
  <c r="CR226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F113" i="26"/>
  <c r="G113" i="26"/>
  <c r="F114" i="26"/>
  <c r="G114" i="26"/>
  <c r="F115" i="26"/>
  <c r="G115" i="26"/>
  <c r="F116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CQ10" i="13"/>
  <c r="CQ13" i="13"/>
  <c r="CQ16" i="13"/>
  <c r="CQ17" i="13"/>
  <c r="CQ18" i="13"/>
  <c r="CQ21" i="13"/>
  <c r="CQ24" i="13"/>
  <c r="CQ27" i="13"/>
  <c r="CQ30" i="13" s="1"/>
  <c r="CQ28" i="13"/>
  <c r="CQ29" i="13"/>
  <c r="CQ32" i="13"/>
  <c r="CQ35" i="13"/>
  <c r="CQ38" i="13"/>
  <c r="CQ39" i="13"/>
  <c r="CQ40" i="13"/>
  <c r="CQ43" i="13"/>
  <c r="CQ46" i="13"/>
  <c r="CQ49" i="13"/>
  <c r="CQ52" i="13" s="1"/>
  <c r="CQ50" i="13"/>
  <c r="CQ51" i="13"/>
  <c r="CQ54" i="13"/>
  <c r="CQ63" i="13" s="1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6" i="13" s="1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4" i="13" s="1"/>
  <c r="CQ116" i="13"/>
  <c r="CQ117" i="13"/>
  <c r="CQ118" i="13"/>
  <c r="CQ119" i="13"/>
  <c r="CQ120" i="13"/>
  <c r="CQ121" i="13" s="1"/>
  <c r="CQ123" i="13"/>
  <c r="CQ124" i="13"/>
  <c r="CQ125" i="13"/>
  <c r="CQ126" i="13"/>
  <c r="CQ127" i="13"/>
  <c r="CQ128" i="13" s="1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204" i="13" s="1"/>
  <c r="CQ198" i="13"/>
  <c r="CQ201" i="13"/>
  <c r="CQ202" i="13"/>
  <c r="CQ203" i="13"/>
  <c r="CQ206" i="13"/>
  <c r="CQ209" i="13"/>
  <c r="CQ212" i="13"/>
  <c r="CQ215" i="13" s="1"/>
  <c r="CQ213" i="13"/>
  <c r="CQ214" i="13"/>
  <c r="CQ10" i="14"/>
  <c r="CQ13" i="14"/>
  <c r="CQ16" i="14"/>
  <c r="CQ19" i="14" s="1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52" i="14" s="1"/>
  <c r="CQ46" i="14"/>
  <c r="CQ49" i="14"/>
  <c r="CQ50" i="14"/>
  <c r="CQ51" i="14"/>
  <c r="CQ54" i="14"/>
  <c r="CQ57" i="14"/>
  <c r="CQ60" i="14"/>
  <c r="CQ61" i="14"/>
  <c r="CQ62" i="14"/>
  <c r="CQ65" i="14"/>
  <c r="CQ74" i="14" s="1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7" i="14" s="1"/>
  <c r="CQ105" i="14"/>
  <c r="CQ106" i="14"/>
  <c r="CQ109" i="14"/>
  <c r="CQ110" i="14"/>
  <c r="CQ111" i="14"/>
  <c r="CQ112" i="14"/>
  <c r="CQ113" i="14"/>
  <c r="CQ116" i="14"/>
  <c r="CQ117" i="14"/>
  <c r="CQ118" i="14"/>
  <c r="CQ121" i="14" s="1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15" i="14" s="1"/>
  <c r="CQ209" i="14"/>
  <c r="CQ212" i="14"/>
  <c r="CQ213" i="14"/>
  <c r="CQ214" i="14"/>
  <c r="CQ10" i="15"/>
  <c r="CQ19" i="15" s="1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4" i="15" s="1"/>
  <c r="CQ76" i="15"/>
  <c r="CQ79" i="15"/>
  <c r="CQ82" i="15"/>
  <c r="CQ83" i="15"/>
  <c r="CQ84" i="15"/>
  <c r="CQ87" i="15"/>
  <c r="CQ90" i="15"/>
  <c r="CQ93" i="15"/>
  <c r="CQ94" i="15"/>
  <c r="CQ95" i="15"/>
  <c r="CQ96" i="15" s="1"/>
  <c r="CQ98" i="15"/>
  <c r="CQ101" i="15"/>
  <c r="CQ104" i="15"/>
  <c r="CQ105" i="15"/>
  <c r="CQ106" i="15"/>
  <c r="CQ109" i="15"/>
  <c r="CQ110" i="15"/>
  <c r="CQ111" i="15"/>
  <c r="CQ112" i="15"/>
  <c r="CQ113" i="15"/>
  <c r="CQ114" i="15" s="1"/>
  <c r="CQ116" i="15"/>
  <c r="CQ117" i="15"/>
  <c r="CQ118" i="15"/>
  <c r="CQ119" i="15"/>
  <c r="CQ120" i="15"/>
  <c r="CQ123" i="15"/>
  <c r="CQ124" i="15"/>
  <c r="CQ125" i="15"/>
  <c r="CQ126" i="15"/>
  <c r="CQ127" i="15"/>
  <c r="CQ128" i="15" s="1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82" i="15" s="1"/>
  <c r="CQ195" i="15"/>
  <c r="CQ198" i="15"/>
  <c r="CQ201" i="15"/>
  <c r="CQ202" i="15"/>
  <c r="CQ203" i="15"/>
  <c r="CQ206" i="15"/>
  <c r="CQ209" i="15"/>
  <c r="CQ212" i="15"/>
  <c r="CQ213" i="15"/>
  <c r="CQ214" i="15"/>
  <c r="CQ215" i="15" s="1"/>
  <c r="CQ10" i="11"/>
  <c r="CQ19" i="11" s="1"/>
  <c r="CQ13" i="11"/>
  <c r="CQ16" i="11"/>
  <c r="CQ17" i="11"/>
  <c r="CQ18" i="11"/>
  <c r="CQ21" i="11"/>
  <c r="CQ30" i="11" s="1"/>
  <c r="CQ24" i="11"/>
  <c r="CQ27" i="11"/>
  <c r="CQ28" i="11"/>
  <c r="CQ29" i="11"/>
  <c r="CQ32" i="11"/>
  <c r="CQ41" i="11" s="1"/>
  <c r="CQ35" i="11"/>
  <c r="CQ38" i="11"/>
  <c r="CQ39" i="11"/>
  <c r="CQ40" i="11"/>
  <c r="CQ43" i="11"/>
  <c r="CQ46" i="11"/>
  <c r="CQ49" i="11"/>
  <c r="CQ50" i="11"/>
  <c r="CQ51" i="11"/>
  <c r="CQ54" i="11"/>
  <c r="CQ57" i="11"/>
  <c r="CQ63" i="11" s="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5" i="11" s="1"/>
  <c r="CQ87" i="11"/>
  <c r="CQ90" i="11"/>
  <c r="CQ93" i="11"/>
  <c r="CQ94" i="11"/>
  <c r="CQ95" i="11"/>
  <c r="CQ98" i="11"/>
  <c r="CQ101" i="11"/>
  <c r="CQ104" i="11"/>
  <c r="CQ105" i="11"/>
  <c r="CQ106" i="11"/>
  <c r="CQ107" i="11"/>
  <c r="CQ109" i="11"/>
  <c r="CQ110" i="11"/>
  <c r="CQ111" i="11"/>
  <c r="CQ112" i="11"/>
  <c r="CQ113" i="11"/>
  <c r="CQ116" i="11"/>
  <c r="CQ117" i="11"/>
  <c r="CQ118" i="11"/>
  <c r="CQ119" i="11"/>
  <c r="CQ120" i="11"/>
  <c r="CQ121" i="11" s="1"/>
  <c r="CQ123" i="11"/>
  <c r="CQ124" i="11"/>
  <c r="CQ125" i="11"/>
  <c r="CQ126" i="11"/>
  <c r="CQ127" i="11"/>
  <c r="CQ130" i="11"/>
  <c r="CQ139" i="11" s="1"/>
  <c r="CQ133" i="11"/>
  <c r="CQ136" i="11"/>
  <c r="CQ137" i="11"/>
  <c r="CQ138" i="11"/>
  <c r="CQ141" i="11"/>
  <c r="CQ142" i="11"/>
  <c r="CQ143" i="11"/>
  <c r="CQ144" i="11"/>
  <c r="CQ145" i="11"/>
  <c r="CQ148" i="11"/>
  <c r="CQ153" i="11" s="1"/>
  <c r="CQ149" i="11"/>
  <c r="CQ150" i="11"/>
  <c r="CQ151" i="11"/>
  <c r="CQ152" i="11"/>
  <c r="CQ155" i="11"/>
  <c r="CQ156" i="11"/>
  <c r="CQ157" i="11"/>
  <c r="CQ158" i="11"/>
  <c r="CQ159" i="11"/>
  <c r="CQ162" i="11"/>
  <c r="CQ171" i="11" s="1"/>
  <c r="CQ165" i="11"/>
  <c r="CQ168" i="11"/>
  <c r="CQ169" i="11"/>
  <c r="CQ170" i="11"/>
  <c r="CQ173" i="11"/>
  <c r="CQ176" i="11"/>
  <c r="CQ179" i="11"/>
  <c r="CQ180" i="11"/>
  <c r="CQ181" i="11"/>
  <c r="CQ195" i="11"/>
  <c r="CQ204" i="11" s="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6" i="13" s="1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3" i="14" s="1"/>
  <c r="CP62" i="14"/>
  <c r="CP65" i="14"/>
  <c r="CP68" i="14"/>
  <c r="CP71" i="14"/>
  <c r="CP72" i="14"/>
  <c r="CP73" i="14"/>
  <c r="CP76" i="14"/>
  <c r="CP85" i="14" s="1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Q215" i="11" l="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9" i="14" s="1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0" i="15" s="1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U11" i="11"/>
  <c r="CO182" i="13" l="1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AL218" i="13"/>
  <c r="AL219" i="13"/>
  <c r="AL220" i="13"/>
  <c r="AL221" i="13"/>
  <c r="AL222" i="13"/>
  <c r="AL223" i="13"/>
  <c r="AL224" i="13"/>
  <c r="AL225" i="13"/>
  <c r="AL226" i="13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AL218" i="11"/>
  <c r="AL219" i="11"/>
  <c r="AL220" i="11"/>
  <c r="AL221" i="11"/>
  <c r="AL222" i="11"/>
  <c r="AL223" i="11"/>
  <c r="AL224" i="11"/>
  <c r="AL225" i="11"/>
  <c r="AL226" i="1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AL218" i="15"/>
  <c r="AL219" i="15"/>
  <c r="AL220" i="15"/>
  <c r="AL221" i="15"/>
  <c r="AL222" i="15"/>
  <c r="AL223" i="15"/>
  <c r="AL224" i="15"/>
  <c r="AL225" i="15"/>
  <c r="AL226" i="15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AL218" i="14"/>
  <c r="AL219" i="14"/>
  <c r="AL220" i="14"/>
  <c r="AL221" i="14"/>
  <c r="AL222" i="14"/>
  <c r="AL223" i="14"/>
  <c r="AL224" i="14"/>
  <c r="AL225" i="14"/>
  <c r="AL226" i="14"/>
  <c r="CU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U24" i="13"/>
  <c r="CU214" i="15"/>
  <c r="CU213" i="15"/>
  <c r="CU212" i="15"/>
  <c r="CU209" i="15"/>
  <c r="CU206" i="15"/>
  <c r="CU203" i="15"/>
  <c r="CU202" i="15"/>
  <c r="CU201" i="15"/>
  <c r="CU198" i="15"/>
  <c r="CU195" i="15"/>
  <c r="CU192" i="15"/>
  <c r="CU191" i="15"/>
  <c r="CU190" i="15"/>
  <c r="CU187" i="15"/>
  <c r="CU184" i="15"/>
  <c r="CU181" i="15"/>
  <c r="CU180" i="15"/>
  <c r="CU179" i="15"/>
  <c r="CU176" i="15"/>
  <c r="CU173" i="15"/>
  <c r="CU170" i="15"/>
  <c r="CU169" i="15"/>
  <c r="CU168" i="15"/>
  <c r="CU165" i="15"/>
  <c r="CU162" i="15"/>
  <c r="CU152" i="15"/>
  <c r="CU151" i="15"/>
  <c r="CU150" i="15"/>
  <c r="CU149" i="15"/>
  <c r="CU148" i="15"/>
  <c r="CU145" i="15"/>
  <c r="CU144" i="15"/>
  <c r="CU143" i="15"/>
  <c r="CU142" i="15"/>
  <c r="CU141" i="15"/>
  <c r="CU127" i="15"/>
  <c r="CU126" i="15"/>
  <c r="CU125" i="15"/>
  <c r="CU124" i="15"/>
  <c r="CU123" i="15"/>
  <c r="CU120" i="15"/>
  <c r="CU119" i="15"/>
  <c r="CU118" i="15"/>
  <c r="CU117" i="15"/>
  <c r="CU116" i="15"/>
  <c r="CU113" i="15"/>
  <c r="CU112" i="15"/>
  <c r="CU111" i="15"/>
  <c r="CU110" i="15"/>
  <c r="CU109" i="15"/>
  <c r="CU106" i="15"/>
  <c r="CU105" i="15"/>
  <c r="CU104" i="15"/>
  <c r="CU101" i="15"/>
  <c r="CU98" i="15"/>
  <c r="CU95" i="15"/>
  <c r="CU94" i="15"/>
  <c r="CU93" i="15"/>
  <c r="CU90" i="15"/>
  <c r="CU87" i="15"/>
  <c r="CU84" i="15"/>
  <c r="CU83" i="15"/>
  <c r="CU82" i="15"/>
  <c r="CU79" i="15"/>
  <c r="CU76" i="15"/>
  <c r="CU73" i="15"/>
  <c r="CU72" i="15"/>
  <c r="CU71" i="15"/>
  <c r="CU68" i="15"/>
  <c r="CU65" i="15"/>
  <c r="CU62" i="15"/>
  <c r="CU61" i="15"/>
  <c r="CU60" i="15"/>
  <c r="CU57" i="15"/>
  <c r="CU54" i="15"/>
  <c r="CU51" i="15"/>
  <c r="CU50" i="15"/>
  <c r="CU49" i="15"/>
  <c r="CU46" i="15"/>
  <c r="CU43" i="15"/>
  <c r="CU40" i="15"/>
  <c r="CU39" i="15"/>
  <c r="CU38" i="15"/>
  <c r="CU35" i="15"/>
  <c r="CU32" i="15"/>
  <c r="CU29" i="15"/>
  <c r="CU28" i="15"/>
  <c r="CU27" i="15"/>
  <c r="CU24" i="15"/>
  <c r="CU21" i="15"/>
  <c r="CU18" i="15"/>
  <c r="CU17" i="15"/>
  <c r="CU16" i="15"/>
  <c r="CU13" i="15"/>
  <c r="CU10" i="15"/>
  <c r="CU159" i="15"/>
  <c r="CU137" i="15"/>
  <c r="CU157" i="15"/>
  <c r="CU156" i="15"/>
  <c r="CU130" i="15"/>
  <c r="CU159" i="14"/>
  <c r="CU158" i="14"/>
  <c r="CU157" i="14"/>
  <c r="CU159" i="13"/>
  <c r="CU157" i="13"/>
  <c r="CU156" i="13"/>
  <c r="CU155" i="13"/>
  <c r="CU119" i="13"/>
  <c r="CU118" i="13"/>
  <c r="CU116" i="13"/>
  <c r="CU214" i="14"/>
  <c r="CU213" i="14"/>
  <c r="CU212" i="14"/>
  <c r="CU209" i="14"/>
  <c r="CU206" i="14"/>
  <c r="CU203" i="14"/>
  <c r="CU202" i="14"/>
  <c r="CU201" i="14"/>
  <c r="CU198" i="14"/>
  <c r="CU195" i="14"/>
  <c r="CU192" i="14"/>
  <c r="CU191" i="14"/>
  <c r="CU190" i="14"/>
  <c r="CU187" i="14"/>
  <c r="CU184" i="14"/>
  <c r="CU181" i="14"/>
  <c r="CU180" i="14"/>
  <c r="CU179" i="14"/>
  <c r="CU176" i="14"/>
  <c r="CU173" i="14"/>
  <c r="CU170" i="14"/>
  <c r="CU169" i="14"/>
  <c r="CU168" i="14"/>
  <c r="CU165" i="14"/>
  <c r="CU162" i="14"/>
  <c r="CU152" i="14"/>
  <c r="CU151" i="14"/>
  <c r="CU150" i="14"/>
  <c r="CU149" i="14"/>
  <c r="CU148" i="14"/>
  <c r="CU145" i="14"/>
  <c r="CU144" i="14"/>
  <c r="CU143" i="14"/>
  <c r="CU142" i="14"/>
  <c r="CU141" i="14"/>
  <c r="CU138" i="14"/>
  <c r="CU137" i="14"/>
  <c r="CU127" i="14"/>
  <c r="CU126" i="14"/>
  <c r="CU125" i="14"/>
  <c r="CU124" i="14"/>
  <c r="CU123" i="14"/>
  <c r="CU120" i="14"/>
  <c r="CU119" i="14"/>
  <c r="CU118" i="14"/>
  <c r="CU117" i="14"/>
  <c r="CU116" i="14"/>
  <c r="CU113" i="14"/>
  <c r="CU112" i="14"/>
  <c r="CU111" i="14"/>
  <c r="CU110" i="14"/>
  <c r="CU109" i="14"/>
  <c r="CU106" i="14"/>
  <c r="CU105" i="14"/>
  <c r="CU104" i="14"/>
  <c r="CU101" i="14"/>
  <c r="CU98" i="14"/>
  <c r="CU95" i="14"/>
  <c r="CU94" i="14"/>
  <c r="CU93" i="14"/>
  <c r="CU90" i="14"/>
  <c r="CU87" i="14"/>
  <c r="CU84" i="14"/>
  <c r="CU83" i="14"/>
  <c r="CU82" i="14"/>
  <c r="CU79" i="14"/>
  <c r="CU76" i="14"/>
  <c r="CU73" i="14"/>
  <c r="CU72" i="14"/>
  <c r="CU71" i="14"/>
  <c r="CU68" i="14"/>
  <c r="CU65" i="14"/>
  <c r="CU62" i="14"/>
  <c r="CU61" i="14"/>
  <c r="CU60" i="14"/>
  <c r="CU57" i="14"/>
  <c r="CU54" i="14"/>
  <c r="CU51" i="14"/>
  <c r="CU50" i="14"/>
  <c r="CU49" i="14"/>
  <c r="CU46" i="14"/>
  <c r="CU43" i="14"/>
  <c r="CU40" i="14"/>
  <c r="CU39" i="14"/>
  <c r="CU38" i="14"/>
  <c r="CU35" i="14"/>
  <c r="CU32" i="14"/>
  <c r="CU29" i="14"/>
  <c r="CU28" i="14"/>
  <c r="CU27" i="14"/>
  <c r="CU24" i="14"/>
  <c r="CU21" i="14"/>
  <c r="CU18" i="14"/>
  <c r="CU17" i="14"/>
  <c r="CU16" i="14"/>
  <c r="CU13" i="14"/>
  <c r="CU10" i="14"/>
  <c r="CU214" i="13"/>
  <c r="CU213" i="13"/>
  <c r="CU212" i="13"/>
  <c r="CU209" i="13"/>
  <c r="CU206" i="13"/>
  <c r="CU203" i="13"/>
  <c r="CU202" i="13"/>
  <c r="CU201" i="13"/>
  <c r="CU198" i="13"/>
  <c r="CU195" i="13"/>
  <c r="CU192" i="13"/>
  <c r="CU191" i="13"/>
  <c r="CU190" i="13"/>
  <c r="CU187" i="13"/>
  <c r="CU184" i="13"/>
  <c r="CU181" i="13"/>
  <c r="CU180" i="13"/>
  <c r="CU179" i="13"/>
  <c r="CU176" i="13"/>
  <c r="CU173" i="13"/>
  <c r="CU170" i="13"/>
  <c r="CU169" i="13"/>
  <c r="CU168" i="13"/>
  <c r="CU165" i="13"/>
  <c r="CU162" i="13"/>
  <c r="CU158" i="13"/>
  <c r="CU152" i="13"/>
  <c r="CU151" i="13"/>
  <c r="CU150" i="13"/>
  <c r="CU149" i="13"/>
  <c r="CU148" i="13"/>
  <c r="CU145" i="13"/>
  <c r="CU144" i="13"/>
  <c r="CU143" i="13"/>
  <c r="CU142" i="13"/>
  <c r="CU141" i="13"/>
  <c r="CU138" i="13"/>
  <c r="CU137" i="13"/>
  <c r="CU136" i="13"/>
  <c r="CU133" i="13"/>
  <c r="CU130" i="13"/>
  <c r="CU127" i="13"/>
  <c r="CU126" i="13"/>
  <c r="CU125" i="13"/>
  <c r="CU124" i="13"/>
  <c r="CU123" i="13"/>
  <c r="CU120" i="13"/>
  <c r="CU117" i="13"/>
  <c r="CU113" i="13"/>
  <c r="CU112" i="13"/>
  <c r="CU111" i="13"/>
  <c r="CU110" i="13"/>
  <c r="CU109" i="13"/>
  <c r="CU106" i="13"/>
  <c r="CU105" i="13"/>
  <c r="CU104" i="13"/>
  <c r="CU101" i="13"/>
  <c r="CU98" i="13"/>
  <c r="CU95" i="13"/>
  <c r="CU94" i="13"/>
  <c r="CU93" i="13"/>
  <c r="CU90" i="13"/>
  <c r="CU87" i="13"/>
  <c r="CU84" i="13"/>
  <c r="CU83" i="13"/>
  <c r="CU82" i="13"/>
  <c r="CU79" i="13"/>
  <c r="CU76" i="13"/>
  <c r="CU73" i="13"/>
  <c r="CU72" i="13"/>
  <c r="CU71" i="13"/>
  <c r="CU68" i="13"/>
  <c r="CU65" i="13"/>
  <c r="CU62" i="13"/>
  <c r="CU61" i="13"/>
  <c r="CU60" i="13"/>
  <c r="CU57" i="13"/>
  <c r="CU54" i="13"/>
  <c r="CU51" i="13"/>
  <c r="CU50" i="13"/>
  <c r="CU49" i="13"/>
  <c r="CU46" i="13"/>
  <c r="CU43" i="13"/>
  <c r="CU40" i="13"/>
  <c r="CU39" i="13"/>
  <c r="CU38" i="13"/>
  <c r="CU35" i="13"/>
  <c r="CU32" i="13"/>
  <c r="CU29" i="13"/>
  <c r="CU28" i="13"/>
  <c r="CU27" i="13"/>
  <c r="CU21" i="13"/>
  <c r="CU18" i="13"/>
  <c r="CU17" i="13"/>
  <c r="CU16" i="13"/>
  <c r="CU13" i="13"/>
  <c r="CU10" i="13"/>
  <c r="CU11" i="13"/>
  <c r="CU186" i="15"/>
  <c r="CU189" i="14"/>
  <c r="CU189" i="15"/>
  <c r="CU186" i="14"/>
  <c r="CU193" i="15" l="1"/>
  <c r="CU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U158" i="15"/>
  <c r="CU133" i="15"/>
  <c r="BZ41" i="11"/>
  <c r="BZ204" i="11"/>
  <c r="BZ19" i="15"/>
  <c r="BZ107" i="15"/>
  <c r="BZ171" i="15"/>
  <c r="BZ85" i="14"/>
  <c r="BZ153" i="14"/>
  <c r="BZ63" i="13"/>
  <c r="BZ139" i="13"/>
  <c r="BZ153" i="11"/>
  <c r="CU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U130" i="14"/>
  <c r="CU138" i="15"/>
  <c r="BZ30" i="11"/>
  <c r="BZ182" i="11"/>
  <c r="BZ96" i="15"/>
  <c r="BZ146" i="15"/>
  <c r="BZ74" i="14"/>
  <c r="BZ146" i="14"/>
  <c r="BZ52" i="13"/>
  <c r="BZ215" i="13"/>
  <c r="CU188" i="14"/>
  <c r="CU188" i="15"/>
  <c r="CU185" i="15"/>
  <c r="CU185" i="14"/>
  <c r="CU155" i="14"/>
  <c r="CU133" i="14"/>
  <c r="CU136" i="14"/>
  <c r="CU156" i="14"/>
  <c r="CU12" i="13"/>
  <c r="CU19" i="13"/>
  <c r="CU30" i="13"/>
  <c r="CU41" i="13"/>
  <c r="CU52" i="13"/>
  <c r="CU63" i="13"/>
  <c r="CU74" i="13"/>
  <c r="CU85" i="13"/>
  <c r="CU96" i="13"/>
  <c r="CU107" i="13"/>
  <c r="CU114" i="13"/>
  <c r="CU121" i="13"/>
  <c r="CU128" i="13"/>
  <c r="CU139" i="13"/>
  <c r="CU146" i="13"/>
  <c r="CU153" i="13"/>
  <c r="CU160" i="13"/>
  <c r="CU171" i="13"/>
  <c r="CU182" i="13"/>
  <c r="CU193" i="13"/>
  <c r="CU204" i="13"/>
  <c r="CU215" i="13"/>
  <c r="CU214" i="11"/>
  <c r="CU213" i="11"/>
  <c r="CU212" i="11"/>
  <c r="CU209" i="11"/>
  <c r="CU206" i="11"/>
  <c r="CU203" i="11"/>
  <c r="CU202" i="11"/>
  <c r="CU201" i="11"/>
  <c r="CU198" i="11"/>
  <c r="CU195" i="11"/>
  <c r="CU192" i="11"/>
  <c r="CU191" i="11"/>
  <c r="CU190" i="11"/>
  <c r="CU187" i="11"/>
  <c r="CU184" i="11"/>
  <c r="CU181" i="11"/>
  <c r="CU176" i="11"/>
  <c r="CU14" i="13"/>
  <c r="CU188" i="13"/>
  <c r="CU185" i="13"/>
  <c r="CU188" i="11"/>
  <c r="CU14" i="11"/>
  <c r="CU186" i="13" l="1"/>
  <c r="CU15" i="13"/>
  <c r="CU189" i="13"/>
  <c r="CU155" i="15"/>
  <c r="CU193" i="11"/>
  <c r="CU186" i="11"/>
  <c r="CU189" i="11"/>
  <c r="CU180" i="11"/>
  <c r="CU179" i="11"/>
  <c r="CU173" i="11"/>
  <c r="CU170" i="11"/>
  <c r="CU169" i="11"/>
  <c r="CU168" i="11"/>
  <c r="CU165" i="11"/>
  <c r="CU162" i="11"/>
  <c r="CU159" i="11"/>
  <c r="CU158" i="11"/>
  <c r="CU157" i="11"/>
  <c r="CU156" i="11"/>
  <c r="CU155" i="11"/>
  <c r="CU152" i="11"/>
  <c r="CU151" i="11"/>
  <c r="CU150" i="11"/>
  <c r="CU149" i="11"/>
  <c r="CU148" i="11"/>
  <c r="CU145" i="11"/>
  <c r="CU144" i="11"/>
  <c r="CU143" i="11"/>
  <c r="CU142" i="11"/>
  <c r="CU141" i="11"/>
  <c r="CU138" i="11"/>
  <c r="CU137" i="11"/>
  <c r="CU136" i="11"/>
  <c r="CU133" i="11"/>
  <c r="CU130" i="11"/>
  <c r="CU127" i="11"/>
  <c r="CU126" i="11"/>
  <c r="CU125" i="11"/>
  <c r="CU124" i="11"/>
  <c r="CU123" i="11"/>
  <c r="CU113" i="11"/>
  <c r="CU112" i="11"/>
  <c r="CU111" i="11"/>
  <c r="CU110" i="11"/>
  <c r="CU109" i="11"/>
  <c r="CU106" i="11"/>
  <c r="CU105" i="11"/>
  <c r="CU104" i="11"/>
  <c r="CU101" i="11"/>
  <c r="CU98" i="11"/>
  <c r="CU95" i="11"/>
  <c r="CU94" i="11"/>
  <c r="CU93" i="11"/>
  <c r="CU90" i="11"/>
  <c r="CU87" i="11"/>
  <c r="CU84" i="11"/>
  <c r="CU83" i="11"/>
  <c r="CU82" i="11"/>
  <c r="CU79" i="11"/>
  <c r="CU76" i="11"/>
  <c r="CU73" i="11"/>
  <c r="CU72" i="11"/>
  <c r="CU71" i="11"/>
  <c r="CU68" i="11"/>
  <c r="CU65" i="11"/>
  <c r="CU62" i="11"/>
  <c r="CU61" i="11"/>
  <c r="CU60" i="11"/>
  <c r="CU57" i="11"/>
  <c r="CU54" i="11"/>
  <c r="CU51" i="11"/>
  <c r="CU50" i="11"/>
  <c r="CU49" i="11"/>
  <c r="CU46" i="11"/>
  <c r="CU43" i="11"/>
  <c r="CU40" i="11"/>
  <c r="CU39" i="11"/>
  <c r="CU38" i="11"/>
  <c r="CU35" i="11"/>
  <c r="CU32" i="11"/>
  <c r="CU29" i="11"/>
  <c r="CU28" i="11"/>
  <c r="CU27" i="11"/>
  <c r="CU24" i="11"/>
  <c r="CU21" i="11"/>
  <c r="CU18" i="11"/>
  <c r="CU17" i="11"/>
  <c r="CU16" i="11"/>
  <c r="CU13" i="11"/>
  <c r="CU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U120" i="11"/>
  <c r="CU119" i="11"/>
  <c r="CU118" i="11"/>
  <c r="CU117" i="11"/>
  <c r="CU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U146" i="14"/>
  <c r="CU114" i="14"/>
  <c r="AA160" i="15"/>
  <c r="CU153" i="14"/>
  <c r="CU128" i="14"/>
  <c r="CU121" i="14"/>
  <c r="CU128" i="15"/>
  <c r="CU114" i="15"/>
  <c r="CU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U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U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U11" i="15"/>
  <c r="CU15" i="15"/>
  <c r="CU14" i="15" l="1"/>
  <c r="CU19" i="15"/>
  <c r="CU131" i="15" l="1"/>
  <c r="CU135" i="15"/>
  <c r="CU134" i="15" l="1"/>
  <c r="CU146" i="15"/>
  <c r="CU153" i="15"/>
  <c r="CU139" i="15" l="1"/>
  <c r="CU160" i="15"/>
  <c r="CU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U128" i="11"/>
  <c r="CU121" i="11"/>
  <c r="CU114" i="11"/>
  <c r="CU19" i="11" l="1"/>
  <c r="CU139" i="11"/>
  <c r="CU182" i="11"/>
  <c r="CU12" i="11"/>
  <c r="CU15" i="11"/>
  <c r="CU153" i="11"/>
  <c r="CU146" i="11"/>
  <c r="Y196" i="13"/>
  <c r="AA222" i="11" l="1"/>
  <c r="AA219" i="11"/>
  <c r="CU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U12" i="14"/>
  <c r="CU15" i="14"/>
  <c r="CU135" i="14"/>
  <c r="CU132" i="14"/>
  <c r="CU19" i="14" l="1"/>
  <c r="CU182" i="14"/>
  <c r="CU11" i="14"/>
  <c r="CU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U131" i="14" l="1"/>
  <c r="CU139" i="14"/>
  <c r="AA222" i="13"/>
  <c r="AA219" i="13"/>
  <c r="AA221" i="14"/>
  <c r="AA218" i="14"/>
  <c r="AA221" i="15"/>
  <c r="AA218" i="15"/>
  <c r="CU134" i="14"/>
  <c r="Z219" i="15"/>
  <c r="Z134" i="14"/>
  <c r="Z222" i="14"/>
  <c r="Z131" i="14"/>
  <c r="Z219" i="14"/>
  <c r="CU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U25" i="13"/>
  <c r="CU22" i="13"/>
  <c r="CU23" i="13" l="1"/>
  <c r="CU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U36" i="13"/>
  <c r="CU33" i="13"/>
  <c r="CU25" i="11"/>
  <c r="CU22" i="11"/>
  <c r="CU23" i="15"/>
  <c r="CU23" i="14"/>
  <c r="CU26" i="14"/>
  <c r="CU26" i="15"/>
  <c r="CU34" i="13" l="1"/>
  <c r="CU37" i="13"/>
  <c r="CU30" i="14"/>
  <c r="CU22" i="14"/>
  <c r="CU25" i="14"/>
  <c r="CU22" i="15"/>
  <c r="CU30" i="15"/>
  <c r="CU26" i="11"/>
  <c r="CU25" i="15"/>
  <c r="CU23" i="11"/>
  <c r="CU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U33" i="11"/>
  <c r="CU36" i="11"/>
  <c r="CU47" i="13"/>
  <c r="CU34" i="15"/>
  <c r="CU37" i="14"/>
  <c r="CU37" i="15"/>
  <c r="CU34" i="14"/>
  <c r="CU48" i="13" l="1"/>
  <c r="CU36" i="14"/>
  <c r="CU33" i="15"/>
  <c r="CU41" i="15"/>
  <c r="CU41" i="14"/>
  <c r="CU33" i="14"/>
  <c r="CU36" i="15"/>
  <c r="CU37" i="11"/>
  <c r="CU41" i="11"/>
  <c r="CU34" i="11"/>
  <c r="A53" i="13"/>
  <c r="A53" i="15"/>
  <c r="A53" i="14"/>
  <c r="A53" i="11"/>
  <c r="CU44" i="13"/>
  <c r="CU47" i="11"/>
  <c r="CU44" i="11"/>
  <c r="CU55" i="13"/>
  <c r="CU45" i="14"/>
  <c r="CU45" i="15"/>
  <c r="CU48" i="15"/>
  <c r="CU48" i="14"/>
  <c r="CU45" i="13" l="1"/>
  <c r="CU56" i="13"/>
  <c r="CU44" i="15"/>
  <c r="CU52" i="15"/>
  <c r="CU47" i="15"/>
  <c r="CU52" i="14"/>
  <c r="CU44" i="14"/>
  <c r="CU45" i="11"/>
  <c r="CU52" i="11"/>
  <c r="CU48" i="11"/>
  <c r="CU47" i="14"/>
  <c r="A64" i="13"/>
  <c r="A64" i="15"/>
  <c r="A64" i="14"/>
  <c r="A64" i="11"/>
  <c r="CU55" i="11"/>
  <c r="CU58" i="11"/>
  <c r="CU58" i="13"/>
  <c r="CU69" i="13"/>
  <c r="CU59" i="14"/>
  <c r="CU56" i="14"/>
  <c r="CU56" i="15"/>
  <c r="CU59" i="15"/>
  <c r="CU59" i="13" l="1"/>
  <c r="CU70" i="13"/>
  <c r="CU58" i="15"/>
  <c r="CU58" i="14"/>
  <c r="CU63" i="11"/>
  <c r="CU56" i="11"/>
  <c r="CU55" i="15"/>
  <c r="CU63" i="15"/>
  <c r="CU59" i="11"/>
  <c r="CU63" i="14"/>
  <c r="CU55" i="14"/>
  <c r="A75" i="13"/>
  <c r="A75" i="15"/>
  <c r="A75" i="14"/>
  <c r="A75" i="11"/>
  <c r="CU66" i="13"/>
  <c r="CU66" i="11"/>
  <c r="CU69" i="11"/>
  <c r="CU80" i="13"/>
  <c r="CU70" i="14"/>
  <c r="CU67" i="14"/>
  <c r="CU67" i="15"/>
  <c r="CU70" i="15"/>
  <c r="CU67" i="13" l="1"/>
  <c r="CU81" i="13"/>
  <c r="CU74" i="11"/>
  <c r="CU67" i="11"/>
  <c r="CU66" i="15"/>
  <c r="CU74" i="15"/>
  <c r="CU69" i="14"/>
  <c r="CU69" i="15"/>
  <c r="CU70" i="11"/>
  <c r="CU74" i="14"/>
  <c r="CU66" i="14"/>
  <c r="A86" i="13"/>
  <c r="A86" i="15"/>
  <c r="A86" i="14"/>
  <c r="A86" i="11"/>
  <c r="C139" i="11"/>
  <c r="C121" i="11"/>
  <c r="BI130" i="11"/>
  <c r="BI139" i="11" s="1"/>
  <c r="CU80" i="11"/>
  <c r="CU77" i="13"/>
  <c r="CU77" i="11"/>
  <c r="CU91" i="13"/>
  <c r="CU78" i="15"/>
  <c r="CU78" i="14"/>
  <c r="CU81" i="15"/>
  <c r="CU81" i="14"/>
  <c r="CU78" i="13" l="1"/>
  <c r="CU92" i="13"/>
  <c r="CU80" i="14"/>
  <c r="CU77" i="14"/>
  <c r="CU85" i="14"/>
  <c r="CU77" i="15"/>
  <c r="CU85" i="15"/>
  <c r="CU85" i="11"/>
  <c r="CU78" i="11"/>
  <c r="CU81" i="11"/>
  <c r="CU80" i="15"/>
  <c r="A97" i="13"/>
  <c r="A97" i="15"/>
  <c r="A97" i="14"/>
  <c r="A97" i="11"/>
  <c r="BI116" i="11"/>
  <c r="BI121" i="11" s="1"/>
  <c r="CU88" i="11"/>
  <c r="CU88" i="13"/>
  <c r="CU91" i="11"/>
  <c r="CU102" i="13"/>
  <c r="CU92" i="15"/>
  <c r="CU92" i="14"/>
  <c r="CU89" i="14"/>
  <c r="CU89" i="15"/>
  <c r="CU89" i="13" l="1"/>
  <c r="CU103" i="13"/>
  <c r="CU89" i="11"/>
  <c r="CU96" i="11"/>
  <c r="CU91" i="14"/>
  <c r="CU96" i="14"/>
  <c r="CU88" i="14"/>
  <c r="CU91" i="15"/>
  <c r="CU88" i="15"/>
  <c r="CU96" i="15"/>
  <c r="CU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U102" i="11"/>
  <c r="CU99" i="11"/>
  <c r="CU99" i="13"/>
  <c r="CU134" i="13"/>
  <c r="CU103" i="14"/>
  <c r="CU103" i="15"/>
  <c r="CU100" i="14"/>
  <c r="CU100" i="15"/>
  <c r="CU100" i="13" l="1"/>
  <c r="CU135" i="13"/>
  <c r="CU103" i="11"/>
  <c r="CU102" i="15"/>
  <c r="CU99" i="15"/>
  <c r="CU107" i="15"/>
  <c r="CU102" i="14"/>
  <c r="CU100" i="11"/>
  <c r="CU107" i="11"/>
  <c r="CU99" i="14"/>
  <c r="CU107" i="14"/>
  <c r="A140" i="13"/>
  <c r="A115" i="15"/>
  <c r="A115" i="14"/>
  <c r="A140" i="11"/>
  <c r="CU131" i="11"/>
  <c r="CU131" i="13"/>
  <c r="CU134" i="11"/>
  <c r="CU132" i="13" l="1"/>
  <c r="CU135" i="11"/>
  <c r="CU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U163" i="13"/>
  <c r="CU164" i="13" l="1"/>
  <c r="A172" i="13"/>
  <c r="A147" i="15"/>
  <c r="A147" i="14"/>
  <c r="A172" i="11"/>
  <c r="CU177" i="13"/>
  <c r="CU166" i="13"/>
  <c r="CU174" i="13"/>
  <c r="CU177" i="11"/>
  <c r="CU174" i="11"/>
  <c r="CU163" i="11"/>
  <c r="CU166" i="11"/>
  <c r="CU167" i="13" l="1"/>
  <c r="CU175" i="13"/>
  <c r="CU178" i="13"/>
  <c r="CU171" i="11"/>
  <c r="CU164" i="11"/>
  <c r="CU167" i="11"/>
  <c r="A194" i="13"/>
  <c r="A154" i="15"/>
  <c r="A161" i="15" s="1"/>
  <c r="A154" i="14"/>
  <c r="A194" i="11"/>
  <c r="CU199" i="13"/>
  <c r="CU167" i="15"/>
  <c r="CU178" i="11" l="1"/>
  <c r="Z167" i="15"/>
  <c r="Z166" i="15" s="1"/>
  <c r="CU175" i="11"/>
  <c r="CU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U196" i="13"/>
  <c r="CU196" i="11"/>
  <c r="CU199" i="11"/>
  <c r="CU210" i="13"/>
  <c r="CU178" i="15"/>
  <c r="CU167" i="14"/>
  <c r="CU164" i="15"/>
  <c r="CU177" i="15" l="1"/>
  <c r="CU197" i="13"/>
  <c r="CU211" i="13"/>
  <c r="Z164" i="15"/>
  <c r="Z163" i="15" s="1"/>
  <c r="CU200" i="11"/>
  <c r="CU166" i="15"/>
  <c r="CU204" i="11"/>
  <c r="CU197" i="11"/>
  <c r="CU163" i="15"/>
  <c r="CU171" i="15"/>
  <c r="A216" i="13"/>
  <c r="A194" i="15"/>
  <c r="A172" i="14"/>
  <c r="BI155" i="13"/>
  <c r="BI160" i="13" s="1"/>
  <c r="BI130" i="13"/>
  <c r="BI139" i="13" s="1"/>
  <c r="CU207" i="13"/>
  <c r="CU207" i="11"/>
  <c r="CU210" i="11"/>
  <c r="CU175" i="15"/>
  <c r="CU164" i="14"/>
  <c r="CU178" i="14"/>
  <c r="CU200" i="15"/>
  <c r="CU175" i="14"/>
  <c r="CU174" i="15" l="1"/>
  <c r="CU208" i="13"/>
  <c r="CU177" i="14"/>
  <c r="CU174" i="14"/>
  <c r="CU171" i="14"/>
  <c r="CU211" i="11"/>
  <c r="CU166" i="14"/>
  <c r="CU215" i="11"/>
  <c r="CU208" i="11"/>
  <c r="A205" i="15"/>
  <c r="A194" i="14"/>
  <c r="CU197" i="15"/>
  <c r="CU200" i="14"/>
  <c r="CU211" i="15"/>
  <c r="CU210" i="15" l="1"/>
  <c r="A216" i="15"/>
  <c r="CU196" i="15"/>
  <c r="CU204" i="15"/>
  <c r="CU199" i="15"/>
  <c r="A205" i="14"/>
  <c r="A216" i="14" s="1"/>
  <c r="CU197" i="14"/>
  <c r="CU208" i="15"/>
  <c r="CU207" i="15" l="1"/>
  <c r="CU215" i="15"/>
  <c r="CU199" i="14"/>
  <c r="CU204" i="14"/>
  <c r="CU196" i="14"/>
  <c r="CU163" i="14"/>
  <c r="Z163" i="14"/>
  <c r="CU208" i="14"/>
  <c r="CU211" i="14"/>
  <c r="CU210" i="14" l="1"/>
  <c r="CU215" i="14"/>
  <c r="CU207" i="14"/>
  <c r="CB226" i="15"/>
  <c r="CB226" i="15" a="1"/>
  <c r="CD226" i="15"/>
  <c r="CD226" i="15" a="1"/>
  <c r="CC226" i="15"/>
  <c r="CC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<sst xmlns="http://schemas.openxmlformats.org/spreadsheetml/2006/main" count="2202" uniqueCount="226">
  <si>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</si>
  <si>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</si>
  <si>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</si>
  <si>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</si>
  <si>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</si>
  <si>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</si>
  <si>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</si>
  <si>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</si>
  <si>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</si>
  <si>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</si>
  <si>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</si>
  <si>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</si>
  <si>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</si>
  <si>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</si>
  <si>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</si>
  <si>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</si>
  <si>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</si>
  <si>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</si>
  <si>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</si>
  <si>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</si>
  <si>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</si>
  <si>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</si>
  <si>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</si>
  <si>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</si>
  <si>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</si>
  <si>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</si>
  <si>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</si>
  <si>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</si>
  <si>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</si>
  <si>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</si>
  <si>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</si>
  <si>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</si>
  <si>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</si>
  <si>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</si>
  <si>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</si>
  <si>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</si>
  <si>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</si>
  <si>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</si>
  <si>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</si>
  <si>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</si>
  <si>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</si>
  <si>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</si>
  <si>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</si>
  <si>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</si>
  <si>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</si>
  <si>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</si>
  <si>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</si>
  <si>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</si>
  <si>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</si>
  <si>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</si>
  <si>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</si>
  <si>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</si>
  <si>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</si>
  <si>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</si>
  <si>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</si>
  <si>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</si>
  <si>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</si>
  <si>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</si>
  <si>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</si>
  <si>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</si>
  <si>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</si>
  <si>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</si>
  <si>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</si>
  <si>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</si>
  <si>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</si>
  <si>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</si>
  <si>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</si>
  <si>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</si>
  <si>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</si>
  <si>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</si>
  <si>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</si>
  <si>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</si>
  <si>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</si>
  <si>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</si>
  <si>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</si>
  <si>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</si>
  <si>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</si>
  <si>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</si>
  <si>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</si>
  <si>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</si>
  <si>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</si>
  <si>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</si>
  <si>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</si>
  <si>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</si>
  <si>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</si>
  <si>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</si>
  <si>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</si>
  <si>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</si>
  <si>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</si>
  <si>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</si>
  <si>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</si>
  <si>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</si>
  <si>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</si>
  <si>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</si>
  <si>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</si>
  <si>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</si>
  <si>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</si>
  <si>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</si>
  <si>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</si>
  <si>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</si>
  <si>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</si>
  <si>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</si>
  <si>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</si>
  <si>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</si>
  <si>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</si>
  <si>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</si>
  <si>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</si>
  <si>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</si>
  <si>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</si>
  <si>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</si>
  <si>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</si>
  <si>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</si>
  <si>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</si>
  <si>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</si>
  <si>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</si>
  <si>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</si>
  <si>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</si>
  <si>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</si>
  <si>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</si>
  <si>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</si>
  <si>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</si>
  <si>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</si>
  <si>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</si>
  <si>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</si>
  <si>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</si>
  <si>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</si>
  <si>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</si>
  <si>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</si>
  <si>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</si>
  <si>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</si>
  <si>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</si>
  <si>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</si>
  <si>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</si>
  <si>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</si>
  <si>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</si>
  <si>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</si>
  <si>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</si>
  <si>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</si>
  <si>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</si>
  <si>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</si>
  <si>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</si>
  <si>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</si>
  <si>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</si>
  <si>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</si>
  <si>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</si>
  <si>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</si>
  <si>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</si>
  <si>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</si>
  <si>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</si>
  <si>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</si>
  <si>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</si>
  <si>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</si>
  <si>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</si>
  <si>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</si>
  <si>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</si>
  <si>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</si>
  <si>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</si>
  <si>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</si>
  <si>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</si>
  <si>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</si>
  <si>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</si>
  <si>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</si>
  <si>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</si>
  <si>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</si>
  <si>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</si>
  <si>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</si>
  <si>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</si>
  <si>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</si>
  <si>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</si>
  <si>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</si>
  <si>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</si>
  <si>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</si>
  <si>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</si>
  <si>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</si>
  <si>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</si>
  <si>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</si>
  <si>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</si>
  <si>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</si>
  <si>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</si>
  <si>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</si>
  <si>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</si>
  <si>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</si>
  <si>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</si>
  <si>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</si>
  <si>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</si>
  <si>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</si>
  <si>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</si>
  <si>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</si>
  <si>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</si>
  <si>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</si>
  <si>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</si>
  <si>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</si>
  <si>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</si>
  <si>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</si>
  <si>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</si>
  <si>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</si>
  <si>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</si>
  <si>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</si>
  <si>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</si>
  <si>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</si>
  <si>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</si>
  <si>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</si>
  <si>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</si>
  <si>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</si>
  <si>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</si>
  <si>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</si>
  <si>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</si>
  <si>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</si>
  <si>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</si>
  <si>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</si>
  <si>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</si>
  <si>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</si>
  <si>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</si>
  <si>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</si>
  <si>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</si>
  <si>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</si>
  <si>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</si>
  <si>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</si>
  <si>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</si>
  <si>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</si>
  <si>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</si>
  <si>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</si>
  <si>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 xml:space="preserve">March </t>
  </si>
  <si>
    <t>March 22-23</t>
  </si>
  <si>
    <r>
      <t>Monthly filing for March 2023 with Supply data for NCLC (</t>
    </r>
    <r>
      <rPr>
        <i/>
        <sz val="11"/>
        <color rgb="FFFF0000"/>
        <rFont val="Calibri"/>
        <family val="2"/>
        <scheme val="minor"/>
      </rPr>
      <t>Lines 10-18 Revised 3/21/23 for months of November 22- Feb 23)</t>
    </r>
  </si>
  <si>
    <t>Monthly filing for March 2023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</si>
</sst>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8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26.444705555557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3-26T00:00:00" count="21">
        <d v="2023-03-25T00:00:00"/>
        <m/>
        <d v="2022-08-27T00:00:00" u="1"/>
        <d v="2021-09-25T00:00:00" u="1"/>
        <d v="2021-10-30T00:00:00" u="1"/>
        <d v="2022-03-26T00:00:00" u="1"/>
        <d v="2022-02-26T00:00:00" u="1"/>
        <d v="2023-01-07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49990942"/>
    </cacheField>
    <cacheField name="TRIM_CAT" numFmtId="0">
      <sharedItems containsBlank="1" count="6">
        <s v="Resdiential-GRID"/>
        <s v="Low Income Resdiential-GRID"/>
        <s v="Low Income Resdiential-ESCO"/>
        <s v="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26.459732060182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3-26T00:00:00" count="27">
        <d v="2023-03-25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1-05-01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6888414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4167"/>
    <x v="0"/>
    <x v="0"/>
  </r>
  <r>
    <s v="LINE 1"/>
    <x v="0"/>
    <x v="0"/>
    <s v="2-Low Income Resdiential-GRID"/>
    <n v="69553"/>
    <x v="1"/>
    <x v="0"/>
  </r>
  <r>
    <s v="LINE 1"/>
    <x v="0"/>
    <x v="1"/>
    <s v="1-Resdiential-GRID"/>
    <n v="182932"/>
    <x v="0"/>
    <x v="0"/>
  </r>
  <r>
    <s v="LINE 1"/>
    <x v="0"/>
    <x v="0"/>
    <s v="2-Low Income Resdiential-ESCO"/>
    <n v="1778"/>
    <x v="2"/>
    <x v="0"/>
  </r>
  <r>
    <s v="LINE 1"/>
    <x v="0"/>
    <x v="1"/>
    <s v="2-Low Income Resdiential-ESCO"/>
    <n v="246"/>
    <x v="2"/>
    <x v="0"/>
  </r>
  <r>
    <s v="LINE 1"/>
    <x v="0"/>
    <x v="0"/>
    <s v="1-Resdiential-ESCO"/>
    <n v="10402"/>
    <x v="3"/>
    <x v="0"/>
  </r>
  <r>
    <s v="LINE 1"/>
    <x v="0"/>
    <x v="1"/>
    <s v="1-Resdiential-ESCO"/>
    <n v="2125"/>
    <x v="3"/>
    <x v="0"/>
  </r>
  <r>
    <s v="LINE 1"/>
    <x v="0"/>
    <x v="1"/>
    <s v="2-Low Income Resdiential-GRID"/>
    <n v="15660"/>
    <x v="1"/>
    <x v="0"/>
  </r>
  <r>
    <s v="LINE 2"/>
    <x v="0"/>
    <x v="0"/>
    <s v="1-Resdiential-GRID"/>
    <n v="99255"/>
    <x v="0"/>
    <x v="1"/>
  </r>
  <r>
    <s v="LINE 2"/>
    <x v="0"/>
    <x v="0"/>
    <s v="1-Resdiential-ESCO"/>
    <n v="1693"/>
    <x v="3"/>
    <x v="1"/>
  </r>
  <r>
    <s v="LINE 2"/>
    <x v="0"/>
    <x v="1"/>
    <s v="1-Resdiential-ESCO"/>
    <n v="216"/>
    <x v="3"/>
    <x v="1"/>
  </r>
  <r>
    <s v="LINE 2"/>
    <x v="0"/>
    <x v="1"/>
    <s v="2-Low Income Resdiential-GRID"/>
    <n v="6102"/>
    <x v="1"/>
    <x v="1"/>
  </r>
  <r>
    <s v="LINE 2"/>
    <x v="0"/>
    <x v="0"/>
    <s v="2-Low Income Resdiential-GRID"/>
    <n v="31871"/>
    <x v="1"/>
    <x v="1"/>
  </r>
  <r>
    <s v="LINE 2"/>
    <x v="0"/>
    <x v="1"/>
    <s v="1-Resdiential-GRID"/>
    <n v="23597"/>
    <x v="0"/>
    <x v="1"/>
  </r>
  <r>
    <s v="LINE 2"/>
    <x v="0"/>
    <x v="0"/>
    <s v="2-Low Income Resdiential-ESCO"/>
    <n v="531"/>
    <x v="2"/>
    <x v="1"/>
  </r>
  <r>
    <s v="LINE 2"/>
    <x v="0"/>
    <x v="1"/>
    <s v="2-Low Income Resdiential-ESCO"/>
    <n v="55"/>
    <x v="2"/>
    <x v="1"/>
  </r>
  <r>
    <s v="LINE 3"/>
    <x v="0"/>
    <x v="0"/>
    <s v="1-Resdiential-GRID"/>
    <n v="40333"/>
    <x v="0"/>
    <x v="2"/>
  </r>
  <r>
    <s v="LINE 3"/>
    <x v="0"/>
    <x v="0"/>
    <s v="2-Low Income Resdiential-GRID"/>
    <n v="6122"/>
    <x v="1"/>
    <x v="2"/>
  </r>
  <r>
    <s v="LINE 3"/>
    <x v="0"/>
    <x v="1"/>
    <s v="1-Resdiential-GRID"/>
    <n v="10387"/>
    <x v="0"/>
    <x v="2"/>
  </r>
  <r>
    <s v="LINE 3"/>
    <x v="0"/>
    <x v="0"/>
    <s v="2-Low Income Resdiential-ESCO"/>
    <n v="188"/>
    <x v="2"/>
    <x v="2"/>
  </r>
  <r>
    <s v="LINE 3"/>
    <x v="0"/>
    <x v="1"/>
    <s v="2-Low Income Resdiential-ESCO"/>
    <n v="30"/>
    <x v="2"/>
    <x v="2"/>
  </r>
  <r>
    <s v="LINE 3"/>
    <x v="0"/>
    <x v="0"/>
    <s v="1-Resdiential-ESCO"/>
    <n v="969"/>
    <x v="3"/>
    <x v="2"/>
  </r>
  <r>
    <s v="LINE 3"/>
    <x v="0"/>
    <x v="1"/>
    <s v="1-Resdiential-ESCO"/>
    <n v="99"/>
    <x v="3"/>
    <x v="2"/>
  </r>
  <r>
    <s v="LINE 3"/>
    <x v="0"/>
    <x v="1"/>
    <s v="2-Low Income Resdiential-GRID"/>
    <n v="1244"/>
    <x v="1"/>
    <x v="2"/>
  </r>
  <r>
    <s v="LINE 4"/>
    <x v="0"/>
    <x v="0"/>
    <s v="1-Resdiential-GRID"/>
    <n v="17107"/>
    <x v="0"/>
    <x v="3"/>
  </r>
  <r>
    <s v="LINE 4"/>
    <x v="0"/>
    <x v="0"/>
    <s v="2-Low Income Resdiential-GRID"/>
    <n v="3947"/>
    <x v="1"/>
    <x v="3"/>
  </r>
  <r>
    <s v="LINE 4"/>
    <x v="0"/>
    <x v="0"/>
    <s v="1-Resdiential-ESCO"/>
    <n v="288"/>
    <x v="3"/>
    <x v="3"/>
  </r>
  <r>
    <s v="LINE 4"/>
    <x v="0"/>
    <x v="1"/>
    <s v="1-Resdiential-ESCO"/>
    <n v="69"/>
    <x v="3"/>
    <x v="3"/>
  </r>
  <r>
    <s v="LINE 4"/>
    <x v="0"/>
    <x v="1"/>
    <s v="1-Resdiential-GRID"/>
    <n v="4264"/>
    <x v="0"/>
    <x v="3"/>
  </r>
  <r>
    <s v="LINE 4"/>
    <x v="0"/>
    <x v="1"/>
    <s v="2-Low Income Resdiential-GRID"/>
    <n v="758"/>
    <x v="1"/>
    <x v="3"/>
  </r>
  <r>
    <s v="LINE 4"/>
    <x v="0"/>
    <x v="0"/>
    <s v="2-Low Income Resdiential-ESCO"/>
    <n v="87"/>
    <x v="2"/>
    <x v="3"/>
  </r>
  <r>
    <s v="LINE 4"/>
    <x v="0"/>
    <x v="1"/>
    <s v="2-Low Income Resdiential-ESCO"/>
    <n v="8"/>
    <x v="2"/>
    <x v="3"/>
  </r>
  <r>
    <s v="LINE 5"/>
    <x v="0"/>
    <x v="0"/>
    <s v="1-Resdiential-GRID"/>
    <n v="41815"/>
    <x v="0"/>
    <x v="4"/>
  </r>
  <r>
    <s v="LINE 5"/>
    <x v="0"/>
    <x v="1"/>
    <s v="2-Low Income Resdiential-GRID"/>
    <n v="4100"/>
    <x v="1"/>
    <x v="4"/>
  </r>
  <r>
    <s v="LINE 5"/>
    <x v="0"/>
    <x v="0"/>
    <s v="2-Low Income Resdiential-GRID"/>
    <n v="21802"/>
    <x v="1"/>
    <x v="4"/>
  </r>
  <r>
    <s v="LINE 5"/>
    <x v="0"/>
    <x v="1"/>
    <s v="1-Resdiential-GRID"/>
    <n v="8946"/>
    <x v="0"/>
    <x v="4"/>
  </r>
  <r>
    <s v="LINE 5"/>
    <x v="0"/>
    <x v="0"/>
    <s v="2-Low Income Resdiential-ESCO"/>
    <n v="256"/>
    <x v="2"/>
    <x v="4"/>
  </r>
  <r>
    <s v="LINE 5"/>
    <x v="0"/>
    <x v="1"/>
    <s v="2-Low Income Resdiential-ESCO"/>
    <n v="17"/>
    <x v="2"/>
    <x v="4"/>
  </r>
  <r>
    <s v="LINE 5"/>
    <x v="0"/>
    <x v="0"/>
    <s v="1-Resdiential-ESCO"/>
    <n v="436"/>
    <x v="3"/>
    <x v="4"/>
  </r>
  <r>
    <s v="LINE 5"/>
    <x v="0"/>
    <x v="1"/>
    <s v="1-Resdiential-ESCO"/>
    <n v="48"/>
    <x v="3"/>
    <x v="4"/>
  </r>
  <r>
    <s v="LINE 6"/>
    <x v="0"/>
    <x v="1"/>
    <s v="2-Low Income Resdiential-GRID"/>
    <n v="1192479"/>
    <x v="1"/>
    <x v="5"/>
  </r>
  <r>
    <s v="LINE 6"/>
    <x v="0"/>
    <x v="0"/>
    <s v="1-Resdiential-GRID"/>
    <n v="23853000"/>
    <x v="0"/>
    <x v="5"/>
  </r>
  <r>
    <s v="LINE 6"/>
    <x v="0"/>
    <x v="0"/>
    <s v="2-Low Income Resdiential-GRID"/>
    <n v="7148269"/>
    <x v="1"/>
    <x v="5"/>
  </r>
  <r>
    <s v="LINE 6"/>
    <x v="0"/>
    <x v="1"/>
    <s v="1-Resdiential-GRID"/>
    <n v="5250415"/>
    <x v="0"/>
    <x v="5"/>
  </r>
  <r>
    <s v="LINE 6"/>
    <x v="0"/>
    <x v="0"/>
    <s v="2-Low Income Resdiential-ESCO"/>
    <n v="95800"/>
    <x v="2"/>
    <x v="5"/>
  </r>
  <r>
    <s v="LINE 6"/>
    <x v="0"/>
    <x v="1"/>
    <s v="2-Low Income Resdiential-ESCO"/>
    <n v="9697"/>
    <x v="2"/>
    <x v="5"/>
  </r>
  <r>
    <s v="LINE 6"/>
    <x v="0"/>
    <x v="0"/>
    <s v="1-Resdiential-ESCO"/>
    <n v="335767"/>
    <x v="3"/>
    <x v="5"/>
  </r>
  <r>
    <s v="LINE 6"/>
    <x v="0"/>
    <x v="1"/>
    <s v="1-Resdiential-ESCO"/>
    <n v="39014"/>
    <x v="3"/>
    <x v="5"/>
  </r>
  <r>
    <s v="LINE 7"/>
    <x v="0"/>
    <x v="0"/>
    <s v="1-Resdiential-GRID"/>
    <n v="12385730"/>
    <x v="0"/>
    <x v="6"/>
  </r>
  <r>
    <s v="LINE 7"/>
    <x v="0"/>
    <x v="0"/>
    <s v="2-Low Income Resdiential-GRID"/>
    <n v="5404580"/>
    <x v="1"/>
    <x v="6"/>
  </r>
  <r>
    <s v="LINE 7"/>
    <x v="0"/>
    <x v="0"/>
    <s v="1-Resdiential-ESCO"/>
    <n v="118795"/>
    <x v="3"/>
    <x v="6"/>
  </r>
  <r>
    <s v="LINE 7"/>
    <x v="0"/>
    <x v="1"/>
    <s v="1-Resdiential-ESCO"/>
    <n v="13037"/>
    <x v="3"/>
    <x v="6"/>
  </r>
  <r>
    <s v="LINE 7"/>
    <x v="0"/>
    <x v="1"/>
    <s v="1-Resdiential-GRID"/>
    <n v="2682888"/>
    <x v="0"/>
    <x v="6"/>
  </r>
  <r>
    <s v="LINE 7"/>
    <x v="0"/>
    <x v="1"/>
    <s v="2-Low Income Resdiential-GRID"/>
    <n v="880145"/>
    <x v="1"/>
    <x v="6"/>
  </r>
  <r>
    <s v="LINE 7"/>
    <x v="0"/>
    <x v="0"/>
    <s v="2-Low Income Resdiential-ESCO"/>
    <n v="61910"/>
    <x v="2"/>
    <x v="6"/>
  </r>
  <r>
    <s v="LINE 7"/>
    <x v="0"/>
    <x v="1"/>
    <s v="2-Low Income Resdiential-ESCO"/>
    <n v="4168"/>
    <x v="2"/>
    <x v="6"/>
  </r>
  <r>
    <s v="LINE 8"/>
    <x v="0"/>
    <x v="0"/>
    <s v="2-Low Income Resdiential-GRID"/>
    <n v="38666513"/>
    <x v="1"/>
    <x v="7"/>
  </r>
  <r>
    <s v="LINE 8"/>
    <x v="0"/>
    <x v="1"/>
    <s v="2-Low Income Resdiential-GRID"/>
    <n v="6416741"/>
    <x v="1"/>
    <x v="7"/>
  </r>
  <r>
    <s v="LINE 8"/>
    <x v="0"/>
    <x v="0"/>
    <s v="1-Resdiential-GRID"/>
    <n v="48598962"/>
    <x v="0"/>
    <x v="7"/>
  </r>
  <r>
    <s v="LINE 8"/>
    <x v="0"/>
    <x v="0"/>
    <s v="1-Resdiential-ESCO"/>
    <n v="473383"/>
    <x v="3"/>
    <x v="7"/>
  </r>
  <r>
    <s v="LINE 8"/>
    <x v="0"/>
    <x v="1"/>
    <s v="1-Resdiential-ESCO"/>
    <n v="16939"/>
    <x v="3"/>
    <x v="7"/>
  </r>
  <r>
    <s v="LINE 8"/>
    <x v="0"/>
    <x v="0"/>
    <s v="2-Low Income Resdiential-ESCO"/>
    <n v="426084"/>
    <x v="2"/>
    <x v="7"/>
  </r>
  <r>
    <s v="LINE 8"/>
    <x v="0"/>
    <x v="1"/>
    <s v="2-Low Income Resdiential-ESCO"/>
    <n v="23350"/>
    <x v="2"/>
    <x v="7"/>
  </r>
  <r>
    <s v="LINE 8"/>
    <x v="0"/>
    <x v="1"/>
    <s v="1-Resdiential-GRID"/>
    <n v="10976632"/>
    <x v="0"/>
    <x v="7"/>
  </r>
  <r>
    <s v="LINE 9"/>
    <x v="0"/>
    <x v="0"/>
    <s v="1-Resdiential-GRID"/>
    <n v="84837692"/>
    <x v="0"/>
    <x v="8"/>
  </r>
  <r>
    <s v="LINE 9"/>
    <x v="0"/>
    <x v="1"/>
    <s v="2-Low Income Resdiential-GRID"/>
    <n v="8489366"/>
    <x v="1"/>
    <x v="8"/>
  </r>
  <r>
    <s v="LINE 9"/>
    <x v="0"/>
    <x v="0"/>
    <s v="2-Low Income Resdiential-GRID"/>
    <n v="51219364"/>
    <x v="1"/>
    <x v="8"/>
  </r>
  <r>
    <s v="LINE 9"/>
    <x v="0"/>
    <x v="1"/>
    <s v="1-Resdiential-GRID"/>
    <n v="18909937"/>
    <x v="0"/>
    <x v="8"/>
  </r>
  <r>
    <s v="LINE 9"/>
    <x v="0"/>
    <x v="0"/>
    <s v="1-Resdiential-ESCO"/>
    <n v="927946"/>
    <x v="3"/>
    <x v="8"/>
  </r>
  <r>
    <s v="LINE 9"/>
    <x v="0"/>
    <x v="1"/>
    <s v="1-Resdiential-ESCO"/>
    <n v="68991"/>
    <x v="3"/>
    <x v="8"/>
  </r>
  <r>
    <s v="LINE 9"/>
    <x v="0"/>
    <x v="0"/>
    <s v="2-Low Income Resdiential-ESCO"/>
    <n v="583795"/>
    <x v="2"/>
    <x v="8"/>
  </r>
  <r>
    <s v="LINE 9"/>
    <x v="0"/>
    <x v="1"/>
    <s v="2-Low Income Resdiential-ESCO"/>
    <n v="37216"/>
    <x v="2"/>
    <x v="8"/>
  </r>
  <r>
    <s v="LINE 11"/>
    <x v="0"/>
    <x v="0"/>
    <s v="1-Resdiential-ESCO"/>
    <n v="1839635"/>
    <x v="3"/>
    <x v="9"/>
  </r>
  <r>
    <s v="LINE 11"/>
    <x v="0"/>
    <x v="1"/>
    <s v="1-Resdiential-ESCO"/>
    <n v="320219"/>
    <x v="3"/>
    <x v="9"/>
  </r>
  <r>
    <s v="LINE 11"/>
    <x v="0"/>
    <x v="0"/>
    <s v="1-Resdiential-GRID"/>
    <n v="149990942"/>
    <x v="0"/>
    <x v="9"/>
  </r>
  <r>
    <s v="LINE 11"/>
    <x v="0"/>
    <x v="1"/>
    <s v="1-Resdiential-GRID"/>
    <n v="41740529"/>
    <x v="0"/>
    <x v="9"/>
  </r>
  <r>
    <s v="LINE 11"/>
    <x v="0"/>
    <x v="0"/>
    <s v="2-Low Income Resdiential-ESCO"/>
    <n v="290810"/>
    <x v="2"/>
    <x v="9"/>
  </r>
  <r>
    <s v="LINE 11"/>
    <x v="0"/>
    <x v="1"/>
    <s v="2-Low Income Resdiential-ESCO"/>
    <n v="37494"/>
    <x v="2"/>
    <x v="9"/>
  </r>
  <r>
    <s v="LINE 11"/>
    <x v="0"/>
    <x v="0"/>
    <s v="2-Low Income Resdiential-GRID"/>
    <n v="18809286"/>
    <x v="1"/>
    <x v="9"/>
  </r>
  <r>
    <s v="LINE 11"/>
    <x v="0"/>
    <x v="1"/>
    <s v="2-Low Income Resdiential-GRID"/>
    <n v="4177638"/>
    <x v="1"/>
    <x v="9"/>
  </r>
  <r>
    <s v="LINE 12"/>
    <x v="0"/>
    <x v="1"/>
    <s v="1-Resdiential-GRID"/>
    <n v="7315"/>
    <x v="0"/>
    <x v="10"/>
  </r>
  <r>
    <s v="LINE 12"/>
    <x v="0"/>
    <x v="0"/>
    <s v="2-Low Income Resdiential-GRID"/>
    <n v="12175"/>
    <x v="1"/>
    <x v="10"/>
  </r>
  <r>
    <s v="LINE 12"/>
    <x v="0"/>
    <x v="1"/>
    <s v="2-Low Income Resdiential-GRID"/>
    <n v="814"/>
    <x v="1"/>
    <x v="10"/>
  </r>
  <r>
    <s v="LINE 12"/>
    <x v="0"/>
    <x v="0"/>
    <s v="1-Resdiential-GRID"/>
    <n v="41261"/>
    <x v="0"/>
    <x v="10"/>
  </r>
  <r>
    <s v="LINE 12"/>
    <x v="0"/>
    <x v="0"/>
    <s v="2-Low Income Resdiential-ESCO"/>
    <n v="259554"/>
    <x v="2"/>
    <x v="10"/>
  </r>
  <r>
    <s v="LINE 12"/>
    <x v="0"/>
    <x v="1"/>
    <s v="2-Low Income Resdiential-ESCO"/>
    <n v="45279"/>
    <x v="2"/>
    <x v="10"/>
  </r>
  <r>
    <s v="LINE 12"/>
    <x v="0"/>
    <x v="0"/>
    <s v="1-Resdiential-ESCO"/>
    <n v="1355552"/>
    <x v="3"/>
    <x v="10"/>
  </r>
  <r>
    <s v="LINE 12"/>
    <x v="0"/>
    <x v="1"/>
    <s v="1-Resdiential-ESCO"/>
    <n v="329648"/>
    <x v="3"/>
    <x v="10"/>
  </r>
  <r>
    <s v="LINE 17"/>
    <x v="0"/>
    <x v="0"/>
    <s v="2-Low Income Resdiential-ESCO"/>
    <n v="3"/>
    <x v="2"/>
    <x v="11"/>
  </r>
  <r>
    <s v="LINE 17"/>
    <x v="0"/>
    <x v="0"/>
    <s v="1-Resdiential-GRID"/>
    <n v="14"/>
    <x v="0"/>
    <x v="11"/>
  </r>
  <r>
    <s v="LINE 17"/>
    <x v="0"/>
    <x v="1"/>
    <s v="1-Resdiential-GRID"/>
    <n v="3"/>
    <x v="0"/>
    <x v="11"/>
  </r>
  <r>
    <s v="LINE 17"/>
    <x v="0"/>
    <x v="1"/>
    <s v="2-Low Income Resdiential-GRID"/>
    <n v="256"/>
    <x v="1"/>
    <x v="11"/>
  </r>
  <r>
    <s v="LINE 17"/>
    <x v="0"/>
    <x v="0"/>
    <s v="2-Low Income Resdiential-GRID"/>
    <n v="1271"/>
    <x v="1"/>
    <x v="11"/>
  </r>
  <r>
    <s v="LINE 18"/>
    <x v="0"/>
    <x v="0"/>
    <s v="1-Resdiential-GRID"/>
    <n v="92"/>
    <x v="0"/>
    <x v="12"/>
  </r>
  <r>
    <s v="LINE 18"/>
    <x v="0"/>
    <x v="1"/>
    <s v="1-Resdiential-GRID"/>
    <n v="18"/>
    <x v="0"/>
    <x v="12"/>
  </r>
  <r>
    <s v="LINE 18"/>
    <x v="0"/>
    <x v="0"/>
    <s v="2-Low Income Resdiential-GRID"/>
    <n v="2"/>
    <x v="1"/>
    <x v="12"/>
  </r>
  <r>
    <s v="LINE 99"/>
    <x v="0"/>
    <x v="0"/>
    <s v="1-Resdiential-GRID"/>
    <n v="29"/>
    <x v="0"/>
    <x v="13"/>
  </r>
  <r>
    <s v="LINE 99"/>
    <x v="0"/>
    <x v="1"/>
    <s v="1-Resdiential-GRID"/>
    <n v="7"/>
    <x v="0"/>
    <x v="13"/>
  </r>
  <r>
    <s v="LINE 99"/>
    <x v="0"/>
    <x v="0"/>
    <s v="2-Low Income Resdiential-ESCO"/>
    <n v="1"/>
    <x v="2"/>
    <x v="13"/>
  </r>
  <r>
    <s v="LINE 99"/>
    <x v="0"/>
    <x v="0"/>
    <s v="2-Low Income Resdiential-GRID"/>
    <n v="1"/>
    <x v="1"/>
    <x v="13"/>
  </r>
  <r>
    <s v="LINE 19"/>
    <x v="0"/>
    <x v="0"/>
    <s v="2-Low Income Resdiential-GRID"/>
    <n v="2492"/>
    <x v="1"/>
    <x v="14"/>
  </r>
  <r>
    <s v="LINE 19"/>
    <x v="0"/>
    <x v="0"/>
    <s v="1-Resdiential-ESCO"/>
    <n v="39"/>
    <x v="3"/>
    <x v="14"/>
  </r>
  <r>
    <s v="LINE 19"/>
    <x v="0"/>
    <x v="1"/>
    <s v="1-Resdiential-ESCO"/>
    <n v="9"/>
    <x v="3"/>
    <x v="14"/>
  </r>
  <r>
    <s v="LINE 19"/>
    <x v="0"/>
    <x v="0"/>
    <s v="1-Resdiential-GRID"/>
    <n v="5736"/>
    <x v="0"/>
    <x v="14"/>
  </r>
  <r>
    <s v="LINE 19"/>
    <x v="0"/>
    <x v="0"/>
    <s v="2-Low Income Resdiential-ESCO"/>
    <n v="12"/>
    <x v="2"/>
    <x v="14"/>
  </r>
  <r>
    <s v="LINE 19"/>
    <x v="0"/>
    <x v="1"/>
    <s v="2-Low Income Resdiential-GRID"/>
    <n v="500"/>
    <x v="1"/>
    <x v="14"/>
  </r>
  <r>
    <s v="LINE 19"/>
    <x v="0"/>
    <x v="1"/>
    <s v="1-Resdiential-GRID"/>
    <n v="1419"/>
    <x v="0"/>
    <x v="14"/>
  </r>
  <r>
    <s v="LINE 20"/>
    <x v="0"/>
    <x v="0"/>
    <s v="1-Resdiential-GRID"/>
    <n v="66965968"/>
    <x v="0"/>
    <x v="15"/>
  </r>
  <r>
    <s v="LINE 20"/>
    <x v="0"/>
    <x v="1"/>
    <s v="1-Resdiential-GRID"/>
    <n v="21015127"/>
    <x v="0"/>
    <x v="15"/>
  </r>
  <r>
    <s v="LINE 20"/>
    <x v="0"/>
    <x v="0"/>
    <s v="2-Low Income Resdiential-GRID"/>
    <n v="9263177"/>
    <x v="1"/>
    <x v="15"/>
  </r>
  <r>
    <s v="LINE 20"/>
    <x v="0"/>
    <x v="0"/>
    <s v="2-Low Income Resdiential-ESCO"/>
    <n v="229702"/>
    <x v="2"/>
    <x v="15"/>
  </r>
  <r>
    <s v="LINE 20"/>
    <x v="0"/>
    <x v="1"/>
    <s v="2-Low Income Resdiential-ESCO"/>
    <n v="34091"/>
    <x v="2"/>
    <x v="15"/>
  </r>
  <r>
    <s v="LINE 20"/>
    <x v="0"/>
    <x v="0"/>
    <s v="1-Resdiential-ESCO"/>
    <n v="1548485"/>
    <x v="3"/>
    <x v="15"/>
  </r>
  <r>
    <s v="LINE 20"/>
    <x v="0"/>
    <x v="1"/>
    <s v="1-Resdiential-ESCO"/>
    <n v="320430"/>
    <x v="3"/>
    <x v="15"/>
  </r>
  <r>
    <s v="LINE 20"/>
    <x v="0"/>
    <x v="1"/>
    <s v="2-Low Income Resdiential-GRID"/>
    <n v="1879019"/>
    <x v="1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288"/>
    <x v="0"/>
    <x v="0"/>
  </r>
  <r>
    <s v="LINE 1"/>
    <x v="0"/>
    <x v="0"/>
    <s v="1-Residential-GRID"/>
    <n v="1782"/>
    <x v="1"/>
    <x v="0"/>
  </r>
  <r>
    <s v="LINE 1"/>
    <x v="0"/>
    <x v="0"/>
    <s v="2-Low Income Residential-ESCO"/>
    <n v="108"/>
    <x v="2"/>
    <x v="0"/>
  </r>
  <r>
    <s v="LINE 1"/>
    <x v="0"/>
    <x v="0"/>
    <s v="2-Low Income Residential-GRID"/>
    <n v="41"/>
    <x v="3"/>
    <x v="0"/>
  </r>
  <r>
    <s v="LINE 1"/>
    <x v="0"/>
    <x v="1"/>
    <s v="1-Residential-ESCO"/>
    <n v="544288"/>
    <x v="0"/>
    <x v="0"/>
  </r>
  <r>
    <s v="LINE 1"/>
    <x v="0"/>
    <x v="1"/>
    <s v="1-Residential-GRID"/>
    <n v="457435"/>
    <x v="1"/>
    <x v="0"/>
  </r>
  <r>
    <s v="LINE 1"/>
    <x v="0"/>
    <x v="1"/>
    <s v="2-Low Income Residential-ESCO"/>
    <n v="81395"/>
    <x v="2"/>
    <x v="0"/>
  </r>
  <r>
    <s v="LINE 1"/>
    <x v="0"/>
    <x v="1"/>
    <s v="2-Low Income Residential-GRID"/>
    <n v="72018"/>
    <x v="3"/>
    <x v="0"/>
  </r>
  <r>
    <s v="LINE 2"/>
    <x v="0"/>
    <x v="0"/>
    <s v="1-Residential-ESCO"/>
    <n v="899"/>
    <x v="0"/>
    <x v="1"/>
  </r>
  <r>
    <s v="LINE 2"/>
    <x v="0"/>
    <x v="0"/>
    <s v="1-Residential-GRID"/>
    <n v="199"/>
    <x v="1"/>
    <x v="1"/>
  </r>
  <r>
    <s v="LINE 2"/>
    <x v="0"/>
    <x v="0"/>
    <s v="2-Low Income Residential-ESCO"/>
    <n v="30"/>
    <x v="2"/>
    <x v="1"/>
  </r>
  <r>
    <s v="LINE 2"/>
    <x v="0"/>
    <x v="0"/>
    <s v="2-Low Income Residential-GRID"/>
    <n v="8"/>
    <x v="3"/>
    <x v="1"/>
  </r>
  <r>
    <s v="LINE 2"/>
    <x v="0"/>
    <x v="1"/>
    <s v="1-Residential-ESCO"/>
    <n v="91762"/>
    <x v="0"/>
    <x v="1"/>
  </r>
  <r>
    <s v="LINE 2"/>
    <x v="0"/>
    <x v="1"/>
    <s v="1-Residential-GRID"/>
    <n v="86111"/>
    <x v="1"/>
    <x v="1"/>
  </r>
  <r>
    <s v="LINE 2"/>
    <x v="0"/>
    <x v="1"/>
    <s v="2-Low Income Residential-ESCO"/>
    <n v="35063"/>
    <x v="2"/>
    <x v="1"/>
  </r>
  <r>
    <s v="LINE 2"/>
    <x v="0"/>
    <x v="1"/>
    <s v="2-Low Income Residential-GRID"/>
    <n v="30791"/>
    <x v="3"/>
    <x v="1"/>
  </r>
  <r>
    <s v="LINE 3"/>
    <x v="0"/>
    <x v="0"/>
    <s v="1-Residential-ESCO"/>
    <n v="516"/>
    <x v="0"/>
    <x v="2"/>
  </r>
  <r>
    <s v="LINE 3"/>
    <x v="0"/>
    <x v="0"/>
    <s v="1-Residential-GRID"/>
    <n v="109"/>
    <x v="1"/>
    <x v="2"/>
  </r>
  <r>
    <s v="LINE 3"/>
    <x v="0"/>
    <x v="0"/>
    <s v="2-Low Income Residential-ESCO"/>
    <n v="7"/>
    <x v="2"/>
    <x v="2"/>
  </r>
  <r>
    <s v="LINE 3"/>
    <x v="0"/>
    <x v="0"/>
    <s v="2-Low Income Residential-GRID"/>
    <n v="3"/>
    <x v="3"/>
    <x v="2"/>
  </r>
  <r>
    <s v="LINE 3"/>
    <x v="0"/>
    <x v="1"/>
    <s v="1-Residential-ESCO"/>
    <n v="37404"/>
    <x v="0"/>
    <x v="2"/>
  </r>
  <r>
    <s v="LINE 3"/>
    <x v="0"/>
    <x v="1"/>
    <s v="1-Residential-GRID"/>
    <n v="35339"/>
    <x v="1"/>
    <x v="2"/>
  </r>
  <r>
    <s v="LINE 3"/>
    <x v="0"/>
    <x v="1"/>
    <s v="2-Low Income Residential-ESCO"/>
    <n v="6209"/>
    <x v="2"/>
    <x v="2"/>
  </r>
  <r>
    <s v="LINE 3"/>
    <x v="0"/>
    <x v="1"/>
    <s v="2-Low Income Residential-GRID"/>
    <n v="6500"/>
    <x v="3"/>
    <x v="2"/>
  </r>
  <r>
    <s v="LINE 4"/>
    <x v="0"/>
    <x v="0"/>
    <s v="1-Residential-ESCO"/>
    <n v="177"/>
    <x v="0"/>
    <x v="3"/>
  </r>
  <r>
    <s v="LINE 4"/>
    <x v="0"/>
    <x v="0"/>
    <s v="1-Residential-GRID"/>
    <n v="35"/>
    <x v="1"/>
    <x v="3"/>
  </r>
  <r>
    <s v="LINE 4"/>
    <x v="0"/>
    <x v="0"/>
    <s v="2-Low Income Residential-ESCO"/>
    <n v="8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4716"/>
    <x v="0"/>
    <x v="3"/>
  </r>
  <r>
    <s v="LINE 4"/>
    <x v="0"/>
    <x v="1"/>
    <s v="1-Residential-GRID"/>
    <n v="14960"/>
    <x v="1"/>
    <x v="3"/>
  </r>
  <r>
    <s v="LINE 4"/>
    <x v="0"/>
    <x v="1"/>
    <s v="2-Low Income Residential-ESCO"/>
    <n v="3843"/>
    <x v="2"/>
    <x v="3"/>
  </r>
  <r>
    <s v="LINE 4"/>
    <x v="0"/>
    <x v="1"/>
    <s v="2-Low Income Residential-GRID"/>
    <n v="4606"/>
    <x v="3"/>
    <x v="3"/>
  </r>
  <r>
    <s v="LINE 5"/>
    <x v="0"/>
    <x v="0"/>
    <s v="1-Residential-ESCO"/>
    <n v="206"/>
    <x v="0"/>
    <x v="4"/>
  </r>
  <r>
    <s v="LINE 5"/>
    <x v="0"/>
    <x v="0"/>
    <s v="1-Residential-GRID"/>
    <n v="55"/>
    <x v="1"/>
    <x v="4"/>
  </r>
  <r>
    <s v="LINE 5"/>
    <x v="0"/>
    <x v="0"/>
    <s v="2-Low Income Residential-ESCO"/>
    <n v="15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39642"/>
    <x v="0"/>
    <x v="4"/>
  </r>
  <r>
    <s v="LINE 5"/>
    <x v="0"/>
    <x v="1"/>
    <s v="1-Residential-GRID"/>
    <n v="35812"/>
    <x v="1"/>
    <x v="4"/>
  </r>
  <r>
    <s v="LINE 5"/>
    <x v="0"/>
    <x v="1"/>
    <s v="2-Low Income Residential-ESCO"/>
    <n v="25011"/>
    <x v="2"/>
    <x v="4"/>
  </r>
  <r>
    <s v="LINE 5"/>
    <x v="0"/>
    <x v="1"/>
    <s v="2-Low Income Residential-GRID"/>
    <n v="19685"/>
    <x v="3"/>
    <x v="4"/>
  </r>
  <r>
    <s v="LINE 6"/>
    <x v="0"/>
    <x v="0"/>
    <s v="1-Residential-ESCO"/>
    <n v="182876"/>
    <x v="0"/>
    <x v="5"/>
  </r>
  <r>
    <s v="LINE 6"/>
    <x v="0"/>
    <x v="0"/>
    <s v="1-Residential-GRID"/>
    <n v="81096"/>
    <x v="1"/>
    <x v="5"/>
  </r>
  <r>
    <s v="LINE 6"/>
    <x v="0"/>
    <x v="0"/>
    <s v="2-Low Income Residential-ESCO"/>
    <n v="6100"/>
    <x v="2"/>
    <x v="5"/>
  </r>
  <r>
    <s v="LINE 6"/>
    <x v="0"/>
    <x v="0"/>
    <s v="2-Low Income Residential-GRID"/>
    <n v="4109"/>
    <x v="3"/>
    <x v="5"/>
  </r>
  <r>
    <s v="LINE 6"/>
    <x v="0"/>
    <x v="1"/>
    <s v="1-Residential-ESCO"/>
    <n v="20608929"/>
    <x v="0"/>
    <x v="5"/>
  </r>
  <r>
    <s v="LINE 6"/>
    <x v="0"/>
    <x v="1"/>
    <s v="1-Residential-GRID"/>
    <n v="24735400"/>
    <x v="1"/>
    <x v="5"/>
  </r>
  <r>
    <s v="LINE 6"/>
    <x v="0"/>
    <x v="1"/>
    <s v="2-Low Income Residential-ESCO"/>
    <n v="6540342"/>
    <x v="2"/>
    <x v="5"/>
  </r>
  <r>
    <s v="LINE 6"/>
    <x v="0"/>
    <x v="1"/>
    <s v="2-Low Income Residential-GRID"/>
    <n v="7730946"/>
    <x v="3"/>
    <x v="5"/>
  </r>
  <r>
    <s v="LINE 7"/>
    <x v="0"/>
    <x v="0"/>
    <s v="1-Residential-ESCO"/>
    <n v="75944"/>
    <x v="0"/>
    <x v="6"/>
  </r>
  <r>
    <s v="LINE 7"/>
    <x v="0"/>
    <x v="0"/>
    <s v="1-Residential-GRID"/>
    <n v="36589"/>
    <x v="1"/>
    <x v="6"/>
  </r>
  <r>
    <s v="LINE 7"/>
    <x v="0"/>
    <x v="0"/>
    <s v="2-Low Income Residential-ESCO"/>
    <n v="4747"/>
    <x v="2"/>
    <x v="6"/>
  </r>
  <r>
    <s v="LINE 7"/>
    <x v="0"/>
    <x v="0"/>
    <s v="2-Low Income Residential-GRID"/>
    <n v="2208"/>
    <x v="3"/>
    <x v="6"/>
  </r>
  <r>
    <s v="LINE 7"/>
    <x v="0"/>
    <x v="1"/>
    <s v="1-Residential-ESCO"/>
    <n v="11701668"/>
    <x v="0"/>
    <x v="6"/>
  </r>
  <r>
    <s v="LINE 7"/>
    <x v="0"/>
    <x v="1"/>
    <s v="1-Residential-GRID"/>
    <n v="14536926"/>
    <x v="1"/>
    <x v="6"/>
  </r>
  <r>
    <s v="LINE 7"/>
    <x v="0"/>
    <x v="1"/>
    <s v="2-Low Income Residential-ESCO"/>
    <n v="5144028"/>
    <x v="2"/>
    <x v="6"/>
  </r>
  <r>
    <s v="LINE 7"/>
    <x v="0"/>
    <x v="1"/>
    <s v="2-Low Income Residential-GRID"/>
    <n v="6239078"/>
    <x v="3"/>
    <x v="6"/>
  </r>
  <r>
    <s v="LINE 8"/>
    <x v="0"/>
    <x v="0"/>
    <s v="1-Residential-ESCO"/>
    <n v="403838"/>
    <x v="0"/>
    <x v="7"/>
  </r>
  <r>
    <s v="LINE 8"/>
    <x v="0"/>
    <x v="0"/>
    <s v="1-Residential-GRID"/>
    <n v="61881"/>
    <x v="1"/>
    <x v="7"/>
  </r>
  <r>
    <s v="LINE 8"/>
    <x v="0"/>
    <x v="0"/>
    <s v="2-Low Income Residential-ESCO"/>
    <n v="29137"/>
    <x v="2"/>
    <x v="7"/>
  </r>
  <r>
    <s v="LINE 8"/>
    <x v="0"/>
    <x v="0"/>
    <s v="2-Low Income Residential-GRID"/>
    <n v="7619"/>
    <x v="3"/>
    <x v="7"/>
  </r>
  <r>
    <s v="LINE 8"/>
    <x v="0"/>
    <x v="1"/>
    <s v="1-Residential-ESCO"/>
    <n v="84577818"/>
    <x v="0"/>
    <x v="7"/>
  </r>
  <r>
    <s v="LINE 8"/>
    <x v="0"/>
    <x v="1"/>
    <s v="1-Residential-GRID"/>
    <n v="64971482"/>
    <x v="1"/>
    <x v="7"/>
  </r>
  <r>
    <s v="LINE 8"/>
    <x v="0"/>
    <x v="1"/>
    <s v="2-Low Income Residential-ESCO"/>
    <n v="52245966"/>
    <x v="2"/>
    <x v="7"/>
  </r>
  <r>
    <s v="LINE 8"/>
    <x v="0"/>
    <x v="1"/>
    <s v="2-Low Income Residential-GRID"/>
    <n v="35494457"/>
    <x v="3"/>
    <x v="7"/>
  </r>
  <r>
    <s v="LINE 9"/>
    <x v="0"/>
    <x v="0"/>
    <s v="1-Residential-ESCO"/>
    <n v="662657"/>
    <x v="0"/>
    <x v="8"/>
  </r>
  <r>
    <s v="LINE 9"/>
    <x v="0"/>
    <x v="0"/>
    <s v="1-Residential-GRID"/>
    <n v="179566"/>
    <x v="1"/>
    <x v="8"/>
  </r>
  <r>
    <s v="LINE 9"/>
    <x v="0"/>
    <x v="0"/>
    <s v="2-Low Income Residential-ESCO"/>
    <n v="39985"/>
    <x v="2"/>
    <x v="8"/>
  </r>
  <r>
    <s v="LINE 9"/>
    <x v="0"/>
    <x v="0"/>
    <s v="2-Low Income Residential-GRID"/>
    <n v="13936"/>
    <x v="3"/>
    <x v="8"/>
  </r>
  <r>
    <s v="LINE 9"/>
    <x v="0"/>
    <x v="1"/>
    <s v="1-Residential-ESCO"/>
    <n v="116888414"/>
    <x v="0"/>
    <x v="8"/>
  </r>
  <r>
    <s v="LINE 9"/>
    <x v="0"/>
    <x v="1"/>
    <s v="1-Residential-GRID"/>
    <n v="104243808"/>
    <x v="1"/>
    <x v="8"/>
  </r>
  <r>
    <s v="LINE 9"/>
    <x v="0"/>
    <x v="1"/>
    <s v="2-Low Income Residential-ESCO"/>
    <n v="63930337"/>
    <x v="2"/>
    <x v="8"/>
  </r>
  <r>
    <s v="LINE 9"/>
    <x v="0"/>
    <x v="1"/>
    <s v="2-Low Income Residential-GRID"/>
    <n v="49464481"/>
    <x v="3"/>
    <x v="8"/>
  </r>
  <r>
    <s v="LINE 13"/>
    <x v="0"/>
    <x v="0"/>
    <s v="1-Residential-ESCO"/>
    <n v="2175250"/>
    <x v="0"/>
    <x v="9"/>
  </r>
  <r>
    <s v="LINE 13"/>
    <x v="0"/>
    <x v="0"/>
    <s v="1-Residential-GRID"/>
    <n v="720450"/>
    <x v="1"/>
    <x v="9"/>
  </r>
  <r>
    <s v="LINE 13"/>
    <x v="0"/>
    <x v="0"/>
    <s v="2-Low Income Residential-ESCO"/>
    <n v="19298"/>
    <x v="2"/>
    <x v="9"/>
  </r>
  <r>
    <s v="LINE 13"/>
    <x v="0"/>
    <x v="0"/>
    <s v="2-Low Income Residential-GRID"/>
    <n v="11427"/>
    <x v="3"/>
    <x v="9"/>
  </r>
  <r>
    <s v="LINE 13"/>
    <x v="0"/>
    <x v="1"/>
    <s v="1-Residential-ESCO"/>
    <n v="108675963"/>
    <x v="0"/>
    <x v="9"/>
  </r>
  <r>
    <s v="LINE 13"/>
    <x v="0"/>
    <x v="1"/>
    <s v="1-Residential-GRID"/>
    <n v="114882963"/>
    <x v="1"/>
    <x v="9"/>
  </r>
  <r>
    <s v="LINE 13"/>
    <x v="0"/>
    <x v="1"/>
    <s v="2-Low Income Residential-ESCO"/>
    <n v="11688732"/>
    <x v="2"/>
    <x v="9"/>
  </r>
  <r>
    <s v="LINE 13"/>
    <x v="0"/>
    <x v="1"/>
    <s v="2-Low Income Residential-GRID"/>
    <n v="14150486"/>
    <x v="3"/>
    <x v="9"/>
  </r>
  <r>
    <s v="LINE 17"/>
    <x v="0"/>
    <x v="0"/>
    <s v="1-Residential-ESCO"/>
    <n v="5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10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783"/>
    <x v="0"/>
    <x v="10"/>
  </r>
  <r>
    <s v="LINE 17"/>
    <x v="0"/>
    <x v="1"/>
    <s v="1-Residential-GRID"/>
    <n v="887"/>
    <x v="1"/>
    <x v="10"/>
  </r>
  <r>
    <s v="LINE 17"/>
    <x v="0"/>
    <x v="1"/>
    <s v="2-Low Income Residential-ESCO"/>
    <n v="8039"/>
    <x v="2"/>
    <x v="10"/>
  </r>
  <r>
    <s v="LINE 17"/>
    <x v="0"/>
    <x v="1"/>
    <s v="2-Low Income Residential-GRID"/>
    <n v="7828"/>
    <x v="3"/>
    <x v="10"/>
  </r>
  <r>
    <s v="LINE 18"/>
    <x v="0"/>
    <x v="1"/>
    <s v="1-Residential-ESCO"/>
    <n v="218"/>
    <x v="0"/>
    <x v="11"/>
  </r>
  <r>
    <s v="LINE 18"/>
    <x v="0"/>
    <x v="1"/>
    <s v="1-Residential-GRID"/>
    <n v="150"/>
    <x v="1"/>
    <x v="11"/>
  </r>
  <r>
    <s v="LINE 18"/>
    <x v="0"/>
    <x v="1"/>
    <s v="2-Low Income Residential-ESCO"/>
    <n v="11"/>
    <x v="2"/>
    <x v="11"/>
  </r>
  <r>
    <s v="LINE 18"/>
    <x v="0"/>
    <x v="1"/>
    <s v="2-Low Income Residential-GRID"/>
    <n v="13"/>
    <x v="3"/>
    <x v="11"/>
  </r>
  <r>
    <s v="LINE 99"/>
    <x v="0"/>
    <x v="1"/>
    <s v="1-Residential-ESCO"/>
    <n v="200"/>
    <x v="0"/>
    <x v="12"/>
  </r>
  <r>
    <s v="LINE 99"/>
    <x v="0"/>
    <x v="1"/>
    <s v="1-Residential-GRID"/>
    <n v="145"/>
    <x v="1"/>
    <x v="12"/>
  </r>
  <r>
    <s v="LINE 99"/>
    <x v="0"/>
    <x v="1"/>
    <s v="2-Low Income Residential-ESCO"/>
    <n v="11"/>
    <x v="2"/>
    <x v="12"/>
  </r>
  <r>
    <s v="LINE 99"/>
    <x v="0"/>
    <x v="1"/>
    <s v="2-Low Income Residential-GRID"/>
    <n v="11"/>
    <x v="3"/>
    <x v="12"/>
  </r>
  <r>
    <s v="LINE 19"/>
    <x v="0"/>
    <x v="0"/>
    <s v="1-Residential-ESCO"/>
    <n v="45"/>
    <x v="0"/>
    <x v="13"/>
  </r>
  <r>
    <s v="LINE 19"/>
    <x v="0"/>
    <x v="0"/>
    <s v="1-Residential-GRID"/>
    <n v="6"/>
    <x v="1"/>
    <x v="13"/>
  </r>
  <r>
    <s v="LINE 19"/>
    <x v="0"/>
    <x v="0"/>
    <s v="2-Low Income Residential-ESCO"/>
    <n v="4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3525"/>
    <x v="0"/>
    <x v="13"/>
  </r>
  <r>
    <s v="LINE 19"/>
    <x v="0"/>
    <x v="1"/>
    <s v="1-Residential-GRID"/>
    <n v="12839"/>
    <x v="1"/>
    <x v="13"/>
  </r>
  <r>
    <s v="LINE 19"/>
    <x v="0"/>
    <x v="1"/>
    <s v="2-Low Income Residential-ESCO"/>
    <n v="3791"/>
    <x v="2"/>
    <x v="13"/>
  </r>
  <r>
    <s v="LINE 19"/>
    <x v="0"/>
    <x v="1"/>
    <s v="2-Low Income Residential-GRID"/>
    <n v="3624"/>
    <x v="3"/>
    <x v="13"/>
  </r>
  <r>
    <s v="LINE 20"/>
    <x v="0"/>
    <x v="0"/>
    <s v="1-Residential-ESCO"/>
    <n v="1115206"/>
    <x v="0"/>
    <x v="14"/>
  </r>
  <r>
    <s v="LINE 20"/>
    <x v="0"/>
    <x v="0"/>
    <s v="1-Residential-GRID"/>
    <n v="384882"/>
    <x v="1"/>
    <x v="14"/>
  </r>
  <r>
    <s v="LINE 20"/>
    <x v="0"/>
    <x v="0"/>
    <s v="2-Low Income Residential-ESCO"/>
    <n v="13621"/>
    <x v="2"/>
    <x v="14"/>
  </r>
  <r>
    <s v="LINE 20"/>
    <x v="0"/>
    <x v="0"/>
    <s v="2-Low Income Residential-GRID"/>
    <n v="7139"/>
    <x v="3"/>
    <x v="14"/>
  </r>
  <r>
    <s v="LINE 20"/>
    <x v="0"/>
    <x v="1"/>
    <s v="1-Residential-ESCO"/>
    <n v="71648433"/>
    <x v="0"/>
    <x v="14"/>
  </r>
  <r>
    <s v="LINE 20"/>
    <x v="0"/>
    <x v="1"/>
    <s v="1-Residential-GRID"/>
    <n v="76597885"/>
    <x v="1"/>
    <x v="14"/>
  </r>
  <r>
    <s v="LINE 20"/>
    <x v="0"/>
    <x v="1"/>
    <s v="2-Low Income Residential-ESCO"/>
    <n v="8934122"/>
    <x v="2"/>
    <x v="14"/>
  </r>
  <r>
    <s v="LINE 20"/>
    <x v="0"/>
    <x v="1"/>
    <s v="2-Low Income Residential-GRID"/>
    <n v="10633546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7" firstHeaderRow="1" firstDataRow="3" firstDataCol="1"/>
  <pivotFields count="7">
    <pivotField subtotalTop="0" showAll="0" defaultSubtotal="0"/>
    <pivotField axis="axisCol" showAll="0" defaultSubtotal="0">
      <items count="21">
        <item x="1"/>
        <item m="1" x="10"/>
        <item m="1" x="3"/>
        <item m="1" x="4"/>
        <item m="1" x="16"/>
        <item m="1" x="18"/>
        <item m="1" x="12"/>
        <item m="1" x="6"/>
        <item m="1" x="5"/>
        <item m="1" x="14"/>
        <item m="1" x="17"/>
        <item m="1" x="8"/>
        <item m="1" x="9"/>
        <item m="1" x="2"/>
        <item m="1" x="15"/>
        <item m="1" x="13"/>
        <item m="1" x="11"/>
        <item m="1" x="7"/>
        <item m="1" x="20"/>
        <item m="1" x="19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1"/>
        <item x="3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3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6"/>
    </i>
    <i r="1">
      <x/>
    </i>
  </rowItems>
  <colFields count="2">
    <field x="1"/>
    <field x="2"/>
  </colFields>
  <colItems count="2">
    <i>
      <x v="20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7">
        <item m="1" x="16"/>
        <item x="1"/>
        <item m="1" x="14"/>
        <item m="1" x="9"/>
        <item m="1" x="6"/>
        <item m="1" x="23"/>
        <item m="1" x="24"/>
        <item m="1" x="12"/>
        <item m="1" x="3"/>
        <item m="1" x="4"/>
        <item m="1" x="20"/>
        <item m="1" x="22"/>
        <item m="1" x="15"/>
        <item m="1" x="7"/>
        <item m="1" x="5"/>
        <item m="1" x="18"/>
        <item m="1" x="21"/>
        <item m="1" x="10"/>
        <item m="1" x="11"/>
        <item m="1" x="2"/>
        <item m="1" x="19"/>
        <item m="1" x="17"/>
        <item m="1" x="13"/>
        <item m="1" x="8"/>
        <item m="1" x="26"/>
        <item m="1" x="25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60" sqref="B6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397"/>
      <c r="F61" s="397"/>
    </row>
    <row r="62" spans="1:8" x14ac:dyDescent="0.3">
      <c r="D62" s="167">
        <v>45017</v>
      </c>
      <c r="E62" s="397"/>
      <c r="F62" s="397"/>
    </row>
    <row r="63" spans="1:8" x14ac:dyDescent="0.3">
      <c r="D63" s="167">
        <v>45047</v>
      </c>
      <c r="E63" s="397"/>
      <c r="F63" s="397"/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V236"/>
  <sheetViews>
    <sheetView tabSelected="1" workbookViewId="0">
      <pane xSplit="2" ySplit="8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G6" sqref="G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7" width="13.77734375" style="2" customWidth="1"/>
    <col min="98" max="98" width="6" style="345" customWidth="1"/>
    <col min="99" max="99" width="20.109375" style="2" hidden="1" customWidth="1"/>
    <col min="100" max="100" width="14.21875" style="2" customWidth="1"/>
    <col min="101" max="102" width="9.21875" style="2" customWidth="1"/>
    <col min="103" max="16384" width="9.21875" style="2"/>
  </cols>
  <sheetData>
    <row r="1" spans="1:99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</row>
    <row r="2" spans="1:99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258"/>
    </row>
    <row r="4" spans="1:99" ht="27.6" customHeight="1" x14ac:dyDescent="0.3">
      <c r="B4" s="4" t="s">
        <v>1</v>
      </c>
      <c r="C4" s="13" t="s">
        <v>225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U6" s="23">
        <v>5</v>
      </c>
    </row>
    <row r="7" spans="1:9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7"/>
      <c r="CT7" s="346"/>
      <c r="CU7" s="260" t="s">
        <v>84</v>
      </c>
    </row>
    <row r="8" spans="1:99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223</v>
      </c>
      <c r="CT8" s="347"/>
      <c r="CU8" s="261">
        <v>45010</v>
      </c>
    </row>
    <row r="9" spans="1:9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48"/>
      <c r="CU9" s="59"/>
    </row>
    <row r="10" spans="1:99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/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R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/>
      <c r="CT10" s="348"/>
      <c r="CU10" s="67">
        <f>'MONTHLY SUMMARIES'!D10</f>
        <v>1002383</v>
      </c>
    </row>
    <row r="11" spans="1:99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/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48"/>
      <c r="CU11" s="67">
        <f>GETPIVOTDATA("VALUE",'CSS ESCO pvt'!$I$3,"DATE_FILE",$CU$8,"COMPANY",$CU$6,"TRIM_CAT","Residential-GRID","TRIM_LINE",$A9)</f>
        <v>457435</v>
      </c>
    </row>
    <row r="12" spans="1:99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/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48"/>
      <c r="CU12" s="81">
        <f>CU10-CU11</f>
        <v>544948</v>
      </c>
    </row>
    <row r="13" spans="1:99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/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R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/>
      <c r="CT13" s="348"/>
      <c r="CU13" s="67">
        <f>'MONTHLY SUMMARIES'!D11</f>
        <v>153463</v>
      </c>
    </row>
    <row r="14" spans="1:99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/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48"/>
      <c r="CU14" s="67">
        <f>GETPIVOTDATA("VALUE",'CSS ESCO pvt'!$I$3,"DATE_FILE",$CU$8,"COMPANY",$CU$6,"TRIM_CAT","Low Income Residential-GRID","TRIM_LINE",$A9)</f>
        <v>72018</v>
      </c>
    </row>
    <row r="15" spans="1:99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/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48"/>
      <c r="CU15" s="81">
        <f>CU13-CU14</f>
        <v>81445</v>
      </c>
    </row>
    <row r="16" spans="1:99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/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R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/>
      <c r="CT16" s="348"/>
      <c r="CU16" s="67">
        <f>'MONTHLY SUMMARIES'!D12</f>
        <v>155116</v>
      </c>
    </row>
    <row r="17" spans="1:99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/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/>
      <c r="CT17" s="348"/>
      <c r="CU17" s="67">
        <f>'MONTHLY SUMMARIES'!D13</f>
        <v>11410</v>
      </c>
    </row>
    <row r="18" spans="1:99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/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/>
      <c r="CT18" s="348"/>
      <c r="CU18" s="67">
        <f>'MONTHLY SUMMARIES'!D14</f>
        <v>2960</v>
      </c>
    </row>
    <row r="19" spans="1:99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/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:CS19" si="27">SUM(CQ10:CQ18)</f>
        <v>4642</v>
      </c>
      <c r="CR19" s="365">
        <f t="shared" ref="CR19" si="28">SUM(CR10:CR18)</f>
        <v>4390</v>
      </c>
      <c r="CS19" s="365"/>
      <c r="CT19" s="349"/>
      <c r="CU19" s="74">
        <f>CU10+CU13+CU16+CU17+CU18</f>
        <v>1325332</v>
      </c>
    </row>
    <row r="20" spans="1:9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48"/>
      <c r="CU20" s="81"/>
    </row>
    <row r="21" spans="1:99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/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R21" si="29">O21-C21</f>
        <v>54721</v>
      </c>
      <c r="BJ21" s="87">
        <f t="shared" si="29"/>
        <v>50207</v>
      </c>
      <c r="BK21" s="87">
        <f t="shared" si="29"/>
        <v>45682</v>
      </c>
      <c r="BL21" s="87">
        <f t="shared" si="29"/>
        <v>44521</v>
      </c>
      <c r="BM21" s="87">
        <f t="shared" si="29"/>
        <v>32734</v>
      </c>
      <c r="BN21" s="87">
        <f t="shared" si="29"/>
        <v>29471</v>
      </c>
      <c r="BO21" s="87">
        <f t="shared" si="29"/>
        <v>34382</v>
      </c>
      <c r="BP21" s="87">
        <f t="shared" si="29"/>
        <v>34447</v>
      </c>
      <c r="BQ21" s="87">
        <f t="shared" si="29"/>
        <v>26176</v>
      </c>
      <c r="BR21" s="87">
        <f t="shared" si="29"/>
        <v>26820</v>
      </c>
      <c r="BS21" s="87">
        <f t="shared" si="29"/>
        <v>12099</v>
      </c>
      <c r="BT21" s="87">
        <f t="shared" si="29"/>
        <v>4462</v>
      </c>
      <c r="BU21" s="87">
        <f t="shared" si="29"/>
        <v>-19691</v>
      </c>
      <c r="BV21" s="87">
        <f t="shared" si="29"/>
        <v>-18390</v>
      </c>
      <c r="BW21" s="87">
        <f t="shared" si="29"/>
        <v>-23133</v>
      </c>
      <c r="BX21" s="87">
        <f t="shared" si="29"/>
        <v>-20874</v>
      </c>
      <c r="BY21" s="87">
        <f t="shared" si="29"/>
        <v>-20391</v>
      </c>
      <c r="BZ21" s="87">
        <f t="shared" si="29"/>
        <v>-24259</v>
      </c>
      <c r="CA21" s="267">
        <f t="shared" si="29"/>
        <v>-36572</v>
      </c>
      <c r="CB21" s="267">
        <f t="shared" si="29"/>
        <v>-24968</v>
      </c>
      <c r="CC21" s="267">
        <f t="shared" si="29"/>
        <v>-25265</v>
      </c>
      <c r="CD21" s="267">
        <f t="shared" si="29"/>
        <v>-28693</v>
      </c>
      <c r="CE21" s="309">
        <f t="shared" si="29"/>
        <v>-8456</v>
      </c>
      <c r="CF21" s="309">
        <f t="shared" si="29"/>
        <v>-11901</v>
      </c>
      <c r="CG21" s="309">
        <f t="shared" si="29"/>
        <v>-6734</v>
      </c>
      <c r="CH21" s="309">
        <f t="shared" si="29"/>
        <v>-18717</v>
      </c>
      <c r="CI21" s="309">
        <f t="shared" si="29"/>
        <v>-6978</v>
      </c>
      <c r="CJ21" s="309">
        <f t="shared" si="29"/>
        <v>-7199</v>
      </c>
      <c r="CK21" s="309">
        <f t="shared" si="29"/>
        <v>-578</v>
      </c>
      <c r="CL21" s="309">
        <f t="shared" si="29"/>
        <v>-3843</v>
      </c>
      <c r="CM21" s="309">
        <f t="shared" si="29"/>
        <v>6055</v>
      </c>
      <c r="CN21" s="309">
        <f t="shared" si="29"/>
        <v>-10965</v>
      </c>
      <c r="CO21" s="309">
        <f t="shared" si="29"/>
        <v>-21516</v>
      </c>
      <c r="CP21" s="309">
        <f t="shared" si="29"/>
        <v>-10516</v>
      </c>
      <c r="CQ21" s="309">
        <f t="shared" si="29"/>
        <v>-8285</v>
      </c>
      <c r="CR21" s="309">
        <f t="shared" si="29"/>
        <v>-4830</v>
      </c>
      <c r="CS21" s="309"/>
      <c r="CT21" s="348"/>
      <c r="CU21" s="67">
        <f>'MONTHLY SUMMARIES'!D17</f>
        <v>178985</v>
      </c>
    </row>
    <row r="22" spans="1:99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/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48"/>
      <c r="CU22" s="67">
        <f>GETPIVOTDATA("VALUE",'CSS ESCO pvt'!$I$3,"DATE_FILE",$CU$8,"COMPANY",$CU$6,"TRIM_CAT","Residential-GRID","TRIM_LINE",$A20)</f>
        <v>86111</v>
      </c>
    </row>
    <row r="23" spans="1:99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/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48"/>
      <c r="CU23" s="81">
        <f>CU21-CU22</f>
        <v>92874</v>
      </c>
    </row>
    <row r="24" spans="1:99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/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R24" si="30">O24-C24</f>
        <v>8222</v>
      </c>
      <c r="BJ24" s="87">
        <f t="shared" si="30"/>
        <v>11471</v>
      </c>
      <c r="BK24" s="87">
        <f t="shared" si="30"/>
        <v>7630</v>
      </c>
      <c r="BL24" s="87">
        <f t="shared" si="30"/>
        <v>6168</v>
      </c>
      <c r="BM24" s="87">
        <f t="shared" si="30"/>
        <v>8633</v>
      </c>
      <c r="BN24" s="87">
        <f t="shared" si="30"/>
        <v>6017</v>
      </c>
      <c r="BO24" s="87">
        <f t="shared" si="30"/>
        <v>4405</v>
      </c>
      <c r="BP24" s="87">
        <f t="shared" si="30"/>
        <v>3012</v>
      </c>
      <c r="BQ24" s="87">
        <f t="shared" si="30"/>
        <v>5095</v>
      </c>
      <c r="BR24" s="87">
        <f t="shared" si="30"/>
        <v>7431</v>
      </c>
      <c r="BS24" s="87">
        <f t="shared" si="30"/>
        <v>3660</v>
      </c>
      <c r="BT24" s="87">
        <f t="shared" si="30"/>
        <v>6609</v>
      </c>
      <c r="BU24" s="87">
        <f t="shared" si="30"/>
        <v>6166</v>
      </c>
      <c r="BV24" s="87">
        <f t="shared" si="30"/>
        <v>366</v>
      </c>
      <c r="BW24" s="87">
        <f t="shared" si="30"/>
        <v>5195</v>
      </c>
      <c r="BX24" s="87">
        <f t="shared" si="30"/>
        <v>7079</v>
      </c>
      <c r="BY24" s="87">
        <f t="shared" si="30"/>
        <v>3494</v>
      </c>
      <c r="BZ24" s="87">
        <f t="shared" si="30"/>
        <v>4047</v>
      </c>
      <c r="CA24" s="267">
        <f t="shared" si="30"/>
        <v>1295</v>
      </c>
      <c r="CB24" s="267">
        <f t="shared" si="30"/>
        <v>607</v>
      </c>
      <c r="CC24" s="267">
        <f t="shared" si="30"/>
        <v>-14687</v>
      </c>
      <c r="CD24" s="267">
        <f t="shared" si="30"/>
        <v>-10104</v>
      </c>
      <c r="CE24" s="309">
        <f t="shared" si="30"/>
        <v>-8924</v>
      </c>
      <c r="CF24" s="309">
        <f t="shared" si="30"/>
        <v>-13210</v>
      </c>
      <c r="CG24" s="309">
        <f t="shared" si="30"/>
        <v>-11619</v>
      </c>
      <c r="CH24" s="309">
        <f t="shared" si="30"/>
        <v>-5450</v>
      </c>
      <c r="CI24" s="309">
        <f t="shared" si="30"/>
        <v>-4299</v>
      </c>
      <c r="CJ24" s="309">
        <f t="shared" si="30"/>
        <v>-4075</v>
      </c>
      <c r="CK24" s="309">
        <f t="shared" si="30"/>
        <v>-4830</v>
      </c>
      <c r="CL24" s="309">
        <f t="shared" si="30"/>
        <v>-4865</v>
      </c>
      <c r="CM24" s="309">
        <f t="shared" si="30"/>
        <v>2233</v>
      </c>
      <c r="CN24" s="309">
        <f t="shared" si="30"/>
        <v>2962</v>
      </c>
      <c r="CO24" s="309">
        <f t="shared" si="30"/>
        <v>13728</v>
      </c>
      <c r="CP24" s="309">
        <f t="shared" si="30"/>
        <v>4495</v>
      </c>
      <c r="CQ24" s="309">
        <f t="shared" si="30"/>
        <v>15748</v>
      </c>
      <c r="CR24" s="309">
        <f t="shared" si="30"/>
        <v>17662</v>
      </c>
      <c r="CS24" s="309"/>
      <c r="CT24" s="348"/>
      <c r="CU24" s="67">
        <f>'MONTHLY SUMMARIES'!D18</f>
        <v>65927</v>
      </c>
    </row>
    <row r="25" spans="1:99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/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48"/>
      <c r="CU25" s="67">
        <f>GETPIVOTDATA("VALUE",'CSS ESCO pvt'!$I$3,"DATE_FILE",$CU$8,"COMPANY",$CU$6,"TRIM_CAT","Low Income Residential-GRID","TRIM_LINE",$A20)</f>
        <v>30791</v>
      </c>
    </row>
    <row r="26" spans="1:99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/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48"/>
      <c r="CU26" s="81">
        <f>CU24-CU25</f>
        <v>35136</v>
      </c>
    </row>
    <row r="27" spans="1:99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/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1">O27-C27</f>
        <v>3277</v>
      </c>
      <c r="BJ27" s="87">
        <f t="shared" si="31"/>
        <v>5385</v>
      </c>
      <c r="BK27" s="87">
        <f t="shared" si="31"/>
        <v>7222</v>
      </c>
      <c r="BL27" s="87">
        <f t="shared" si="31"/>
        <v>8418</v>
      </c>
      <c r="BM27" s="87">
        <f t="shared" si="31"/>
        <v>6438</v>
      </c>
      <c r="BN27" s="87">
        <f t="shared" si="31"/>
        <v>4748</v>
      </c>
      <c r="BO27" s="87">
        <f t="shared" si="31"/>
        <v>1107</v>
      </c>
      <c r="BP27" s="87">
        <f t="shared" si="31"/>
        <v>2809</v>
      </c>
      <c r="BQ27" s="87">
        <f t="shared" si="31"/>
        <v>3046</v>
      </c>
      <c r="BR27" s="87">
        <f t="shared" si="31"/>
        <v>-90</v>
      </c>
      <c r="BS27" s="87">
        <f t="shared" ref="BS27:CB29" si="32">Y27-M27</f>
        <v>2519</v>
      </c>
      <c r="BT27" s="87">
        <f t="shared" si="32"/>
        <v>6884</v>
      </c>
      <c r="BU27" s="87">
        <f t="shared" si="32"/>
        <v>-2825</v>
      </c>
      <c r="BV27" s="87">
        <f t="shared" si="32"/>
        <v>-7893</v>
      </c>
      <c r="BW27" s="87">
        <f t="shared" si="32"/>
        <v>-3574</v>
      </c>
      <c r="BX27" s="87">
        <f t="shared" si="32"/>
        <v>19</v>
      </c>
      <c r="BY27" s="87">
        <f t="shared" si="32"/>
        <v>-1289</v>
      </c>
      <c r="BZ27" s="87">
        <f t="shared" si="32"/>
        <v>-3473</v>
      </c>
      <c r="CA27" s="267">
        <f t="shared" si="32"/>
        <v>2048</v>
      </c>
      <c r="CB27" s="267">
        <f t="shared" si="32"/>
        <v>4427</v>
      </c>
      <c r="CC27" s="267">
        <f t="shared" ref="CC27:CL29" si="33">AI27-W27</f>
        <v>1996</v>
      </c>
      <c r="CD27" s="267">
        <f t="shared" si="33"/>
        <v>2675</v>
      </c>
      <c r="CE27" s="309">
        <f t="shared" si="33"/>
        <v>7651</v>
      </c>
      <c r="CF27" s="309">
        <f t="shared" si="33"/>
        <v>3640</v>
      </c>
      <c r="CG27" s="309">
        <f t="shared" si="33"/>
        <v>5210</v>
      </c>
      <c r="CH27" s="309">
        <f t="shared" si="33"/>
        <v>4365</v>
      </c>
      <c r="CI27" s="309">
        <f t="shared" si="33"/>
        <v>1625</v>
      </c>
      <c r="CJ27" s="309">
        <f t="shared" si="33"/>
        <v>1030</v>
      </c>
      <c r="CK27" s="309">
        <f t="shared" si="33"/>
        <v>2687</v>
      </c>
      <c r="CL27" s="309">
        <f t="shared" si="33"/>
        <v>6329</v>
      </c>
      <c r="CM27" s="309">
        <f t="shared" ref="CM27:CR29" si="34">AS27-AG27</f>
        <v>4619</v>
      </c>
      <c r="CN27" s="309">
        <f t="shared" si="34"/>
        <v>-523</v>
      </c>
      <c r="CO27" s="309">
        <f t="shared" si="34"/>
        <v>-3267</v>
      </c>
      <c r="CP27" s="309">
        <f t="shared" si="34"/>
        <v>-2869</v>
      </c>
      <c r="CQ27" s="309">
        <f t="shared" si="34"/>
        <v>-9613</v>
      </c>
      <c r="CR27" s="309">
        <f t="shared" si="34"/>
        <v>-6452</v>
      </c>
      <c r="CS27" s="309"/>
      <c r="CT27" s="348"/>
      <c r="CU27" s="67">
        <f>'MONTHLY SUMMARIES'!D19</f>
        <v>30147</v>
      </c>
    </row>
    <row r="28" spans="1:99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/>
      <c r="BA28" s="293"/>
      <c r="BB28" s="293"/>
      <c r="BC28" s="293"/>
      <c r="BD28" s="293"/>
      <c r="BE28" s="293"/>
      <c r="BF28" s="293"/>
      <c r="BG28" s="293"/>
      <c r="BH28" s="293"/>
      <c r="BI28" s="86">
        <f t="shared" si="31"/>
        <v>277</v>
      </c>
      <c r="BJ28" s="87">
        <f t="shared" si="31"/>
        <v>865</v>
      </c>
      <c r="BK28" s="87">
        <f t="shared" si="31"/>
        <v>896</v>
      </c>
      <c r="BL28" s="87">
        <f t="shared" si="31"/>
        <v>814</v>
      </c>
      <c r="BM28" s="87">
        <f t="shared" si="31"/>
        <v>308</v>
      </c>
      <c r="BN28" s="87">
        <f t="shared" si="31"/>
        <v>327</v>
      </c>
      <c r="BO28" s="87">
        <f t="shared" si="31"/>
        <v>299</v>
      </c>
      <c r="BP28" s="87">
        <f t="shared" si="31"/>
        <v>211</v>
      </c>
      <c r="BQ28" s="87">
        <f t="shared" si="31"/>
        <v>100</v>
      </c>
      <c r="BR28" s="87">
        <f t="shared" si="31"/>
        <v>-1</v>
      </c>
      <c r="BS28" s="87">
        <f t="shared" si="32"/>
        <v>305</v>
      </c>
      <c r="BT28" s="87">
        <f t="shared" si="32"/>
        <v>523</v>
      </c>
      <c r="BU28" s="87">
        <f t="shared" si="32"/>
        <v>-198</v>
      </c>
      <c r="BV28" s="87">
        <f t="shared" si="32"/>
        <v>-1064</v>
      </c>
      <c r="BW28" s="87">
        <f t="shared" si="32"/>
        <v>-894</v>
      </c>
      <c r="BX28" s="87">
        <f t="shared" si="32"/>
        <v>-549</v>
      </c>
      <c r="BY28" s="87">
        <f t="shared" si="32"/>
        <v>-89</v>
      </c>
      <c r="BZ28" s="87">
        <f t="shared" si="32"/>
        <v>-354</v>
      </c>
      <c r="CA28" s="267">
        <f t="shared" si="32"/>
        <v>-201</v>
      </c>
      <c r="CB28" s="267">
        <f t="shared" si="32"/>
        <v>406</v>
      </c>
      <c r="CC28" s="267">
        <f t="shared" si="33"/>
        <v>442</v>
      </c>
      <c r="CD28" s="267">
        <f t="shared" si="33"/>
        <v>158</v>
      </c>
      <c r="CE28" s="309">
        <f t="shared" si="33"/>
        <v>408</v>
      </c>
      <c r="CF28" s="309">
        <f t="shared" si="33"/>
        <v>144</v>
      </c>
      <c r="CG28" s="309">
        <f t="shared" si="33"/>
        <v>417</v>
      </c>
      <c r="CH28" s="309">
        <f t="shared" si="33"/>
        <v>206</v>
      </c>
      <c r="CI28" s="309">
        <f t="shared" si="33"/>
        <v>217</v>
      </c>
      <c r="CJ28" s="309">
        <f t="shared" si="33"/>
        <v>184</v>
      </c>
      <c r="CK28" s="309">
        <f t="shared" si="33"/>
        <v>37</v>
      </c>
      <c r="CL28" s="309">
        <f t="shared" si="33"/>
        <v>328</v>
      </c>
      <c r="CM28" s="309">
        <f t="shared" si="34"/>
        <v>297</v>
      </c>
      <c r="CN28" s="309">
        <f t="shared" si="34"/>
        <v>-272</v>
      </c>
      <c r="CO28" s="309">
        <f t="shared" si="34"/>
        <v>-412</v>
      </c>
      <c r="CP28" s="309">
        <f t="shared" si="34"/>
        <v>-173</v>
      </c>
      <c r="CQ28" s="309">
        <f t="shared" si="34"/>
        <v>-643</v>
      </c>
      <c r="CR28" s="309">
        <f t="shared" si="34"/>
        <v>-645</v>
      </c>
      <c r="CS28" s="309"/>
      <c r="CT28" s="348"/>
      <c r="CU28" s="67">
        <f>'MONTHLY SUMMARIES'!D20</f>
        <v>1719</v>
      </c>
    </row>
    <row r="29" spans="1:99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/>
      <c r="BA29" s="293"/>
      <c r="BB29" s="293"/>
      <c r="BC29" s="293"/>
      <c r="BD29" s="293"/>
      <c r="BE29" s="293"/>
      <c r="BF29" s="293"/>
      <c r="BG29" s="293"/>
      <c r="BH29" s="293"/>
      <c r="BI29" s="86">
        <f t="shared" si="31"/>
        <v>37</v>
      </c>
      <c r="BJ29" s="87">
        <f t="shared" si="31"/>
        <v>122</v>
      </c>
      <c r="BK29" s="87">
        <f t="shared" si="31"/>
        <v>208</v>
      </c>
      <c r="BL29" s="87">
        <f t="shared" si="31"/>
        <v>217</v>
      </c>
      <c r="BM29" s="87">
        <f t="shared" si="31"/>
        <v>89</v>
      </c>
      <c r="BN29" s="87">
        <f t="shared" si="31"/>
        <v>122</v>
      </c>
      <c r="BO29" s="87">
        <f t="shared" si="31"/>
        <v>111</v>
      </c>
      <c r="BP29" s="87">
        <f t="shared" si="31"/>
        <v>118</v>
      </c>
      <c r="BQ29" s="87">
        <f t="shared" si="31"/>
        <v>49</v>
      </c>
      <c r="BR29" s="87">
        <f t="shared" si="31"/>
        <v>43</v>
      </c>
      <c r="BS29" s="87">
        <f t="shared" si="32"/>
        <v>151</v>
      </c>
      <c r="BT29" s="87">
        <f t="shared" si="32"/>
        <v>152</v>
      </c>
      <c r="BU29" s="87">
        <f t="shared" si="32"/>
        <v>-30</v>
      </c>
      <c r="BV29" s="87">
        <f t="shared" si="32"/>
        <v>-180</v>
      </c>
      <c r="BW29" s="87">
        <f t="shared" si="32"/>
        <v>-206</v>
      </c>
      <c r="BX29" s="87">
        <f t="shared" si="32"/>
        <v>-128</v>
      </c>
      <c r="BY29" s="87">
        <f t="shared" si="32"/>
        <v>0</v>
      </c>
      <c r="BZ29" s="87">
        <f t="shared" si="32"/>
        <v>-65</v>
      </c>
      <c r="CA29" s="267">
        <f t="shared" si="32"/>
        <v>-69</v>
      </c>
      <c r="CB29" s="267">
        <f t="shared" si="32"/>
        <v>185</v>
      </c>
      <c r="CC29" s="267">
        <f t="shared" si="33"/>
        <v>242</v>
      </c>
      <c r="CD29" s="267">
        <f t="shared" si="33"/>
        <v>118</v>
      </c>
      <c r="CE29" s="309">
        <f t="shared" si="33"/>
        <v>178</v>
      </c>
      <c r="CF29" s="309">
        <f t="shared" si="33"/>
        <v>143</v>
      </c>
      <c r="CG29" s="309">
        <f t="shared" si="33"/>
        <v>174</v>
      </c>
      <c r="CH29" s="309">
        <f t="shared" si="33"/>
        <v>130</v>
      </c>
      <c r="CI29" s="309">
        <f t="shared" si="33"/>
        <v>102</v>
      </c>
      <c r="CJ29" s="309">
        <f t="shared" si="33"/>
        <v>63</v>
      </c>
      <c r="CK29" s="309">
        <f t="shared" si="33"/>
        <v>30</v>
      </c>
      <c r="CL29" s="309">
        <f t="shared" si="33"/>
        <v>121</v>
      </c>
      <c r="CM29" s="309">
        <f t="shared" si="34"/>
        <v>157</v>
      </c>
      <c r="CN29" s="309">
        <f t="shared" si="34"/>
        <v>-121</v>
      </c>
      <c r="CO29" s="309">
        <f t="shared" si="34"/>
        <v>-231</v>
      </c>
      <c r="CP29" s="309">
        <f t="shared" si="34"/>
        <v>-90</v>
      </c>
      <c r="CQ29" s="309">
        <f t="shared" si="34"/>
        <v>-268</v>
      </c>
      <c r="CR29" s="309">
        <f t="shared" si="34"/>
        <v>-241</v>
      </c>
      <c r="CS29" s="309"/>
      <c r="CT29" s="348"/>
      <c r="CU29" s="67">
        <f>'MONTHLY SUMMARIES'!D21</f>
        <v>473</v>
      </c>
    </row>
    <row r="30" spans="1:99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35">SUM(D21:D29)</f>
        <v>238149</v>
      </c>
      <c r="E30" s="141">
        <f t="shared" si="35"/>
        <v>227573</v>
      </c>
      <c r="F30" s="141">
        <f t="shared" si="35"/>
        <v>220399</v>
      </c>
      <c r="G30" s="141">
        <f t="shared" si="35"/>
        <v>229396</v>
      </c>
      <c r="H30" s="141">
        <f t="shared" si="35"/>
        <v>239339</v>
      </c>
      <c r="I30" s="141">
        <f t="shared" si="35"/>
        <v>252600</v>
      </c>
      <c r="J30" s="141">
        <f t="shared" si="35"/>
        <v>256618</v>
      </c>
      <c r="K30" s="141">
        <f t="shared" si="35"/>
        <v>272392</v>
      </c>
      <c r="L30" s="142">
        <f t="shared" si="35"/>
        <v>273555</v>
      </c>
      <c r="M30" s="141">
        <f t="shared" si="35"/>
        <v>264582</v>
      </c>
      <c r="N30" s="141">
        <f t="shared" si="35"/>
        <v>274372</v>
      </c>
      <c r="O30" s="141">
        <f t="shared" si="35"/>
        <v>293181</v>
      </c>
      <c r="P30" s="141">
        <f t="shared" si="35"/>
        <v>306199</v>
      </c>
      <c r="Q30" s="141">
        <f t="shared" si="35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36">SUM(V21+V24+V27+V28+V29)</f>
        <v>297215</v>
      </c>
      <c r="W30" s="193">
        <f t="shared" si="36"/>
        <v>306858</v>
      </c>
      <c r="X30" s="142">
        <f t="shared" si="36"/>
        <v>307758</v>
      </c>
      <c r="Y30" s="193">
        <f t="shared" si="36"/>
        <v>283316</v>
      </c>
      <c r="Z30" s="193">
        <f t="shared" si="36"/>
        <v>293002</v>
      </c>
      <c r="AA30" s="193">
        <f t="shared" si="36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/>
      <c r="BA30" s="294"/>
      <c r="BB30" s="294"/>
      <c r="BC30" s="294"/>
      <c r="BD30" s="294"/>
      <c r="BE30" s="294"/>
      <c r="BF30" s="294"/>
      <c r="BG30" s="294"/>
      <c r="BH30" s="294"/>
      <c r="BI30" s="88">
        <f t="shared" si="35"/>
        <v>66534</v>
      </c>
      <c r="BJ30" s="143">
        <f t="shared" ref="BJ30:BL30" si="37">SUM(BJ21:BJ29)</f>
        <v>68050</v>
      </c>
      <c r="BK30" s="143">
        <f t="shared" si="37"/>
        <v>61638</v>
      </c>
      <c r="BL30" s="143">
        <f t="shared" si="37"/>
        <v>60138</v>
      </c>
      <c r="BM30" s="143">
        <f t="shared" ref="BM30:BN30" si="38">SUM(BM21:BM29)</f>
        <v>48202</v>
      </c>
      <c r="BN30" s="143">
        <f t="shared" si="38"/>
        <v>40685</v>
      </c>
      <c r="BO30" s="143">
        <f t="shared" ref="BO30:BP30" si="39">SUM(BO21:BO29)</f>
        <v>40304</v>
      </c>
      <c r="BP30" s="143">
        <f t="shared" si="39"/>
        <v>40597</v>
      </c>
      <c r="BQ30" s="143">
        <f t="shared" ref="BQ30:BR30" si="40">SUM(BQ21:BQ29)</f>
        <v>34466</v>
      </c>
      <c r="BR30" s="143">
        <f t="shared" si="40"/>
        <v>34203</v>
      </c>
      <c r="BS30" s="143">
        <f t="shared" ref="BS30:BT30" si="41">SUM(BS21:BS29)</f>
        <v>18734</v>
      </c>
      <c r="BT30" s="143">
        <f t="shared" si="41"/>
        <v>18630</v>
      </c>
      <c r="BU30" s="143">
        <f t="shared" ref="BU30:BV30" si="42">SUM(BU21:BU29)</f>
        <v>-16578</v>
      </c>
      <c r="BV30" s="143">
        <f t="shared" si="42"/>
        <v>-27161</v>
      </c>
      <c r="BW30" s="143">
        <f t="shared" ref="BW30:BX30" si="43">SUM(BW21:BW29)</f>
        <v>-22612</v>
      </c>
      <c r="BX30" s="143">
        <f t="shared" si="43"/>
        <v>-14453</v>
      </c>
      <c r="BY30" s="143">
        <f t="shared" ref="BY30:BZ30" si="44">SUM(BY21:BY29)</f>
        <v>-18275</v>
      </c>
      <c r="BZ30" s="143">
        <f t="shared" si="44"/>
        <v>-24104</v>
      </c>
      <c r="CA30" s="268">
        <f t="shared" ref="CA30:CB30" si="45">SUM(CA21:CA29)</f>
        <v>-33499</v>
      </c>
      <c r="CB30" s="268">
        <f t="shared" si="45"/>
        <v>-19343</v>
      </c>
      <c r="CC30" s="268">
        <f t="shared" ref="CC30:CE30" si="46">SUM(CC21:CC29)</f>
        <v>-37272</v>
      </c>
      <c r="CD30" s="268">
        <f t="shared" si="46"/>
        <v>-35846</v>
      </c>
      <c r="CE30" s="310">
        <f t="shared" si="46"/>
        <v>-9143</v>
      </c>
      <c r="CF30" s="310">
        <f t="shared" ref="CF30:CG30" si="47">SUM(CF21:CF29)</f>
        <v>-21184</v>
      </c>
      <c r="CG30" s="310">
        <f t="shared" si="47"/>
        <v>-12552</v>
      </c>
      <c r="CH30" s="310">
        <f t="shared" ref="CH30:CI30" si="48">SUM(CH21:CH29)</f>
        <v>-19466</v>
      </c>
      <c r="CI30" s="310">
        <f t="shared" si="48"/>
        <v>-9333</v>
      </c>
      <c r="CJ30" s="310">
        <f t="shared" ref="CJ30" si="49">SUM(CJ21:CJ29)</f>
        <v>-9997</v>
      </c>
      <c r="CK30" s="310">
        <f t="shared" ref="CK30" si="50">SUM(CK21:CK29)</f>
        <v>-2654</v>
      </c>
      <c r="CL30" s="310">
        <f t="shared" ref="CL30" si="51">SUM(CL21:CL29)</f>
        <v>-1930</v>
      </c>
      <c r="CM30" s="310">
        <f t="shared" ref="CM30" si="52">SUM(CM21:CM29)</f>
        <v>13361</v>
      </c>
      <c r="CN30" s="310">
        <f t="shared" ref="CN30" si="53">SUM(CN21:CN29)</f>
        <v>-8919</v>
      </c>
      <c r="CO30" s="310">
        <f t="shared" ref="CO30" si="54">SUM(CO21:CO29)</f>
        <v>-11698</v>
      </c>
      <c r="CP30" s="310">
        <f t="shared" ref="CP30" si="55">SUM(CP21:CP29)</f>
        <v>-9153</v>
      </c>
      <c r="CQ30" s="310">
        <f t="shared" ref="CQ30:CS30" si="56">SUM(CQ21:CQ29)</f>
        <v>-3061</v>
      </c>
      <c r="CR30" s="310">
        <f t="shared" ref="CR30" si="57">SUM(CR21:CR29)</f>
        <v>5494</v>
      </c>
      <c r="CS30" s="310"/>
      <c r="CT30" s="349"/>
      <c r="CU30" s="262">
        <f>CU21+CU24+CU27+CU28+CU29</f>
        <v>277251</v>
      </c>
    </row>
    <row r="31" spans="1:9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48"/>
      <c r="CU31" s="93"/>
    </row>
    <row r="32" spans="1:99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/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R32" si="58">O32-C32</f>
        <v>21695</v>
      </c>
      <c r="BJ32" s="87">
        <f t="shared" si="58"/>
        <v>3840</v>
      </c>
      <c r="BK32" s="87">
        <f t="shared" si="58"/>
        <v>459</v>
      </c>
      <c r="BL32" s="87">
        <f t="shared" si="58"/>
        <v>1142</v>
      </c>
      <c r="BM32" s="87">
        <f t="shared" si="58"/>
        <v>-6134</v>
      </c>
      <c r="BN32" s="87">
        <f t="shared" si="58"/>
        <v>-7435</v>
      </c>
      <c r="BO32" s="87">
        <f t="shared" si="58"/>
        <v>-5540</v>
      </c>
      <c r="BP32" s="87">
        <f t="shared" si="58"/>
        <v>-11753</v>
      </c>
      <c r="BQ32" s="87">
        <f t="shared" si="58"/>
        <v>-15117</v>
      </c>
      <c r="BR32" s="87">
        <f t="shared" si="58"/>
        <v>-13067</v>
      </c>
      <c r="BS32" s="87">
        <f t="shared" si="58"/>
        <v>-15052</v>
      </c>
      <c r="BT32" s="87">
        <f t="shared" si="58"/>
        <v>-22457</v>
      </c>
      <c r="BU32" s="87">
        <f t="shared" si="58"/>
        <v>-30214</v>
      </c>
      <c r="BV32" s="87">
        <f t="shared" si="58"/>
        <v>-16744</v>
      </c>
      <c r="BW32" s="87">
        <f t="shared" si="58"/>
        <v>-10688</v>
      </c>
      <c r="BX32" s="87">
        <f t="shared" si="58"/>
        <v>-3646</v>
      </c>
      <c r="BY32" s="87">
        <f t="shared" si="58"/>
        <v>-997</v>
      </c>
      <c r="BZ32" s="87">
        <f t="shared" si="58"/>
        <v>-2109</v>
      </c>
      <c r="CA32" s="267">
        <f t="shared" si="58"/>
        <v>-9547</v>
      </c>
      <c r="CB32" s="267">
        <f t="shared" si="58"/>
        <v>9767</v>
      </c>
      <c r="CC32" s="267">
        <f t="shared" si="58"/>
        <v>2105</v>
      </c>
      <c r="CD32" s="267">
        <f t="shared" si="58"/>
        <v>-365</v>
      </c>
      <c r="CE32" s="309">
        <f t="shared" si="58"/>
        <v>13533</v>
      </c>
      <c r="CF32" s="309">
        <f t="shared" si="58"/>
        <v>7436</v>
      </c>
      <c r="CG32" s="309">
        <f t="shared" si="58"/>
        <v>12784</v>
      </c>
      <c r="CH32" s="309">
        <f t="shared" si="58"/>
        <v>5271</v>
      </c>
      <c r="CI32" s="309">
        <f t="shared" si="58"/>
        <v>9193</v>
      </c>
      <c r="CJ32" s="309">
        <f t="shared" si="58"/>
        <v>3678</v>
      </c>
      <c r="CK32" s="309">
        <f t="shared" si="58"/>
        <v>3674</v>
      </c>
      <c r="CL32" s="309">
        <f t="shared" si="58"/>
        <v>909</v>
      </c>
      <c r="CM32" s="309">
        <f t="shared" si="58"/>
        <v>12201</v>
      </c>
      <c r="CN32" s="309">
        <f t="shared" si="58"/>
        <v>-5772</v>
      </c>
      <c r="CO32" s="309">
        <f t="shared" si="58"/>
        <v>-8408</v>
      </c>
      <c r="CP32" s="309">
        <f t="shared" si="58"/>
        <v>-1776</v>
      </c>
      <c r="CQ32" s="309">
        <f t="shared" si="58"/>
        <v>4380</v>
      </c>
      <c r="CR32" s="309">
        <f t="shared" si="58"/>
        <v>426</v>
      </c>
      <c r="CS32" s="309"/>
      <c r="CT32" s="348"/>
      <c r="CU32" s="67">
        <f>'MONTHLY SUMMARIES'!D24</f>
        <v>73069</v>
      </c>
    </row>
    <row r="33" spans="1:99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/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48"/>
      <c r="CU33" s="67">
        <f>GETPIVOTDATA("VALUE",'CSS ESCO pvt'!$I$3,"DATE_FILE",$CU$8,"COMPANY",$CU$6,"TRIM_CAT","Residential-GRID","TRIM_LINE",$A31)</f>
        <v>35339</v>
      </c>
    </row>
    <row r="34" spans="1:99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/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48"/>
      <c r="CU34" s="81">
        <f>CU32-CU33</f>
        <v>37730</v>
      </c>
    </row>
    <row r="35" spans="1:99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/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R35" si="59">O35-C35</f>
        <v>1216</v>
      </c>
      <c r="BJ35" s="87">
        <f t="shared" si="59"/>
        <v>29</v>
      </c>
      <c r="BK35" s="87">
        <f t="shared" si="59"/>
        <v>-1846</v>
      </c>
      <c r="BL35" s="87">
        <f t="shared" si="59"/>
        <v>-1455</v>
      </c>
      <c r="BM35" s="87">
        <f t="shared" si="59"/>
        <v>-1637</v>
      </c>
      <c r="BN35" s="87">
        <f t="shared" si="59"/>
        <v>-2463</v>
      </c>
      <c r="BO35" s="87">
        <f t="shared" si="59"/>
        <v>-2819</v>
      </c>
      <c r="BP35" s="87">
        <f t="shared" si="59"/>
        <v>-3427</v>
      </c>
      <c r="BQ35" s="87">
        <f t="shared" si="59"/>
        <v>-2574</v>
      </c>
      <c r="BR35" s="87">
        <f t="shared" si="59"/>
        <v>-1790</v>
      </c>
      <c r="BS35" s="87">
        <f t="shared" si="59"/>
        <v>-1806</v>
      </c>
      <c r="BT35" s="87">
        <f t="shared" si="59"/>
        <v>-1280</v>
      </c>
      <c r="BU35" s="87">
        <f t="shared" si="59"/>
        <v>-1886</v>
      </c>
      <c r="BV35" s="87">
        <f t="shared" si="59"/>
        <v>-1790</v>
      </c>
      <c r="BW35" s="87">
        <f t="shared" si="59"/>
        <v>320</v>
      </c>
      <c r="BX35" s="87">
        <f t="shared" si="59"/>
        <v>734</v>
      </c>
      <c r="BY35" s="87">
        <f t="shared" si="59"/>
        <v>306</v>
      </c>
      <c r="BZ35" s="87">
        <f t="shared" si="59"/>
        <v>269</v>
      </c>
      <c r="CA35" s="267">
        <f t="shared" si="59"/>
        <v>-1432</v>
      </c>
      <c r="CB35" s="267">
        <f t="shared" si="59"/>
        <v>981</v>
      </c>
      <c r="CC35" s="267">
        <f t="shared" si="59"/>
        <v>-3995</v>
      </c>
      <c r="CD35" s="267">
        <f t="shared" si="59"/>
        <v>-2927</v>
      </c>
      <c r="CE35" s="309">
        <f t="shared" si="59"/>
        <v>-1089</v>
      </c>
      <c r="CF35" s="309">
        <f t="shared" si="59"/>
        <v>-3155</v>
      </c>
      <c r="CG35" s="309">
        <f t="shared" si="59"/>
        <v>-868</v>
      </c>
      <c r="CH35" s="309">
        <f t="shared" si="59"/>
        <v>-443</v>
      </c>
      <c r="CI35" s="309">
        <f t="shared" si="59"/>
        <v>4</v>
      </c>
      <c r="CJ35" s="309">
        <f t="shared" si="59"/>
        <v>-143</v>
      </c>
      <c r="CK35" s="309">
        <f t="shared" si="59"/>
        <v>-328</v>
      </c>
      <c r="CL35" s="309">
        <f t="shared" si="59"/>
        <v>366</v>
      </c>
      <c r="CM35" s="309">
        <f t="shared" si="59"/>
        <v>3417</v>
      </c>
      <c r="CN35" s="309">
        <f t="shared" si="59"/>
        <v>1260</v>
      </c>
      <c r="CO35" s="309">
        <f t="shared" si="59"/>
        <v>4069</v>
      </c>
      <c r="CP35" s="309">
        <f t="shared" si="59"/>
        <v>3012</v>
      </c>
      <c r="CQ35" s="309">
        <f t="shared" si="59"/>
        <v>6107</v>
      </c>
      <c r="CR35" s="309">
        <f t="shared" si="59"/>
        <v>5257</v>
      </c>
      <c r="CS35" s="309"/>
      <c r="CT35" s="348"/>
      <c r="CU35" s="67">
        <f>'MONTHLY SUMMARIES'!D25</f>
        <v>12696</v>
      </c>
    </row>
    <row r="36" spans="1:99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/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48"/>
      <c r="CU36" s="67">
        <f>GETPIVOTDATA("VALUE",'CSS ESCO pvt'!$I$3,"DATE_FILE",$CU$8,"COMPANY",$CU$6,"TRIM_CAT","Low Income Residential-GRID","TRIM_LINE",$A31)</f>
        <v>6500</v>
      </c>
    </row>
    <row r="37" spans="1:99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/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48"/>
      <c r="CU37" s="81">
        <f>CU35-CU36</f>
        <v>6196</v>
      </c>
    </row>
    <row r="38" spans="1:99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/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60">O38-C38</f>
        <v>224</v>
      </c>
      <c r="BJ38" s="87">
        <f t="shared" si="60"/>
        <v>-1420</v>
      </c>
      <c r="BK38" s="87">
        <f t="shared" si="60"/>
        <v>-320</v>
      </c>
      <c r="BL38" s="87">
        <f t="shared" si="60"/>
        <v>1942</v>
      </c>
      <c r="BM38" s="87">
        <f t="shared" si="60"/>
        <v>-308</v>
      </c>
      <c r="BN38" s="87">
        <f t="shared" si="60"/>
        <v>-534</v>
      </c>
      <c r="BO38" s="87">
        <f t="shared" si="60"/>
        <v>-3036</v>
      </c>
      <c r="BP38" s="87">
        <f t="shared" si="60"/>
        <v>-363</v>
      </c>
      <c r="BQ38" s="87">
        <f t="shared" si="60"/>
        <v>0</v>
      </c>
      <c r="BR38" s="87">
        <f t="shared" si="60"/>
        <v>-3226</v>
      </c>
      <c r="BS38" s="87">
        <f t="shared" ref="BS38:CB40" si="61">Y38-M38</f>
        <v>161</v>
      </c>
      <c r="BT38" s="87">
        <f t="shared" si="61"/>
        <v>3636</v>
      </c>
      <c r="BU38" s="87">
        <f t="shared" si="61"/>
        <v>-4317</v>
      </c>
      <c r="BV38" s="87">
        <f t="shared" si="61"/>
        <v>-4074</v>
      </c>
      <c r="BW38" s="87">
        <f t="shared" si="61"/>
        <v>1146</v>
      </c>
      <c r="BX38" s="87">
        <f t="shared" si="61"/>
        <v>3235</v>
      </c>
      <c r="BY38" s="87">
        <f t="shared" si="61"/>
        <v>1263</v>
      </c>
      <c r="BZ38" s="87">
        <f t="shared" si="61"/>
        <v>-132</v>
      </c>
      <c r="CA38" s="267">
        <f t="shared" si="61"/>
        <v>3493</v>
      </c>
      <c r="CB38" s="267">
        <f t="shared" si="61"/>
        <v>3043</v>
      </c>
      <c r="CC38" s="267">
        <f t="shared" ref="CC38:CL40" si="62">AI38-W38</f>
        <v>41</v>
      </c>
      <c r="CD38" s="267">
        <f t="shared" si="62"/>
        <v>1296</v>
      </c>
      <c r="CE38" s="309">
        <f t="shared" si="62"/>
        <v>6443</v>
      </c>
      <c r="CF38" s="309">
        <f t="shared" si="62"/>
        <v>2524</v>
      </c>
      <c r="CG38" s="309">
        <f t="shared" si="62"/>
        <v>2341</v>
      </c>
      <c r="CH38" s="309">
        <f t="shared" si="62"/>
        <v>1768</v>
      </c>
      <c r="CI38" s="309">
        <f t="shared" si="62"/>
        <v>-251</v>
      </c>
      <c r="CJ38" s="309">
        <f t="shared" si="62"/>
        <v>-790</v>
      </c>
      <c r="CK38" s="309">
        <f t="shared" si="62"/>
        <v>930</v>
      </c>
      <c r="CL38" s="309">
        <f t="shared" si="62"/>
        <v>2862</v>
      </c>
      <c r="CM38" s="309">
        <f t="shared" ref="CM38:CR40" si="63">AS38-AG38</f>
        <v>2399</v>
      </c>
      <c r="CN38" s="309">
        <f t="shared" si="63"/>
        <v>-1243</v>
      </c>
      <c r="CO38" s="309">
        <f t="shared" si="63"/>
        <v>-1017</v>
      </c>
      <c r="CP38" s="309">
        <f t="shared" si="63"/>
        <v>-701</v>
      </c>
      <c r="CQ38" s="309">
        <f t="shared" si="63"/>
        <v>-7383</v>
      </c>
      <c r="CR38" s="309">
        <f t="shared" si="63"/>
        <v>-4756</v>
      </c>
      <c r="CS38" s="309"/>
      <c r="CT38" s="348"/>
      <c r="CU38" s="67">
        <f>'MONTHLY SUMMARIES'!D26</f>
        <v>14889</v>
      </c>
    </row>
    <row r="39" spans="1:99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/>
      <c r="BA39" s="293"/>
      <c r="BB39" s="293"/>
      <c r="BC39" s="293"/>
      <c r="BD39" s="293"/>
      <c r="BE39" s="293"/>
      <c r="BF39" s="293"/>
      <c r="BG39" s="293"/>
      <c r="BH39" s="293"/>
      <c r="BI39" s="86">
        <f t="shared" si="60"/>
        <v>165</v>
      </c>
      <c r="BJ39" s="87">
        <f t="shared" si="60"/>
        <v>441</v>
      </c>
      <c r="BK39" s="87">
        <f t="shared" si="60"/>
        <v>237</v>
      </c>
      <c r="BL39" s="87">
        <f t="shared" si="60"/>
        <v>266</v>
      </c>
      <c r="BM39" s="87">
        <f t="shared" si="60"/>
        <v>-114</v>
      </c>
      <c r="BN39" s="87">
        <f t="shared" si="60"/>
        <v>8</v>
      </c>
      <c r="BO39" s="87">
        <f t="shared" si="60"/>
        <v>48</v>
      </c>
      <c r="BP39" s="87">
        <f t="shared" si="60"/>
        <v>-13</v>
      </c>
      <c r="BQ39" s="87">
        <f t="shared" si="60"/>
        <v>-87</v>
      </c>
      <c r="BR39" s="87">
        <f t="shared" si="60"/>
        <v>-154</v>
      </c>
      <c r="BS39" s="87">
        <f t="shared" si="61"/>
        <v>125</v>
      </c>
      <c r="BT39" s="87">
        <f t="shared" si="61"/>
        <v>243</v>
      </c>
      <c r="BU39" s="87">
        <f t="shared" si="61"/>
        <v>-320</v>
      </c>
      <c r="BV39" s="87">
        <f t="shared" si="61"/>
        <v>-775</v>
      </c>
      <c r="BW39" s="87">
        <f t="shared" si="61"/>
        <v>-321</v>
      </c>
      <c r="BX39" s="87">
        <f t="shared" si="61"/>
        <v>-120</v>
      </c>
      <c r="BY39" s="87">
        <f t="shared" si="61"/>
        <v>145</v>
      </c>
      <c r="BZ39" s="87">
        <f t="shared" si="61"/>
        <v>-62</v>
      </c>
      <c r="CA39" s="267">
        <f t="shared" si="61"/>
        <v>-28</v>
      </c>
      <c r="CB39" s="267">
        <f t="shared" si="61"/>
        <v>464</v>
      </c>
      <c r="CC39" s="267">
        <f t="shared" si="62"/>
        <v>288</v>
      </c>
      <c r="CD39" s="267">
        <f t="shared" si="62"/>
        <v>126</v>
      </c>
      <c r="CE39" s="309">
        <f t="shared" si="62"/>
        <v>289</v>
      </c>
      <c r="CF39" s="309">
        <f t="shared" si="62"/>
        <v>123</v>
      </c>
      <c r="CG39" s="309">
        <f t="shared" si="62"/>
        <v>292</v>
      </c>
      <c r="CH39" s="309">
        <f t="shared" si="62"/>
        <v>154</v>
      </c>
      <c r="CI39" s="309">
        <f t="shared" si="62"/>
        <v>45</v>
      </c>
      <c r="CJ39" s="309">
        <f t="shared" si="62"/>
        <v>102</v>
      </c>
      <c r="CK39" s="309">
        <f t="shared" si="62"/>
        <v>-15</v>
      </c>
      <c r="CL39" s="309">
        <f t="shared" si="62"/>
        <v>213</v>
      </c>
      <c r="CM39" s="309">
        <f t="shared" si="63"/>
        <v>198</v>
      </c>
      <c r="CN39" s="309">
        <f t="shared" si="63"/>
        <v>-321</v>
      </c>
      <c r="CO39" s="309">
        <f t="shared" si="63"/>
        <v>-289</v>
      </c>
      <c r="CP39" s="309">
        <f t="shared" si="63"/>
        <v>-149</v>
      </c>
      <c r="CQ39" s="309">
        <f t="shared" si="63"/>
        <v>-432</v>
      </c>
      <c r="CR39" s="309">
        <f t="shared" si="63"/>
        <v>-465</v>
      </c>
      <c r="CS39" s="309"/>
      <c r="CT39" s="348"/>
      <c r="CU39" s="67">
        <f>'MONTHLY SUMMARIES'!D27</f>
        <v>991</v>
      </c>
    </row>
    <row r="40" spans="1:99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/>
      <c r="BA40" s="293"/>
      <c r="BB40" s="293"/>
      <c r="BC40" s="293"/>
      <c r="BD40" s="293"/>
      <c r="BE40" s="293"/>
      <c r="BF40" s="293"/>
      <c r="BG40" s="293"/>
      <c r="BH40" s="293"/>
      <c r="BI40" s="86">
        <f t="shared" si="60"/>
        <v>6</v>
      </c>
      <c r="BJ40" s="87">
        <f t="shared" si="60"/>
        <v>25</v>
      </c>
      <c r="BK40" s="87">
        <f t="shared" si="60"/>
        <v>54</v>
      </c>
      <c r="BL40" s="87">
        <f t="shared" si="60"/>
        <v>52</v>
      </c>
      <c r="BM40" s="87">
        <f t="shared" si="60"/>
        <v>-12</v>
      </c>
      <c r="BN40" s="87">
        <f t="shared" si="60"/>
        <v>45</v>
      </c>
      <c r="BO40" s="87">
        <f t="shared" si="60"/>
        <v>67</v>
      </c>
      <c r="BP40" s="87">
        <f t="shared" si="60"/>
        <v>55</v>
      </c>
      <c r="BQ40" s="87">
        <f t="shared" si="60"/>
        <v>28</v>
      </c>
      <c r="BR40" s="87">
        <f t="shared" si="60"/>
        <v>8</v>
      </c>
      <c r="BS40" s="87">
        <f t="shared" si="61"/>
        <v>128</v>
      </c>
      <c r="BT40" s="87">
        <f t="shared" si="61"/>
        <v>77</v>
      </c>
      <c r="BU40" s="87">
        <f t="shared" si="61"/>
        <v>-54</v>
      </c>
      <c r="BV40" s="87">
        <f t="shared" si="61"/>
        <v>-108</v>
      </c>
      <c r="BW40" s="87">
        <f t="shared" si="61"/>
        <v>-91</v>
      </c>
      <c r="BX40" s="87">
        <f t="shared" si="61"/>
        <v>-17</v>
      </c>
      <c r="BY40" s="87">
        <f t="shared" si="61"/>
        <v>57</v>
      </c>
      <c r="BZ40" s="87">
        <f t="shared" si="61"/>
        <v>-11</v>
      </c>
      <c r="CA40" s="267">
        <f t="shared" si="61"/>
        <v>-36</v>
      </c>
      <c r="CB40" s="267">
        <f t="shared" si="61"/>
        <v>179</v>
      </c>
      <c r="CC40" s="267">
        <f t="shared" si="62"/>
        <v>124</v>
      </c>
      <c r="CD40" s="267">
        <f t="shared" si="62"/>
        <v>45</v>
      </c>
      <c r="CE40" s="309">
        <f t="shared" si="62"/>
        <v>46</v>
      </c>
      <c r="CF40" s="309">
        <f t="shared" si="62"/>
        <v>86</v>
      </c>
      <c r="CG40" s="309">
        <f t="shared" si="62"/>
        <v>83</v>
      </c>
      <c r="CH40" s="309">
        <f t="shared" si="62"/>
        <v>69</v>
      </c>
      <c r="CI40" s="309">
        <f t="shared" si="62"/>
        <v>48</v>
      </c>
      <c r="CJ40" s="309">
        <f t="shared" si="62"/>
        <v>26</v>
      </c>
      <c r="CK40" s="309">
        <f t="shared" si="62"/>
        <v>-11</v>
      </c>
      <c r="CL40" s="309">
        <f t="shared" si="62"/>
        <v>69</v>
      </c>
      <c r="CM40" s="309">
        <f t="shared" si="63"/>
        <v>83</v>
      </c>
      <c r="CN40" s="309">
        <f t="shared" si="63"/>
        <v>-180</v>
      </c>
      <c r="CO40" s="309">
        <f t="shared" si="63"/>
        <v>-191</v>
      </c>
      <c r="CP40" s="309">
        <f t="shared" si="63"/>
        <v>-41</v>
      </c>
      <c r="CQ40" s="309">
        <f t="shared" si="63"/>
        <v>-147</v>
      </c>
      <c r="CR40" s="309">
        <f t="shared" si="63"/>
        <v>-185</v>
      </c>
      <c r="CS40" s="309"/>
      <c r="CT40" s="348"/>
      <c r="CU40" s="67">
        <f>'MONTHLY SUMMARIES'!D28</f>
        <v>235</v>
      </c>
    </row>
    <row r="41" spans="1:99" s="76" customFormat="1" x14ac:dyDescent="0.3">
      <c r="A41" s="152"/>
      <c r="B41" s="63" t="s">
        <v>42</v>
      </c>
      <c r="C41" s="140">
        <f t="shared" ref="C41:O41" si="64">SUM(C32:C40)</f>
        <v>98740</v>
      </c>
      <c r="D41" s="141">
        <f t="shared" si="64"/>
        <v>107457</v>
      </c>
      <c r="E41" s="141">
        <f t="shared" si="64"/>
        <v>93920</v>
      </c>
      <c r="F41" s="141">
        <f t="shared" si="64"/>
        <v>86088</v>
      </c>
      <c r="G41" s="141">
        <f t="shared" si="64"/>
        <v>98943</v>
      </c>
      <c r="H41" s="141">
        <f t="shared" si="64"/>
        <v>106032</v>
      </c>
      <c r="I41" s="141">
        <f t="shared" si="64"/>
        <v>116064</v>
      </c>
      <c r="J41" s="141">
        <f t="shared" si="64"/>
        <v>109864</v>
      </c>
      <c r="K41" s="141">
        <f t="shared" si="64"/>
        <v>114478</v>
      </c>
      <c r="L41" s="142">
        <f t="shared" si="64"/>
        <v>116263</v>
      </c>
      <c r="M41" s="141">
        <f t="shared" si="64"/>
        <v>102397</v>
      </c>
      <c r="N41" s="141">
        <f t="shared" si="64"/>
        <v>119324</v>
      </c>
      <c r="O41" s="141">
        <f t="shared" si="64"/>
        <v>122046</v>
      </c>
      <c r="P41" s="141">
        <f t="shared" ref="P41:Q41" si="65">SUM(P32:P40)</f>
        <v>110372</v>
      </c>
      <c r="Q41" s="141">
        <f t="shared" si="65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66">SUM(W32+W35+W38+W39+W40)</f>
        <v>96728</v>
      </c>
      <c r="X41" s="142">
        <f t="shared" si="66"/>
        <v>98034</v>
      </c>
      <c r="Y41" s="193">
        <f t="shared" si="66"/>
        <v>85953</v>
      </c>
      <c r="Z41" s="193">
        <v>99543</v>
      </c>
      <c r="AA41" s="193">
        <f t="shared" si="66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/>
      <c r="BA41" s="294"/>
      <c r="BB41" s="294"/>
      <c r="BC41" s="294"/>
      <c r="BD41" s="294"/>
      <c r="BE41" s="294"/>
      <c r="BF41" s="294"/>
      <c r="BG41" s="294"/>
      <c r="BH41" s="294"/>
      <c r="BI41" s="88">
        <f t="shared" ref="BI41" si="67">SUM(BI32:BI40)</f>
        <v>23306</v>
      </c>
      <c r="BJ41" s="143">
        <f t="shared" ref="BJ41:BL41" si="68">SUM(BJ32:BJ40)</f>
        <v>2915</v>
      </c>
      <c r="BK41" s="143">
        <f t="shared" si="68"/>
        <v>-1416</v>
      </c>
      <c r="BL41" s="143">
        <f t="shared" si="68"/>
        <v>1947</v>
      </c>
      <c r="BM41" s="143">
        <f t="shared" ref="BM41:BN41" si="69">SUM(BM32:BM40)</f>
        <v>-8205</v>
      </c>
      <c r="BN41" s="143">
        <f t="shared" si="69"/>
        <v>-10379</v>
      </c>
      <c r="BO41" s="143">
        <f t="shared" ref="BO41:BP41" si="70">SUM(BO32:BO40)</f>
        <v>-11280</v>
      </c>
      <c r="BP41" s="143">
        <f t="shared" si="70"/>
        <v>-15501</v>
      </c>
      <c r="BQ41" s="143">
        <f t="shared" ref="BQ41:BR41" si="71">SUM(BQ32:BQ40)</f>
        <v>-17750</v>
      </c>
      <c r="BR41" s="143">
        <f t="shared" si="71"/>
        <v>-18229</v>
      </c>
      <c r="BS41" s="143">
        <f t="shared" ref="BS41:BT41" si="72">SUM(BS32:BS40)</f>
        <v>-16444</v>
      </c>
      <c r="BT41" s="143">
        <f t="shared" si="72"/>
        <v>-19781</v>
      </c>
      <c r="BU41" s="143">
        <f t="shared" ref="BU41:BV41" si="73">SUM(BU32:BU40)</f>
        <v>-36791</v>
      </c>
      <c r="BV41" s="143">
        <f t="shared" si="73"/>
        <v>-23491</v>
      </c>
      <c r="BW41" s="143">
        <f t="shared" ref="BW41:BX41" si="74">SUM(BW32:BW40)</f>
        <v>-9634</v>
      </c>
      <c r="BX41" s="143">
        <f t="shared" si="74"/>
        <v>186</v>
      </c>
      <c r="BY41" s="143">
        <f t="shared" ref="BY41:BZ41" si="75">SUM(BY32:BY40)</f>
        <v>774</v>
      </c>
      <c r="BZ41" s="143">
        <f t="shared" si="75"/>
        <v>-2045</v>
      </c>
      <c r="CA41" s="268">
        <f t="shared" ref="CA41:CB41" si="76">SUM(CA32:CA40)</f>
        <v>-7550</v>
      </c>
      <c r="CB41" s="268">
        <f t="shared" si="76"/>
        <v>14434</v>
      </c>
      <c r="CC41" s="268">
        <f t="shared" ref="CC41:CE41" si="77">SUM(CC32:CC40)</f>
        <v>-1437</v>
      </c>
      <c r="CD41" s="268">
        <f t="shared" si="77"/>
        <v>-1825</v>
      </c>
      <c r="CE41" s="310">
        <f t="shared" si="77"/>
        <v>19222</v>
      </c>
      <c r="CF41" s="310">
        <f t="shared" ref="CF41:CG41" si="78">SUM(CF32:CF40)</f>
        <v>7014</v>
      </c>
      <c r="CG41" s="310">
        <f t="shared" si="78"/>
        <v>14632</v>
      </c>
      <c r="CH41" s="310">
        <f t="shared" ref="CH41:CI41" si="79">SUM(CH32:CH40)</f>
        <v>6819</v>
      </c>
      <c r="CI41" s="310">
        <f t="shared" si="79"/>
        <v>9039</v>
      </c>
      <c r="CJ41" s="310">
        <f t="shared" ref="CJ41" si="80">SUM(CJ32:CJ40)</f>
        <v>2873</v>
      </c>
      <c r="CK41" s="310">
        <f t="shared" ref="CK41" si="81">SUM(CK32:CK40)</f>
        <v>4250</v>
      </c>
      <c r="CL41" s="310">
        <f t="shared" ref="CL41" si="82">SUM(CL32:CL40)</f>
        <v>4419</v>
      </c>
      <c r="CM41" s="310">
        <f t="shared" ref="CM41" si="83">SUM(CM32:CM40)</f>
        <v>18298</v>
      </c>
      <c r="CN41" s="310">
        <f t="shared" ref="CN41" si="84">SUM(CN32:CN40)</f>
        <v>-6256</v>
      </c>
      <c r="CO41" s="310">
        <f t="shared" ref="CO41" si="85">SUM(CO32:CO40)</f>
        <v>-5836</v>
      </c>
      <c r="CP41" s="310">
        <f t="shared" ref="CP41" si="86">SUM(CP32:CP40)</f>
        <v>345</v>
      </c>
      <c r="CQ41" s="310">
        <f t="shared" ref="CQ41:CS41" si="87">SUM(CQ32:CQ40)</f>
        <v>2525</v>
      </c>
      <c r="CR41" s="310">
        <f t="shared" ref="CR41" si="88">SUM(CR32:CR40)</f>
        <v>277</v>
      </c>
      <c r="CS41" s="310"/>
      <c r="CT41" s="349"/>
      <c r="CU41" s="262">
        <f>CU32+CU35+CU38+CU39+CU40</f>
        <v>101880</v>
      </c>
    </row>
    <row r="42" spans="1:9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48"/>
      <c r="CU42" s="93"/>
    </row>
    <row r="43" spans="1:99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/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R43" si="89">O43-C43</f>
        <v>12440</v>
      </c>
      <c r="BJ43" s="87">
        <f t="shared" si="89"/>
        <v>16036</v>
      </c>
      <c r="BK43" s="87">
        <f t="shared" si="89"/>
        <v>4543</v>
      </c>
      <c r="BL43" s="87">
        <f t="shared" si="89"/>
        <v>2457</v>
      </c>
      <c r="BM43" s="87">
        <f t="shared" si="89"/>
        <v>934</v>
      </c>
      <c r="BN43" s="87">
        <f t="shared" si="89"/>
        <v>-1133</v>
      </c>
      <c r="BO43" s="87">
        <f t="shared" si="89"/>
        <v>1273</v>
      </c>
      <c r="BP43" s="87">
        <f t="shared" si="89"/>
        <v>2976</v>
      </c>
      <c r="BQ43" s="87">
        <f t="shared" si="89"/>
        <v>-1651</v>
      </c>
      <c r="BR43" s="87">
        <f t="shared" si="89"/>
        <v>-2913</v>
      </c>
      <c r="BS43" s="87">
        <f t="shared" si="89"/>
        <v>-8985</v>
      </c>
      <c r="BT43" s="87">
        <f t="shared" si="89"/>
        <v>-5804</v>
      </c>
      <c r="BU43" s="87">
        <f t="shared" si="89"/>
        <v>-12175</v>
      </c>
      <c r="BV43" s="87">
        <f t="shared" si="89"/>
        <v>-17556</v>
      </c>
      <c r="BW43" s="87">
        <f t="shared" si="89"/>
        <v>-12040</v>
      </c>
      <c r="BX43" s="87">
        <f t="shared" si="89"/>
        <v>-8681</v>
      </c>
      <c r="BY43" s="87">
        <f t="shared" si="89"/>
        <v>-6864</v>
      </c>
      <c r="BZ43" s="87">
        <f t="shared" si="89"/>
        <v>-5333</v>
      </c>
      <c r="CA43" s="267">
        <f t="shared" si="89"/>
        <v>-6482</v>
      </c>
      <c r="CB43" s="267">
        <f t="shared" si="89"/>
        <v>-10599</v>
      </c>
      <c r="CC43" s="267">
        <f t="shared" si="89"/>
        <v>-523</v>
      </c>
      <c r="CD43" s="267">
        <f t="shared" si="89"/>
        <v>250</v>
      </c>
      <c r="CE43" s="309">
        <f t="shared" si="89"/>
        <v>689</v>
      </c>
      <c r="CF43" s="309">
        <f t="shared" si="89"/>
        <v>1548</v>
      </c>
      <c r="CG43" s="309">
        <f t="shared" si="89"/>
        <v>-1663</v>
      </c>
      <c r="CH43" s="309">
        <f t="shared" si="89"/>
        <v>738</v>
      </c>
      <c r="CI43" s="309">
        <f t="shared" si="89"/>
        <v>3450</v>
      </c>
      <c r="CJ43" s="309">
        <f t="shared" si="89"/>
        <v>4610</v>
      </c>
      <c r="CK43" s="309">
        <f t="shared" si="89"/>
        <v>3595</v>
      </c>
      <c r="CL43" s="309">
        <f t="shared" si="89"/>
        <v>2545</v>
      </c>
      <c r="CM43" s="309">
        <f t="shared" si="89"/>
        <v>-145</v>
      </c>
      <c r="CN43" s="309">
        <f t="shared" si="89"/>
        <v>2455</v>
      </c>
      <c r="CO43" s="309">
        <f t="shared" si="89"/>
        <v>-4635</v>
      </c>
      <c r="CP43" s="309">
        <f t="shared" si="89"/>
        <v>-3016</v>
      </c>
      <c r="CQ43" s="309">
        <f t="shared" si="89"/>
        <v>143</v>
      </c>
      <c r="CR43" s="309">
        <f t="shared" si="89"/>
        <v>5757</v>
      </c>
      <c r="CS43" s="309"/>
      <c r="CT43" s="348"/>
      <c r="CU43" s="67">
        <f>'MONTHLY SUMMARIES'!D31</f>
        <v>29861</v>
      </c>
    </row>
    <row r="44" spans="1:99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/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48"/>
      <c r="CU44" s="67">
        <f>GETPIVOTDATA("VALUE",'CSS ESCO pvt'!$I$3,"DATE_FILE",$CU$8,"COMPANY",$CU$6,"TRIM_CAT","Residential-GRID","TRIM_LINE",$A42)</f>
        <v>14960</v>
      </c>
    </row>
    <row r="45" spans="1:99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/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48"/>
      <c r="CU45" s="81">
        <f>CU43-CU44</f>
        <v>14901</v>
      </c>
    </row>
    <row r="46" spans="1:99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/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R46" si="90">O46-C46</f>
        <v>515</v>
      </c>
      <c r="BJ46" s="87">
        <f t="shared" si="90"/>
        <v>1247</v>
      </c>
      <c r="BK46" s="87">
        <f t="shared" si="90"/>
        <v>-475</v>
      </c>
      <c r="BL46" s="87">
        <f t="shared" si="90"/>
        <v>-1267</v>
      </c>
      <c r="BM46" s="87">
        <f t="shared" si="90"/>
        <v>-344</v>
      </c>
      <c r="BN46" s="87">
        <f t="shared" si="90"/>
        <v>-1112</v>
      </c>
      <c r="BO46" s="87">
        <f t="shared" si="90"/>
        <v>-1128</v>
      </c>
      <c r="BP46" s="87">
        <f t="shared" si="90"/>
        <v>-955</v>
      </c>
      <c r="BQ46" s="87">
        <f t="shared" si="90"/>
        <v>-1661</v>
      </c>
      <c r="BR46" s="87">
        <f t="shared" si="90"/>
        <v>-1338</v>
      </c>
      <c r="BS46" s="87">
        <f t="shared" si="90"/>
        <v>-2248</v>
      </c>
      <c r="BT46" s="87">
        <f t="shared" si="90"/>
        <v>-1580</v>
      </c>
      <c r="BU46" s="87">
        <f t="shared" si="90"/>
        <v>-1095</v>
      </c>
      <c r="BV46" s="87">
        <f t="shared" si="90"/>
        <v>-2233</v>
      </c>
      <c r="BW46" s="87">
        <f t="shared" si="90"/>
        <v>-1018</v>
      </c>
      <c r="BX46" s="87">
        <f t="shared" si="90"/>
        <v>-218</v>
      </c>
      <c r="BY46" s="87">
        <f t="shared" si="90"/>
        <v>-889</v>
      </c>
      <c r="BZ46" s="87">
        <f t="shared" si="90"/>
        <v>-441</v>
      </c>
      <c r="CA46" s="267">
        <f t="shared" si="90"/>
        <v>-502</v>
      </c>
      <c r="CB46" s="267">
        <f t="shared" si="90"/>
        <v>-1722</v>
      </c>
      <c r="CC46" s="267">
        <f t="shared" si="90"/>
        <v>-1885</v>
      </c>
      <c r="CD46" s="267">
        <f t="shared" si="90"/>
        <v>-1006</v>
      </c>
      <c r="CE46" s="309">
        <f t="shared" si="90"/>
        <v>-554</v>
      </c>
      <c r="CF46" s="309">
        <f t="shared" si="90"/>
        <v>-82</v>
      </c>
      <c r="CG46" s="309">
        <f t="shared" si="90"/>
        <v>-1137</v>
      </c>
      <c r="CH46" s="309">
        <f t="shared" si="90"/>
        <v>681</v>
      </c>
      <c r="CI46" s="309">
        <f t="shared" si="90"/>
        <v>921</v>
      </c>
      <c r="CJ46" s="309">
        <f t="shared" si="90"/>
        <v>889</v>
      </c>
      <c r="CK46" s="309">
        <f t="shared" si="90"/>
        <v>744</v>
      </c>
      <c r="CL46" s="309">
        <f t="shared" si="90"/>
        <v>526</v>
      </c>
      <c r="CM46" s="309">
        <f t="shared" si="90"/>
        <v>862</v>
      </c>
      <c r="CN46" s="309">
        <f t="shared" si="90"/>
        <v>2216</v>
      </c>
      <c r="CO46" s="309">
        <f t="shared" si="90"/>
        <v>2549</v>
      </c>
      <c r="CP46" s="309">
        <f t="shared" si="90"/>
        <v>1244</v>
      </c>
      <c r="CQ46" s="309">
        <f t="shared" si="90"/>
        <v>2909</v>
      </c>
      <c r="CR46" s="309">
        <f t="shared" si="90"/>
        <v>4105</v>
      </c>
      <c r="CS46" s="309"/>
      <c r="CT46" s="348"/>
      <c r="CU46" s="67">
        <f>'MONTHLY SUMMARIES'!D32</f>
        <v>8438</v>
      </c>
    </row>
    <row r="47" spans="1:99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/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48"/>
      <c r="CU47" s="67">
        <f>GETPIVOTDATA("VALUE",'CSS ESCO pvt'!$I$3,"DATE_FILE",$CU$8,"COMPANY",$CU$6,"TRIM_CAT","Low Income Residential-GRID","TRIM_LINE",$A42)</f>
        <v>4606</v>
      </c>
    </row>
    <row r="48" spans="1:99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/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48"/>
      <c r="CU48" s="81">
        <f>CU46-CU47</f>
        <v>3832</v>
      </c>
    </row>
    <row r="49" spans="1:99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/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91">O49-C49</f>
        <v>1240</v>
      </c>
      <c r="BJ49" s="87">
        <f t="shared" si="91"/>
        <v>2653</v>
      </c>
      <c r="BK49" s="87">
        <f t="shared" si="91"/>
        <v>1282</v>
      </c>
      <c r="BL49" s="87">
        <f t="shared" si="91"/>
        <v>-47</v>
      </c>
      <c r="BM49" s="87">
        <f t="shared" si="91"/>
        <v>636</v>
      </c>
      <c r="BN49" s="87">
        <f t="shared" si="91"/>
        <v>-135</v>
      </c>
      <c r="BO49" s="87">
        <f t="shared" si="91"/>
        <v>-606</v>
      </c>
      <c r="BP49" s="87">
        <f t="shared" si="91"/>
        <v>-260</v>
      </c>
      <c r="BQ49" s="87">
        <f t="shared" si="91"/>
        <v>-327</v>
      </c>
      <c r="BR49" s="87">
        <f t="shared" si="91"/>
        <v>-503</v>
      </c>
      <c r="BS49" s="87">
        <f t="shared" ref="BS49:CB51" si="92">Y49-M49</f>
        <v>-983</v>
      </c>
      <c r="BT49" s="87">
        <f t="shared" si="92"/>
        <v>-241</v>
      </c>
      <c r="BU49" s="87">
        <f t="shared" si="92"/>
        <v>-830</v>
      </c>
      <c r="BV49" s="87">
        <f t="shared" si="92"/>
        <v>-4040</v>
      </c>
      <c r="BW49" s="87">
        <f t="shared" si="92"/>
        <v>-1825</v>
      </c>
      <c r="BX49" s="87">
        <f t="shared" si="92"/>
        <v>42</v>
      </c>
      <c r="BY49" s="87">
        <f t="shared" si="92"/>
        <v>192</v>
      </c>
      <c r="BZ49" s="87">
        <f t="shared" si="92"/>
        <v>-1487</v>
      </c>
      <c r="CA49" s="267">
        <f t="shared" si="92"/>
        <v>514</v>
      </c>
      <c r="CB49" s="267">
        <f t="shared" si="92"/>
        <v>1862</v>
      </c>
      <c r="CC49" s="267">
        <f t="shared" ref="CC49:CL51" si="93">AI49-W49</f>
        <v>2418</v>
      </c>
      <c r="CD49" s="267">
        <f t="shared" si="93"/>
        <v>1453</v>
      </c>
      <c r="CE49" s="309">
        <f t="shared" si="93"/>
        <v>1252</v>
      </c>
      <c r="CF49" s="309">
        <f t="shared" si="93"/>
        <v>1246</v>
      </c>
      <c r="CG49" s="309">
        <f t="shared" si="93"/>
        <v>2737</v>
      </c>
      <c r="CH49" s="309">
        <f t="shared" si="93"/>
        <v>2428</v>
      </c>
      <c r="CI49" s="309">
        <f t="shared" si="93"/>
        <v>1346</v>
      </c>
      <c r="CJ49" s="309">
        <f t="shared" si="93"/>
        <v>1348</v>
      </c>
      <c r="CK49" s="309">
        <f t="shared" si="93"/>
        <v>1278</v>
      </c>
      <c r="CL49" s="309">
        <f t="shared" si="93"/>
        <v>2555</v>
      </c>
      <c r="CM49" s="309">
        <f t="shared" ref="CM49:CR51" si="94">AS49-AG49</f>
        <v>1285</v>
      </c>
      <c r="CN49" s="309">
        <f t="shared" si="94"/>
        <v>-289</v>
      </c>
      <c r="CO49" s="309">
        <f t="shared" si="94"/>
        <v>-1847</v>
      </c>
      <c r="CP49" s="309">
        <f t="shared" si="94"/>
        <v>-1211</v>
      </c>
      <c r="CQ49" s="309">
        <f t="shared" si="94"/>
        <v>-965</v>
      </c>
      <c r="CR49" s="309">
        <f t="shared" si="94"/>
        <v>-525</v>
      </c>
      <c r="CS49" s="309"/>
      <c r="CT49" s="348"/>
      <c r="CU49" s="67">
        <f>'MONTHLY SUMMARIES'!D33</f>
        <v>6110</v>
      </c>
    </row>
    <row r="50" spans="1:99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/>
      <c r="BA50" s="293"/>
      <c r="BB50" s="293"/>
      <c r="BC50" s="293"/>
      <c r="BD50" s="293"/>
      <c r="BE50" s="293"/>
      <c r="BF50" s="293"/>
      <c r="BG50" s="293"/>
      <c r="BH50" s="293"/>
      <c r="BI50" s="86">
        <f t="shared" si="91"/>
        <v>46</v>
      </c>
      <c r="BJ50" s="87">
        <f t="shared" si="91"/>
        <v>242</v>
      </c>
      <c r="BK50" s="87">
        <f t="shared" si="91"/>
        <v>275</v>
      </c>
      <c r="BL50" s="87">
        <f t="shared" si="91"/>
        <v>127</v>
      </c>
      <c r="BM50" s="87">
        <f t="shared" si="91"/>
        <v>55</v>
      </c>
      <c r="BN50" s="87">
        <f t="shared" si="91"/>
        <v>-48</v>
      </c>
      <c r="BO50" s="87">
        <f t="shared" si="91"/>
        <v>-1</v>
      </c>
      <c r="BP50" s="87">
        <f t="shared" si="91"/>
        <v>-3</v>
      </c>
      <c r="BQ50" s="87">
        <f t="shared" si="91"/>
        <v>-18</v>
      </c>
      <c r="BR50" s="87">
        <f t="shared" si="91"/>
        <v>-69</v>
      </c>
      <c r="BS50" s="87">
        <f t="shared" si="92"/>
        <v>-50</v>
      </c>
      <c r="BT50" s="87">
        <f t="shared" si="92"/>
        <v>74</v>
      </c>
      <c r="BU50" s="87">
        <f t="shared" si="92"/>
        <v>7</v>
      </c>
      <c r="BV50" s="87">
        <f t="shared" si="92"/>
        <v>-303</v>
      </c>
      <c r="BW50" s="87">
        <f t="shared" si="92"/>
        <v>-322</v>
      </c>
      <c r="BX50" s="87">
        <f t="shared" si="92"/>
        <v>-126</v>
      </c>
      <c r="BY50" s="87">
        <f t="shared" si="92"/>
        <v>8</v>
      </c>
      <c r="BZ50" s="87">
        <f t="shared" si="92"/>
        <v>-40</v>
      </c>
      <c r="CA50" s="267">
        <f t="shared" si="92"/>
        <v>17</v>
      </c>
      <c r="CB50" s="267">
        <f t="shared" si="92"/>
        <v>49</v>
      </c>
      <c r="CC50" s="267">
        <f t="shared" si="93"/>
        <v>222</v>
      </c>
      <c r="CD50" s="267">
        <f t="shared" si="93"/>
        <v>113</v>
      </c>
      <c r="CE50" s="309">
        <f t="shared" si="93"/>
        <v>120</v>
      </c>
      <c r="CF50" s="309">
        <f t="shared" si="93"/>
        <v>71</v>
      </c>
      <c r="CG50" s="309">
        <f t="shared" si="93"/>
        <v>158</v>
      </c>
      <c r="CH50" s="309">
        <f t="shared" si="93"/>
        <v>89</v>
      </c>
      <c r="CI50" s="309">
        <f t="shared" si="93"/>
        <v>119</v>
      </c>
      <c r="CJ50" s="309">
        <f t="shared" si="93"/>
        <v>40</v>
      </c>
      <c r="CK50" s="309">
        <f t="shared" si="93"/>
        <v>29</v>
      </c>
      <c r="CL50" s="309">
        <f t="shared" si="93"/>
        <v>66</v>
      </c>
      <c r="CM50" s="309">
        <f t="shared" si="94"/>
        <v>16</v>
      </c>
      <c r="CN50" s="309">
        <f t="shared" si="94"/>
        <v>4</v>
      </c>
      <c r="CO50" s="309">
        <f t="shared" si="94"/>
        <v>-122</v>
      </c>
      <c r="CP50" s="309">
        <f t="shared" si="94"/>
        <v>-33</v>
      </c>
      <c r="CQ50" s="309">
        <f t="shared" si="94"/>
        <v>-115</v>
      </c>
      <c r="CR50" s="309">
        <f t="shared" si="94"/>
        <v>-108</v>
      </c>
      <c r="CS50" s="309"/>
      <c r="CT50" s="348"/>
      <c r="CU50" s="67">
        <f>'MONTHLY SUMMARIES'!D34</f>
        <v>310</v>
      </c>
    </row>
    <row r="51" spans="1:99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/>
      <c r="BA51" s="293"/>
      <c r="BB51" s="293"/>
      <c r="BC51" s="293"/>
      <c r="BD51" s="293"/>
      <c r="BE51" s="293"/>
      <c r="BF51" s="293"/>
      <c r="BG51" s="293"/>
      <c r="BH51" s="293"/>
      <c r="BI51" s="86">
        <f t="shared" si="91"/>
        <v>15</v>
      </c>
      <c r="BJ51" s="87">
        <f t="shared" si="91"/>
        <v>54</v>
      </c>
      <c r="BK51" s="87">
        <f t="shared" si="91"/>
        <v>66</v>
      </c>
      <c r="BL51" s="87">
        <f t="shared" si="91"/>
        <v>51</v>
      </c>
      <c r="BM51" s="87">
        <f t="shared" si="91"/>
        <v>11</v>
      </c>
      <c r="BN51" s="87">
        <f t="shared" si="91"/>
        <v>-1</v>
      </c>
      <c r="BO51" s="87">
        <f t="shared" si="91"/>
        <v>1</v>
      </c>
      <c r="BP51" s="87">
        <f t="shared" si="91"/>
        <v>19</v>
      </c>
      <c r="BQ51" s="87">
        <f t="shared" si="91"/>
        <v>-12</v>
      </c>
      <c r="BR51" s="87">
        <f t="shared" si="91"/>
        <v>6</v>
      </c>
      <c r="BS51" s="87">
        <f t="shared" si="92"/>
        <v>-1</v>
      </c>
      <c r="BT51" s="87">
        <f t="shared" si="92"/>
        <v>40</v>
      </c>
      <c r="BU51" s="87">
        <f t="shared" si="92"/>
        <v>7</v>
      </c>
      <c r="BV51" s="87">
        <f t="shared" si="92"/>
        <v>-65</v>
      </c>
      <c r="BW51" s="87">
        <f t="shared" si="92"/>
        <v>-62</v>
      </c>
      <c r="BX51" s="87">
        <f t="shared" si="92"/>
        <v>-47</v>
      </c>
      <c r="BY51" s="87">
        <f t="shared" si="92"/>
        <v>-13</v>
      </c>
      <c r="BZ51" s="87">
        <f t="shared" si="92"/>
        <v>-12</v>
      </c>
      <c r="CA51" s="267">
        <f t="shared" si="92"/>
        <v>-11</v>
      </c>
      <c r="CB51" s="267">
        <f t="shared" si="92"/>
        <v>16</v>
      </c>
      <c r="CC51" s="267">
        <f t="shared" si="93"/>
        <v>101</v>
      </c>
      <c r="CD51" s="267">
        <f t="shared" si="93"/>
        <v>45</v>
      </c>
      <c r="CE51" s="309">
        <f t="shared" si="93"/>
        <v>55</v>
      </c>
      <c r="CF51" s="309">
        <f t="shared" si="93"/>
        <v>26</v>
      </c>
      <c r="CG51" s="309">
        <f t="shared" si="93"/>
        <v>48</v>
      </c>
      <c r="CH51" s="309">
        <f t="shared" si="93"/>
        <v>43</v>
      </c>
      <c r="CI51" s="309">
        <f t="shared" si="93"/>
        <v>23</v>
      </c>
      <c r="CJ51" s="309">
        <f t="shared" si="93"/>
        <v>13</v>
      </c>
      <c r="CK51" s="309">
        <f t="shared" si="93"/>
        <v>11</v>
      </c>
      <c r="CL51" s="309">
        <f t="shared" si="93"/>
        <v>34</v>
      </c>
      <c r="CM51" s="309">
        <f t="shared" si="94"/>
        <v>34</v>
      </c>
      <c r="CN51" s="309">
        <f t="shared" si="94"/>
        <v>23</v>
      </c>
      <c r="CO51" s="309">
        <f t="shared" si="94"/>
        <v>-62</v>
      </c>
      <c r="CP51" s="309">
        <f t="shared" si="94"/>
        <v>-59</v>
      </c>
      <c r="CQ51" s="309">
        <f t="shared" si="94"/>
        <v>-55</v>
      </c>
      <c r="CR51" s="309">
        <f t="shared" si="94"/>
        <v>-43</v>
      </c>
      <c r="CS51" s="309"/>
      <c r="CT51" s="348"/>
      <c r="CU51" s="67">
        <f>'MONTHLY SUMMARIES'!D35</f>
        <v>86</v>
      </c>
    </row>
    <row r="52" spans="1:99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95">SUM(D43:D51)</f>
        <v>40155</v>
      </c>
      <c r="E52" s="141">
        <f t="shared" si="95"/>
        <v>41999</v>
      </c>
      <c r="F52" s="141">
        <f t="shared" si="95"/>
        <v>39544</v>
      </c>
      <c r="G52" s="141">
        <f t="shared" si="95"/>
        <v>34687</v>
      </c>
      <c r="H52" s="141">
        <f t="shared" si="95"/>
        <v>38838</v>
      </c>
      <c r="I52" s="141">
        <f t="shared" si="95"/>
        <v>41685</v>
      </c>
      <c r="J52" s="141">
        <f t="shared" si="95"/>
        <v>49085</v>
      </c>
      <c r="K52" s="141">
        <f t="shared" si="95"/>
        <v>49751</v>
      </c>
      <c r="L52" s="142">
        <f t="shared" si="95"/>
        <v>43461</v>
      </c>
      <c r="M52" s="141">
        <f t="shared" si="95"/>
        <v>44348</v>
      </c>
      <c r="N52" s="141">
        <f t="shared" si="95"/>
        <v>40087</v>
      </c>
      <c r="O52" s="141">
        <f t="shared" si="95"/>
        <v>51559</v>
      </c>
      <c r="P52" s="141">
        <f t="shared" si="95"/>
        <v>60387</v>
      </c>
      <c r="Q52" s="141">
        <f t="shared" si="95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96">SUM(V43+V46+V49+V50+V51)</f>
        <v>50862</v>
      </c>
      <c r="W52" s="193">
        <f t="shared" si="96"/>
        <v>46082</v>
      </c>
      <c r="X52" s="142">
        <f t="shared" si="96"/>
        <v>38644</v>
      </c>
      <c r="Y52" s="193">
        <f t="shared" si="96"/>
        <v>32081</v>
      </c>
      <c r="Z52" s="193">
        <f t="shared" si="96"/>
        <v>32576</v>
      </c>
      <c r="AA52" s="193">
        <f t="shared" si="96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/>
      <c r="BA52" s="294"/>
      <c r="BB52" s="294"/>
      <c r="BC52" s="294"/>
      <c r="BD52" s="294"/>
      <c r="BE52" s="294"/>
      <c r="BF52" s="294"/>
      <c r="BG52" s="294"/>
      <c r="BH52" s="294"/>
      <c r="BI52" s="88">
        <f t="shared" ref="BI52:BN52" si="97">SUM(BI43:BI51)</f>
        <v>14256</v>
      </c>
      <c r="BJ52" s="143">
        <f t="shared" si="97"/>
        <v>20232</v>
      </c>
      <c r="BK52" s="143">
        <f t="shared" si="97"/>
        <v>5691</v>
      </c>
      <c r="BL52" s="143">
        <f t="shared" si="97"/>
        <v>1321</v>
      </c>
      <c r="BM52" s="143">
        <f t="shared" si="97"/>
        <v>1292</v>
      </c>
      <c r="BN52" s="143">
        <f t="shared" si="97"/>
        <v>-2429</v>
      </c>
      <c r="BO52" s="143">
        <f t="shared" ref="BO52:BP52" si="98">SUM(BO43:BO51)</f>
        <v>-461</v>
      </c>
      <c r="BP52" s="143">
        <f t="shared" si="98"/>
        <v>1777</v>
      </c>
      <c r="BQ52" s="143">
        <f t="shared" ref="BQ52:BR52" si="99">SUM(BQ43:BQ51)</f>
        <v>-3669</v>
      </c>
      <c r="BR52" s="143">
        <f t="shared" si="99"/>
        <v>-4817</v>
      </c>
      <c r="BS52" s="143">
        <f t="shared" ref="BS52:BT52" si="100">SUM(BS43:BS51)</f>
        <v>-12267</v>
      </c>
      <c r="BT52" s="143">
        <f t="shared" si="100"/>
        <v>-7511</v>
      </c>
      <c r="BU52" s="143">
        <f t="shared" ref="BU52:BV52" si="101">SUM(BU43:BU51)</f>
        <v>-14086</v>
      </c>
      <c r="BV52" s="143">
        <f t="shared" si="101"/>
        <v>-24197</v>
      </c>
      <c r="BW52" s="143">
        <f t="shared" ref="BW52:BX52" si="102">SUM(BW43:BW51)</f>
        <v>-15267</v>
      </c>
      <c r="BX52" s="143">
        <f t="shared" si="102"/>
        <v>-9030</v>
      </c>
      <c r="BY52" s="143">
        <f t="shared" ref="BY52:BZ52" si="103">SUM(BY43:BY51)</f>
        <v>-7566</v>
      </c>
      <c r="BZ52" s="143">
        <f t="shared" si="103"/>
        <v>-7313</v>
      </c>
      <c r="CA52" s="268">
        <f t="shared" ref="CA52:CB52" si="104">SUM(CA43:CA51)</f>
        <v>-6464</v>
      </c>
      <c r="CB52" s="268">
        <f t="shared" si="104"/>
        <v>-10394</v>
      </c>
      <c r="CC52" s="268">
        <f t="shared" ref="CC52:CE52" si="105">SUM(CC43:CC51)</f>
        <v>333</v>
      </c>
      <c r="CD52" s="268">
        <f t="shared" si="105"/>
        <v>855</v>
      </c>
      <c r="CE52" s="310">
        <f t="shared" si="105"/>
        <v>1562</v>
      </c>
      <c r="CF52" s="310">
        <f t="shared" ref="CF52:CG52" si="106">SUM(CF43:CF51)</f>
        <v>2809</v>
      </c>
      <c r="CG52" s="310">
        <f t="shared" si="106"/>
        <v>143</v>
      </c>
      <c r="CH52" s="310">
        <f t="shared" ref="CH52:CI52" si="107">SUM(CH43:CH51)</f>
        <v>3979</v>
      </c>
      <c r="CI52" s="310">
        <f t="shared" si="107"/>
        <v>5859</v>
      </c>
      <c r="CJ52" s="310">
        <f t="shared" ref="CJ52" si="108">SUM(CJ43:CJ51)</f>
        <v>6900</v>
      </c>
      <c r="CK52" s="310">
        <f t="shared" ref="CK52" si="109">SUM(CK43:CK51)</f>
        <v>5657</v>
      </c>
      <c r="CL52" s="310">
        <f t="shared" ref="CL52" si="110">SUM(CL43:CL51)</f>
        <v>5726</v>
      </c>
      <c r="CM52" s="310">
        <f t="shared" ref="CM52" si="111">SUM(CM43:CM51)</f>
        <v>2052</v>
      </c>
      <c r="CN52" s="310">
        <f t="shared" ref="CN52" si="112">SUM(CN43:CN51)</f>
        <v>4409</v>
      </c>
      <c r="CO52" s="310">
        <f t="shared" ref="CO52" si="113">SUM(CO43:CO51)</f>
        <v>-4117</v>
      </c>
      <c r="CP52" s="310">
        <f t="shared" ref="CP52" si="114">SUM(CP43:CP51)</f>
        <v>-3075</v>
      </c>
      <c r="CQ52" s="310">
        <f t="shared" ref="CQ52:CS52" si="115">SUM(CQ43:CQ51)</f>
        <v>1917</v>
      </c>
      <c r="CR52" s="310">
        <f t="shared" ref="CR52" si="116">SUM(CR43:CR51)</f>
        <v>9186</v>
      </c>
      <c r="CS52" s="310"/>
      <c r="CT52" s="349"/>
      <c r="CU52" s="262">
        <f>CU43+CU46+CU49+CU50+CU51</f>
        <v>44805</v>
      </c>
    </row>
    <row r="53" spans="1:9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48"/>
      <c r="CU53" s="93"/>
    </row>
    <row r="54" spans="1:99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/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R54" si="117">O54-C54</f>
        <v>20586</v>
      </c>
      <c r="BJ54" s="87">
        <f t="shared" si="117"/>
        <v>30331</v>
      </c>
      <c r="BK54" s="87">
        <f t="shared" si="117"/>
        <v>40680</v>
      </c>
      <c r="BL54" s="87">
        <f t="shared" si="117"/>
        <v>40922</v>
      </c>
      <c r="BM54" s="87">
        <f t="shared" si="117"/>
        <v>37934</v>
      </c>
      <c r="BN54" s="87">
        <f t="shared" si="117"/>
        <v>38039</v>
      </c>
      <c r="BO54" s="87">
        <f t="shared" si="117"/>
        <v>38649</v>
      </c>
      <c r="BP54" s="87">
        <f t="shared" si="117"/>
        <v>43224</v>
      </c>
      <c r="BQ54" s="87">
        <f t="shared" si="117"/>
        <v>42944</v>
      </c>
      <c r="BR54" s="87">
        <f t="shared" si="117"/>
        <v>42800</v>
      </c>
      <c r="BS54" s="87">
        <f t="shared" si="117"/>
        <v>36136</v>
      </c>
      <c r="BT54" s="87">
        <f t="shared" si="117"/>
        <v>32723</v>
      </c>
      <c r="BU54" s="87">
        <f t="shared" si="117"/>
        <v>22698</v>
      </c>
      <c r="BV54" s="87">
        <f t="shared" si="117"/>
        <v>15910</v>
      </c>
      <c r="BW54" s="87">
        <f t="shared" si="117"/>
        <v>-405</v>
      </c>
      <c r="BX54" s="87">
        <f t="shared" si="117"/>
        <v>-8547</v>
      </c>
      <c r="BY54" s="87">
        <f t="shared" si="117"/>
        <v>-12530</v>
      </c>
      <c r="BZ54" s="87">
        <f t="shared" si="117"/>
        <v>-16817</v>
      </c>
      <c r="CA54" s="267">
        <f t="shared" si="117"/>
        <v>-20543</v>
      </c>
      <c r="CB54" s="267">
        <f t="shared" si="117"/>
        <v>-24136</v>
      </c>
      <c r="CC54" s="267">
        <f t="shared" si="117"/>
        <v>-26847</v>
      </c>
      <c r="CD54" s="267">
        <f t="shared" si="117"/>
        <v>-28578</v>
      </c>
      <c r="CE54" s="309">
        <f t="shared" si="117"/>
        <v>-22678</v>
      </c>
      <c r="CF54" s="309">
        <f t="shared" si="117"/>
        <v>-20885</v>
      </c>
      <c r="CG54" s="309">
        <f t="shared" si="117"/>
        <v>-17855</v>
      </c>
      <c r="CH54" s="309">
        <f t="shared" si="117"/>
        <v>-24726</v>
      </c>
      <c r="CI54" s="309">
        <f t="shared" si="117"/>
        <v>-19621</v>
      </c>
      <c r="CJ54" s="309">
        <f t="shared" si="117"/>
        <v>-15487</v>
      </c>
      <c r="CK54" s="309">
        <f t="shared" si="117"/>
        <v>-7847</v>
      </c>
      <c r="CL54" s="309">
        <f t="shared" si="117"/>
        <v>-7297</v>
      </c>
      <c r="CM54" s="309">
        <f t="shared" si="117"/>
        <v>-6001</v>
      </c>
      <c r="CN54" s="309">
        <f t="shared" si="117"/>
        <v>-7648</v>
      </c>
      <c r="CO54" s="309">
        <f t="shared" si="117"/>
        <v>-8473</v>
      </c>
      <c r="CP54" s="309">
        <f t="shared" si="117"/>
        <v>-5724</v>
      </c>
      <c r="CQ54" s="309">
        <f t="shared" si="117"/>
        <v>-12808</v>
      </c>
      <c r="CR54" s="309">
        <f t="shared" si="117"/>
        <v>-11013</v>
      </c>
      <c r="CS54" s="309"/>
      <c r="CT54" s="348"/>
      <c r="CU54" s="67">
        <f>'MONTHLY SUMMARIES'!D38</f>
        <v>76055</v>
      </c>
    </row>
    <row r="55" spans="1:99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/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48"/>
      <c r="CU55" s="67">
        <f>GETPIVOTDATA("VALUE",'CSS ESCO pvt'!$I$3,"DATE_FILE",$CU$8,"COMPANY",$CU$6,"TRIM_CAT","Residential-GRID","TRIM_LINE",$A53)</f>
        <v>35812</v>
      </c>
    </row>
    <row r="56" spans="1:99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/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48"/>
      <c r="CU56" s="81">
        <f>CU54-CU55</f>
        <v>40243</v>
      </c>
    </row>
    <row r="57" spans="1:99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/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R57" si="118">O57-C57</f>
        <v>6491</v>
      </c>
      <c r="BJ57" s="87">
        <f t="shared" si="118"/>
        <v>10195</v>
      </c>
      <c r="BK57" s="87">
        <f t="shared" si="118"/>
        <v>9951</v>
      </c>
      <c r="BL57" s="87">
        <f t="shared" si="118"/>
        <v>8890</v>
      </c>
      <c r="BM57" s="87">
        <f t="shared" si="118"/>
        <v>10614</v>
      </c>
      <c r="BN57" s="87">
        <f t="shared" si="118"/>
        <v>9592</v>
      </c>
      <c r="BO57" s="87">
        <f t="shared" si="118"/>
        <v>8352</v>
      </c>
      <c r="BP57" s="87">
        <f t="shared" si="118"/>
        <v>7394</v>
      </c>
      <c r="BQ57" s="87">
        <f t="shared" si="118"/>
        <v>9330</v>
      </c>
      <c r="BR57" s="87">
        <f t="shared" si="118"/>
        <v>10559</v>
      </c>
      <c r="BS57" s="87">
        <f t="shared" si="118"/>
        <v>7714</v>
      </c>
      <c r="BT57" s="87">
        <f t="shared" si="118"/>
        <v>9469</v>
      </c>
      <c r="BU57" s="87">
        <f t="shared" si="118"/>
        <v>9147</v>
      </c>
      <c r="BV57" s="87">
        <f t="shared" si="118"/>
        <v>4389</v>
      </c>
      <c r="BW57" s="87">
        <f t="shared" si="118"/>
        <v>5893</v>
      </c>
      <c r="BX57" s="87">
        <f t="shared" si="118"/>
        <v>6563</v>
      </c>
      <c r="BY57" s="87">
        <f t="shared" si="118"/>
        <v>4077</v>
      </c>
      <c r="BZ57" s="87">
        <f t="shared" si="118"/>
        <v>4219</v>
      </c>
      <c r="CA57" s="267">
        <f t="shared" si="118"/>
        <v>3229</v>
      </c>
      <c r="CB57" s="267">
        <f t="shared" si="118"/>
        <v>1348</v>
      </c>
      <c r="CC57" s="267">
        <f t="shared" si="118"/>
        <v>-8807</v>
      </c>
      <c r="CD57" s="267">
        <f t="shared" si="118"/>
        <v>-6171</v>
      </c>
      <c r="CE57" s="309">
        <f t="shared" si="118"/>
        <v>-7281</v>
      </c>
      <c r="CF57" s="309">
        <f t="shared" si="118"/>
        <v>-9973</v>
      </c>
      <c r="CG57" s="309">
        <f t="shared" si="118"/>
        <v>-9614</v>
      </c>
      <c r="CH57" s="309">
        <f t="shared" si="118"/>
        <v>-5688</v>
      </c>
      <c r="CI57" s="309">
        <f t="shared" si="118"/>
        <v>-5224</v>
      </c>
      <c r="CJ57" s="309">
        <f t="shared" si="118"/>
        <v>-4821</v>
      </c>
      <c r="CK57" s="309">
        <f t="shared" si="118"/>
        <v>-5246</v>
      </c>
      <c r="CL57" s="309">
        <f t="shared" si="118"/>
        <v>-5757</v>
      </c>
      <c r="CM57" s="309">
        <f t="shared" si="118"/>
        <v>-2046</v>
      </c>
      <c r="CN57" s="309">
        <f t="shared" si="118"/>
        <v>-514</v>
      </c>
      <c r="CO57" s="309">
        <f t="shared" si="118"/>
        <v>7110</v>
      </c>
      <c r="CP57" s="309">
        <f t="shared" si="118"/>
        <v>239</v>
      </c>
      <c r="CQ57" s="309">
        <f t="shared" si="118"/>
        <v>6732</v>
      </c>
      <c r="CR57" s="309">
        <f t="shared" si="118"/>
        <v>8300</v>
      </c>
      <c r="CS57" s="309"/>
      <c r="CT57" s="348"/>
      <c r="CU57" s="67">
        <f>'MONTHLY SUMMARIES'!D39</f>
        <v>44793</v>
      </c>
    </row>
    <row r="58" spans="1:99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/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48"/>
      <c r="CU58" s="67">
        <f>GETPIVOTDATA("VALUE",'CSS ESCO pvt'!$I$3,"DATE_FILE",$CU$8,"COMPANY",$CU$6,"TRIM_CAT","Low Income Residential-GRID","TRIM_LINE",$A53)</f>
        <v>19685</v>
      </c>
    </row>
    <row r="59" spans="1:99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/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48"/>
      <c r="CU59" s="81">
        <f>CU57-CU58</f>
        <v>25108</v>
      </c>
    </row>
    <row r="60" spans="1:99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/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19">O60-C60</f>
        <v>1813</v>
      </c>
      <c r="BJ60" s="87">
        <f t="shared" si="119"/>
        <v>4152</v>
      </c>
      <c r="BK60" s="87">
        <f t="shared" si="119"/>
        <v>6260</v>
      </c>
      <c r="BL60" s="87">
        <f t="shared" si="119"/>
        <v>6523</v>
      </c>
      <c r="BM60" s="87">
        <f t="shared" si="119"/>
        <v>6110</v>
      </c>
      <c r="BN60" s="87">
        <f t="shared" si="119"/>
        <v>5417</v>
      </c>
      <c r="BO60" s="87">
        <f t="shared" si="119"/>
        <v>4749</v>
      </c>
      <c r="BP60" s="87">
        <f t="shared" si="119"/>
        <v>3432</v>
      </c>
      <c r="BQ60" s="87">
        <f t="shared" si="119"/>
        <v>3373</v>
      </c>
      <c r="BR60" s="87">
        <f t="shared" si="119"/>
        <v>3639</v>
      </c>
      <c r="BS60" s="87">
        <f t="shared" ref="BS60:CB62" si="120">Y60-M60</f>
        <v>3341</v>
      </c>
      <c r="BT60" s="87">
        <f t="shared" si="120"/>
        <v>3489</v>
      </c>
      <c r="BU60" s="87">
        <f t="shared" si="120"/>
        <v>2322</v>
      </c>
      <c r="BV60" s="87">
        <f t="shared" si="120"/>
        <v>221</v>
      </c>
      <c r="BW60" s="87">
        <f t="shared" si="120"/>
        <v>-2895</v>
      </c>
      <c r="BX60" s="87">
        <f t="shared" si="120"/>
        <v>-3258</v>
      </c>
      <c r="BY60" s="87">
        <f t="shared" si="120"/>
        <v>-2744</v>
      </c>
      <c r="BZ60" s="87">
        <f t="shared" si="120"/>
        <v>-1854</v>
      </c>
      <c r="CA60" s="267">
        <f t="shared" si="120"/>
        <v>-1959</v>
      </c>
      <c r="CB60" s="267">
        <f t="shared" si="120"/>
        <v>-478</v>
      </c>
      <c r="CC60" s="267">
        <f t="shared" ref="CC60:CL62" si="121">AI60-W60</f>
        <v>-463</v>
      </c>
      <c r="CD60" s="267">
        <f t="shared" si="121"/>
        <v>-74</v>
      </c>
      <c r="CE60" s="309">
        <f t="shared" si="121"/>
        <v>-44</v>
      </c>
      <c r="CF60" s="309">
        <f t="shared" si="121"/>
        <v>-130</v>
      </c>
      <c r="CG60" s="309">
        <f t="shared" si="121"/>
        <v>132</v>
      </c>
      <c r="CH60" s="309">
        <f t="shared" si="121"/>
        <v>169</v>
      </c>
      <c r="CI60" s="309">
        <f t="shared" si="121"/>
        <v>530</v>
      </c>
      <c r="CJ60" s="309">
        <f t="shared" si="121"/>
        <v>472</v>
      </c>
      <c r="CK60" s="309">
        <f t="shared" si="121"/>
        <v>479</v>
      </c>
      <c r="CL60" s="309">
        <f t="shared" si="121"/>
        <v>912</v>
      </c>
      <c r="CM60" s="309">
        <f t="shared" ref="CM60:CR62" si="122">AS60-AG60</f>
        <v>935</v>
      </c>
      <c r="CN60" s="309">
        <f t="shared" si="122"/>
        <v>1009</v>
      </c>
      <c r="CO60" s="309">
        <f t="shared" si="122"/>
        <v>-403</v>
      </c>
      <c r="CP60" s="309">
        <f t="shared" si="122"/>
        <v>-957</v>
      </c>
      <c r="CQ60" s="309">
        <f t="shared" si="122"/>
        <v>-1265</v>
      </c>
      <c r="CR60" s="309">
        <f t="shared" si="122"/>
        <v>-1171</v>
      </c>
      <c r="CS60" s="309"/>
      <c r="CT60" s="348"/>
      <c r="CU60" s="67">
        <f>'MONTHLY SUMMARIES'!D40</f>
        <v>9148</v>
      </c>
    </row>
    <row r="61" spans="1:99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/>
      <c r="BA61" s="293"/>
      <c r="BB61" s="293"/>
      <c r="BC61" s="293"/>
      <c r="BD61" s="293"/>
      <c r="BE61" s="293"/>
      <c r="BF61" s="293"/>
      <c r="BG61" s="293"/>
      <c r="BH61" s="293"/>
      <c r="BI61" s="86">
        <f t="shared" si="119"/>
        <v>66</v>
      </c>
      <c r="BJ61" s="87">
        <f t="shared" si="119"/>
        <v>182</v>
      </c>
      <c r="BK61" s="87">
        <f t="shared" si="119"/>
        <v>384</v>
      </c>
      <c r="BL61" s="87">
        <f t="shared" si="119"/>
        <v>421</v>
      </c>
      <c r="BM61" s="87">
        <f t="shared" si="119"/>
        <v>367</v>
      </c>
      <c r="BN61" s="87">
        <f t="shared" si="119"/>
        <v>367</v>
      </c>
      <c r="BO61" s="87">
        <f t="shared" si="119"/>
        <v>252</v>
      </c>
      <c r="BP61" s="87">
        <f t="shared" si="119"/>
        <v>227</v>
      </c>
      <c r="BQ61" s="87">
        <f t="shared" si="119"/>
        <v>205</v>
      </c>
      <c r="BR61" s="87">
        <f t="shared" si="119"/>
        <v>222</v>
      </c>
      <c r="BS61" s="87">
        <f t="shared" si="120"/>
        <v>230</v>
      </c>
      <c r="BT61" s="87">
        <f t="shared" si="120"/>
        <v>206</v>
      </c>
      <c r="BU61" s="87">
        <f t="shared" si="120"/>
        <v>115</v>
      </c>
      <c r="BV61" s="87">
        <f t="shared" si="120"/>
        <v>14</v>
      </c>
      <c r="BW61" s="87">
        <f t="shared" si="120"/>
        <v>-251</v>
      </c>
      <c r="BX61" s="87">
        <f t="shared" si="120"/>
        <v>-303</v>
      </c>
      <c r="BY61" s="87">
        <f t="shared" si="120"/>
        <v>-242</v>
      </c>
      <c r="BZ61" s="87">
        <f t="shared" si="120"/>
        <v>-252</v>
      </c>
      <c r="CA61" s="267">
        <f t="shared" si="120"/>
        <v>-190</v>
      </c>
      <c r="CB61" s="267">
        <f t="shared" si="120"/>
        <v>-107</v>
      </c>
      <c r="CC61" s="267">
        <f t="shared" si="121"/>
        <v>-68</v>
      </c>
      <c r="CD61" s="267">
        <f t="shared" si="121"/>
        <v>-81</v>
      </c>
      <c r="CE61" s="309">
        <f t="shared" si="121"/>
        <v>-1</v>
      </c>
      <c r="CF61" s="309">
        <f t="shared" si="121"/>
        <v>-50</v>
      </c>
      <c r="CG61" s="309">
        <f t="shared" si="121"/>
        <v>-33</v>
      </c>
      <c r="CH61" s="309">
        <f t="shared" si="121"/>
        <v>-37</v>
      </c>
      <c r="CI61" s="309">
        <f t="shared" si="121"/>
        <v>53</v>
      </c>
      <c r="CJ61" s="309">
        <f t="shared" si="121"/>
        <v>42</v>
      </c>
      <c r="CK61" s="309">
        <f t="shared" si="121"/>
        <v>23</v>
      </c>
      <c r="CL61" s="309">
        <f t="shared" si="121"/>
        <v>49</v>
      </c>
      <c r="CM61" s="309">
        <f t="shared" si="122"/>
        <v>83</v>
      </c>
      <c r="CN61" s="309">
        <f t="shared" si="122"/>
        <v>45</v>
      </c>
      <c r="CO61" s="309">
        <f t="shared" si="122"/>
        <v>-1</v>
      </c>
      <c r="CP61" s="309">
        <f t="shared" si="122"/>
        <v>9</v>
      </c>
      <c r="CQ61" s="309">
        <f t="shared" si="122"/>
        <v>-96</v>
      </c>
      <c r="CR61" s="309">
        <f t="shared" si="122"/>
        <v>-72</v>
      </c>
      <c r="CS61" s="309"/>
      <c r="CT61" s="348"/>
      <c r="CU61" s="67">
        <f>'MONTHLY SUMMARIES'!D41</f>
        <v>418</v>
      </c>
    </row>
    <row r="62" spans="1:99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/>
      <c r="BA62" s="293"/>
      <c r="BB62" s="293"/>
      <c r="BC62" s="293"/>
      <c r="BD62" s="293"/>
      <c r="BE62" s="293"/>
      <c r="BF62" s="293"/>
      <c r="BG62" s="293"/>
      <c r="BH62" s="293"/>
      <c r="BI62" s="86">
        <f t="shared" si="119"/>
        <v>16</v>
      </c>
      <c r="BJ62" s="87">
        <f t="shared" si="119"/>
        <v>43</v>
      </c>
      <c r="BK62" s="87">
        <f t="shared" si="119"/>
        <v>88</v>
      </c>
      <c r="BL62" s="87">
        <f t="shared" si="119"/>
        <v>114</v>
      </c>
      <c r="BM62" s="87">
        <f t="shared" si="119"/>
        <v>90</v>
      </c>
      <c r="BN62" s="87">
        <f t="shared" si="119"/>
        <v>78</v>
      </c>
      <c r="BO62" s="87">
        <f t="shared" si="119"/>
        <v>43</v>
      </c>
      <c r="BP62" s="87">
        <f t="shared" si="119"/>
        <v>44</v>
      </c>
      <c r="BQ62" s="87">
        <f t="shared" si="119"/>
        <v>33</v>
      </c>
      <c r="BR62" s="87">
        <f t="shared" si="119"/>
        <v>29</v>
      </c>
      <c r="BS62" s="87">
        <f t="shared" si="120"/>
        <v>24</v>
      </c>
      <c r="BT62" s="87">
        <f t="shared" si="120"/>
        <v>35</v>
      </c>
      <c r="BU62" s="87">
        <f t="shared" si="120"/>
        <v>17</v>
      </c>
      <c r="BV62" s="87">
        <f t="shared" si="120"/>
        <v>-7</v>
      </c>
      <c r="BW62" s="87">
        <f t="shared" si="120"/>
        <v>-53</v>
      </c>
      <c r="BX62" s="87">
        <f t="shared" si="120"/>
        <v>-64</v>
      </c>
      <c r="BY62" s="87">
        <f t="shared" si="120"/>
        <v>-44</v>
      </c>
      <c r="BZ62" s="87">
        <f t="shared" si="120"/>
        <v>-42</v>
      </c>
      <c r="CA62" s="267">
        <f t="shared" si="120"/>
        <v>-22</v>
      </c>
      <c r="CB62" s="267">
        <f t="shared" si="120"/>
        <v>-10</v>
      </c>
      <c r="CC62" s="267">
        <f t="shared" si="121"/>
        <v>17</v>
      </c>
      <c r="CD62" s="267">
        <f t="shared" si="121"/>
        <v>28</v>
      </c>
      <c r="CE62" s="309">
        <f t="shared" si="121"/>
        <v>77</v>
      </c>
      <c r="CF62" s="309">
        <f t="shared" si="121"/>
        <v>31</v>
      </c>
      <c r="CG62" s="309">
        <f t="shared" si="121"/>
        <v>43</v>
      </c>
      <c r="CH62" s="309">
        <f t="shared" si="121"/>
        <v>18</v>
      </c>
      <c r="CI62" s="309">
        <f t="shared" si="121"/>
        <v>31</v>
      </c>
      <c r="CJ62" s="309">
        <f t="shared" si="121"/>
        <v>24</v>
      </c>
      <c r="CK62" s="309">
        <f t="shared" si="121"/>
        <v>30</v>
      </c>
      <c r="CL62" s="309">
        <f t="shared" si="121"/>
        <v>18</v>
      </c>
      <c r="CM62" s="309">
        <f t="shared" si="122"/>
        <v>40</v>
      </c>
      <c r="CN62" s="309">
        <f t="shared" si="122"/>
        <v>36</v>
      </c>
      <c r="CO62" s="309">
        <f t="shared" si="122"/>
        <v>22</v>
      </c>
      <c r="CP62" s="309">
        <f t="shared" si="122"/>
        <v>10</v>
      </c>
      <c r="CQ62" s="309">
        <f t="shared" si="122"/>
        <v>-66</v>
      </c>
      <c r="CR62" s="309">
        <f t="shared" si="122"/>
        <v>-13</v>
      </c>
      <c r="CS62" s="309"/>
      <c r="CT62" s="348"/>
      <c r="CU62" s="67">
        <f>'MONTHLY SUMMARIES'!D42</f>
        <v>152</v>
      </c>
    </row>
    <row r="63" spans="1:99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23">SUM(D54:D62)</f>
        <v>90537</v>
      </c>
      <c r="E63" s="72">
        <f t="shared" si="123"/>
        <v>91654</v>
      </c>
      <c r="F63" s="72">
        <f t="shared" si="123"/>
        <v>94767</v>
      </c>
      <c r="G63" s="72">
        <f t="shared" si="123"/>
        <v>95766</v>
      </c>
      <c r="H63" s="72">
        <f t="shared" si="123"/>
        <v>94469</v>
      </c>
      <c r="I63" s="72">
        <f t="shared" si="123"/>
        <v>94851</v>
      </c>
      <c r="J63" s="72">
        <f t="shared" si="123"/>
        <v>97669</v>
      </c>
      <c r="K63" s="72">
        <f t="shared" si="123"/>
        <v>108163</v>
      </c>
      <c r="L63" s="73">
        <f t="shared" si="123"/>
        <v>113831</v>
      </c>
      <c r="M63" s="72">
        <f t="shared" si="123"/>
        <v>117837</v>
      </c>
      <c r="N63" s="72">
        <f t="shared" si="123"/>
        <v>114961</v>
      </c>
      <c r="O63" s="72">
        <f t="shared" si="123"/>
        <v>119576</v>
      </c>
      <c r="P63" s="72">
        <f t="shared" si="123"/>
        <v>135440</v>
      </c>
      <c r="Q63" s="72">
        <f t="shared" si="123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24">SUM(X54+X57+X60+X61+X62)</f>
        <v>171080</v>
      </c>
      <c r="Y63" s="190">
        <f t="shared" si="124"/>
        <v>165282</v>
      </c>
      <c r="Z63" s="190">
        <v>160883</v>
      </c>
      <c r="AA63" s="190">
        <f t="shared" si="124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/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:BN63" si="125">SUM(BI54:BI62)</f>
        <v>28972</v>
      </c>
      <c r="BJ63" s="75">
        <f t="shared" si="125"/>
        <v>44903</v>
      </c>
      <c r="BK63" s="75">
        <f t="shared" si="125"/>
        <v>57363</v>
      </c>
      <c r="BL63" s="75">
        <f t="shared" si="125"/>
        <v>56870</v>
      </c>
      <c r="BM63" s="75">
        <f t="shared" si="125"/>
        <v>55115</v>
      </c>
      <c r="BN63" s="75">
        <f t="shared" si="125"/>
        <v>53493</v>
      </c>
      <c r="BO63" s="75">
        <f t="shared" ref="BO63:BP63" si="126">SUM(BO54:BO62)</f>
        <v>52045</v>
      </c>
      <c r="BP63" s="75">
        <f t="shared" si="126"/>
        <v>54321</v>
      </c>
      <c r="BQ63" s="75">
        <f t="shared" ref="BQ63:BR63" si="127">SUM(BQ54:BQ62)</f>
        <v>55885</v>
      </c>
      <c r="BR63" s="75">
        <f t="shared" si="127"/>
        <v>57249</v>
      </c>
      <c r="BS63" s="75">
        <f t="shared" ref="BS63:BT63" si="128">SUM(BS54:BS62)</f>
        <v>47445</v>
      </c>
      <c r="BT63" s="75">
        <f t="shared" si="128"/>
        <v>45922</v>
      </c>
      <c r="BU63" s="75">
        <f t="shared" ref="BU63:BV63" si="129">SUM(BU54:BU62)</f>
        <v>34299</v>
      </c>
      <c r="BV63" s="75">
        <f t="shared" si="129"/>
        <v>20527</v>
      </c>
      <c r="BW63" s="75">
        <f t="shared" ref="BW63:BX63" si="130">SUM(BW54:BW62)</f>
        <v>2289</v>
      </c>
      <c r="BX63" s="75">
        <f t="shared" si="130"/>
        <v>-5609</v>
      </c>
      <c r="BY63" s="75">
        <f t="shared" ref="BY63:BZ63" si="131">SUM(BY54:BY62)</f>
        <v>-11483</v>
      </c>
      <c r="BZ63" s="75">
        <f t="shared" si="131"/>
        <v>-14746</v>
      </c>
      <c r="CA63" s="265">
        <f t="shared" ref="CA63:CB63" si="132">SUM(CA54:CA62)</f>
        <v>-19485</v>
      </c>
      <c r="CB63" s="265">
        <f t="shared" si="132"/>
        <v>-23383</v>
      </c>
      <c r="CC63" s="265">
        <f t="shared" ref="CC63:CE63" si="133">SUM(CC54:CC62)</f>
        <v>-36168</v>
      </c>
      <c r="CD63" s="265">
        <f t="shared" si="133"/>
        <v>-34876</v>
      </c>
      <c r="CE63" s="324">
        <f t="shared" si="133"/>
        <v>-29927</v>
      </c>
      <c r="CF63" s="324">
        <f t="shared" ref="CF63:CG63" si="134">SUM(CF54:CF62)</f>
        <v>-31007</v>
      </c>
      <c r="CG63" s="324">
        <f t="shared" si="134"/>
        <v>-27327</v>
      </c>
      <c r="CH63" s="324">
        <f t="shared" ref="CH63:CI63" si="135">SUM(CH54:CH62)</f>
        <v>-30264</v>
      </c>
      <c r="CI63" s="324">
        <f t="shared" si="135"/>
        <v>-24231</v>
      </c>
      <c r="CJ63" s="324">
        <f t="shared" ref="CJ63" si="136">SUM(CJ54:CJ62)</f>
        <v>-19770</v>
      </c>
      <c r="CK63" s="324">
        <f t="shared" ref="CK63" si="137">SUM(CK54:CK62)</f>
        <v>-12561</v>
      </c>
      <c r="CL63" s="324">
        <f t="shared" ref="CL63" si="138">SUM(CL54:CL62)</f>
        <v>-12075</v>
      </c>
      <c r="CM63" s="324">
        <f t="shared" ref="CM63" si="139">SUM(CM54:CM62)</f>
        <v>-6989</v>
      </c>
      <c r="CN63" s="324">
        <f t="shared" ref="CN63" si="140">SUM(CN54:CN62)</f>
        <v>-7072</v>
      </c>
      <c r="CO63" s="324">
        <f t="shared" ref="CO63" si="141">SUM(CO54:CO62)</f>
        <v>-1745</v>
      </c>
      <c r="CP63" s="365">
        <f t="shared" ref="CP63" si="142">SUM(CP54:CP62)</f>
        <v>-6423</v>
      </c>
      <c r="CQ63" s="365">
        <f t="shared" ref="CQ63:CS63" si="143">SUM(CQ54:CQ62)</f>
        <v>-7503</v>
      </c>
      <c r="CR63" s="365">
        <f t="shared" ref="CR63" si="144">SUM(CR54:CR62)</f>
        <v>-3969</v>
      </c>
      <c r="CS63" s="365"/>
      <c r="CT63" s="349"/>
      <c r="CU63" s="74">
        <f>CU54+CU57+CU60+CU61+CU62</f>
        <v>130566</v>
      </c>
    </row>
    <row r="64" spans="1:9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50"/>
      <c r="CU64" s="98"/>
    </row>
    <row r="65" spans="1:99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/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R65" si="145">O65-C65</f>
        <v>8010819.0400000028</v>
      </c>
      <c r="BJ65" s="46">
        <f t="shared" si="145"/>
        <v>5424555.8399999999</v>
      </c>
      <c r="BK65" s="46">
        <f t="shared" si="145"/>
        <v>9254098.2600000016</v>
      </c>
      <c r="BL65" s="46">
        <f t="shared" si="145"/>
        <v>9693475.0300000012</v>
      </c>
      <c r="BM65" s="46">
        <f t="shared" si="145"/>
        <v>8571651.6600000001</v>
      </c>
      <c r="BN65" s="46">
        <f t="shared" si="145"/>
        <v>9341116.8099999987</v>
      </c>
      <c r="BO65" s="46">
        <f t="shared" si="145"/>
        <v>12453204.84</v>
      </c>
      <c r="BP65" s="46">
        <f t="shared" si="145"/>
        <v>6250236.1400000006</v>
      </c>
      <c r="BQ65" s="46">
        <f t="shared" si="145"/>
        <v>4747090.0500000007</v>
      </c>
      <c r="BR65" s="46">
        <f t="shared" si="145"/>
        <v>4877439.3999999985</v>
      </c>
      <c r="BS65" s="46">
        <f t="shared" si="145"/>
        <v>4750913.870000001</v>
      </c>
      <c r="BT65" s="46">
        <f t="shared" si="145"/>
        <v>3021969.4099999964</v>
      </c>
      <c r="BU65" s="46">
        <f t="shared" si="145"/>
        <v>760555.05999999866</v>
      </c>
      <c r="BV65" s="46">
        <f t="shared" si="145"/>
        <v>1412385</v>
      </c>
      <c r="BW65" s="46">
        <f t="shared" si="145"/>
        <v>-4583373</v>
      </c>
      <c r="BX65" s="46">
        <f t="shared" si="145"/>
        <v>-4244052</v>
      </c>
      <c r="BY65" s="46">
        <f t="shared" si="145"/>
        <v>-2690907</v>
      </c>
      <c r="BZ65" s="46">
        <f t="shared" si="145"/>
        <v>-5895447</v>
      </c>
      <c r="CA65" s="271">
        <f t="shared" si="145"/>
        <v>-12663564</v>
      </c>
      <c r="CB65" s="271">
        <f t="shared" si="145"/>
        <v>790425</v>
      </c>
      <c r="CC65" s="271">
        <f t="shared" si="145"/>
        <v>-2096851</v>
      </c>
      <c r="CD65" s="271">
        <f t="shared" si="145"/>
        <v>-3710237</v>
      </c>
      <c r="CE65" s="312">
        <f t="shared" si="145"/>
        <v>363927</v>
      </c>
      <c r="CF65" s="312">
        <f t="shared" si="145"/>
        <v>-2731210</v>
      </c>
      <c r="CG65" s="312">
        <f t="shared" si="145"/>
        <v>2407664</v>
      </c>
      <c r="CH65" s="312">
        <f t="shared" si="145"/>
        <v>-2601772</v>
      </c>
      <c r="CI65" s="312">
        <f t="shared" si="145"/>
        <v>791004</v>
      </c>
      <c r="CJ65" s="312">
        <f t="shared" si="145"/>
        <v>405582</v>
      </c>
      <c r="CK65" s="312">
        <f t="shared" si="145"/>
        <v>-286218</v>
      </c>
      <c r="CL65" s="312">
        <f t="shared" si="145"/>
        <v>528473</v>
      </c>
      <c r="CM65" s="312">
        <f t="shared" si="145"/>
        <v>8310244</v>
      </c>
      <c r="CN65" s="312">
        <f t="shared" si="145"/>
        <v>-166730</v>
      </c>
      <c r="CO65" s="312">
        <f t="shared" si="145"/>
        <v>-2044308</v>
      </c>
      <c r="CP65" s="312">
        <f t="shared" si="145"/>
        <v>7058893</v>
      </c>
      <c r="CQ65" s="312">
        <f t="shared" si="145"/>
        <v>11478996</v>
      </c>
      <c r="CR65" s="312">
        <f t="shared" si="145"/>
        <v>11897789</v>
      </c>
      <c r="CS65" s="312"/>
      <c r="CT65" s="350"/>
      <c r="CU65" s="67">
        <f>'MONTHLY SUMMARIES'!D45</f>
        <v>45651102</v>
      </c>
    </row>
    <row r="66" spans="1:99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/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50"/>
      <c r="CU66" s="67">
        <f>GETPIVOTDATA("VALUE",'CSS ESCO pvt'!$I$3,"DATE_FILE",$CU$8,"COMPANY",$CU$6,"TRIM_CAT","Residential-GRID","TRIM_LINE",$A64)</f>
        <v>24735400</v>
      </c>
    </row>
    <row r="67" spans="1:99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/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50"/>
      <c r="CU67" s="81">
        <f>CU65-CU66</f>
        <v>20915702</v>
      </c>
    </row>
    <row r="68" spans="1:99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/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R68" si="146">O68-C68</f>
        <v>196265.45999999996</v>
      </c>
      <c r="BJ68" s="46">
        <f t="shared" si="146"/>
        <v>160392.03000000026</v>
      </c>
      <c r="BK68" s="46">
        <f t="shared" si="146"/>
        <v>662886.86000000034</v>
      </c>
      <c r="BL68" s="46">
        <f t="shared" si="146"/>
        <v>903895.15000000037</v>
      </c>
      <c r="BM68" s="46">
        <f t="shared" si="146"/>
        <v>1246923.2300000004</v>
      </c>
      <c r="BN68" s="46">
        <f t="shared" si="146"/>
        <v>1219778.2800000003</v>
      </c>
      <c r="BO68" s="46">
        <f t="shared" si="146"/>
        <v>834992.54</v>
      </c>
      <c r="BP68" s="46">
        <f t="shared" si="146"/>
        <v>120460.59999999963</v>
      </c>
      <c r="BQ68" s="46">
        <f t="shared" si="146"/>
        <v>388097.08999999985</v>
      </c>
      <c r="BR68" s="46">
        <f t="shared" si="146"/>
        <v>556634.90000000037</v>
      </c>
      <c r="BS68" s="46">
        <f t="shared" si="146"/>
        <v>611913.53000000026</v>
      </c>
      <c r="BT68" s="46">
        <f t="shared" si="146"/>
        <v>882446.76999999955</v>
      </c>
      <c r="BU68" s="46">
        <f t="shared" si="146"/>
        <v>1584951.9000000004</v>
      </c>
      <c r="BV68" s="46">
        <f t="shared" si="146"/>
        <v>929278</v>
      </c>
      <c r="BW68" s="46">
        <f t="shared" si="146"/>
        <v>467654</v>
      </c>
      <c r="BX68" s="46">
        <f t="shared" si="146"/>
        <v>600723</v>
      </c>
      <c r="BY68" s="46">
        <f t="shared" si="146"/>
        <v>575961</v>
      </c>
      <c r="BZ68" s="46">
        <f t="shared" si="146"/>
        <v>484726</v>
      </c>
      <c r="CA68" s="271">
        <f t="shared" si="146"/>
        <v>-463936</v>
      </c>
      <c r="CB68" s="271">
        <f t="shared" si="146"/>
        <v>1130184</v>
      </c>
      <c r="CC68" s="271">
        <f t="shared" si="146"/>
        <v>-774220</v>
      </c>
      <c r="CD68" s="271">
        <f t="shared" si="146"/>
        <v>-109655</v>
      </c>
      <c r="CE68" s="312">
        <f t="shared" si="146"/>
        <v>382691</v>
      </c>
      <c r="CF68" s="312">
        <f t="shared" si="146"/>
        <v>-1202794</v>
      </c>
      <c r="CG68" s="312">
        <f t="shared" si="146"/>
        <v>185590</v>
      </c>
      <c r="CH68" s="312">
        <f t="shared" si="146"/>
        <v>466104</v>
      </c>
      <c r="CI68" s="312">
        <f t="shared" si="146"/>
        <v>708818</v>
      </c>
      <c r="CJ68" s="312">
        <f t="shared" si="146"/>
        <v>511776</v>
      </c>
      <c r="CK68" s="312">
        <f t="shared" si="146"/>
        <v>-312677</v>
      </c>
      <c r="CL68" s="312">
        <f t="shared" si="146"/>
        <v>70459</v>
      </c>
      <c r="CM68" s="312">
        <f t="shared" si="146"/>
        <v>2281666</v>
      </c>
      <c r="CN68" s="312">
        <f t="shared" si="146"/>
        <v>1055845</v>
      </c>
      <c r="CO68" s="312">
        <f t="shared" si="146"/>
        <v>1448802</v>
      </c>
      <c r="CP68" s="312">
        <f t="shared" si="146"/>
        <v>2082757</v>
      </c>
      <c r="CQ68" s="312">
        <f t="shared" si="146"/>
        <v>5579610</v>
      </c>
      <c r="CR68" s="312">
        <f t="shared" si="146"/>
        <v>6432433</v>
      </c>
      <c r="CS68" s="312"/>
      <c r="CT68" s="350"/>
      <c r="CU68" s="67">
        <f>'MONTHLY SUMMARIES'!D46</f>
        <v>14252339</v>
      </c>
    </row>
    <row r="69" spans="1:99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/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50"/>
      <c r="CU69" s="67">
        <f>GETPIVOTDATA("VALUE",'CSS ESCO pvt'!$I$3,"DATE_FILE",$CU$8,"COMPANY",$CU$6,"TRIM_CAT","Low Income Residential-GRID","TRIM_LINE",$A64)</f>
        <v>7730946</v>
      </c>
    </row>
    <row r="70" spans="1:99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/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50"/>
      <c r="CU70" s="81">
        <f>CU68-CU69</f>
        <v>6521393</v>
      </c>
    </row>
    <row r="71" spans="1:99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/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7">O71-C71</f>
        <v>932287.71999999974</v>
      </c>
      <c r="BJ71" s="46">
        <f t="shared" si="147"/>
        <v>2576572.2300000004</v>
      </c>
      <c r="BK71" s="46">
        <f t="shared" si="147"/>
        <v>1704197.4900000002</v>
      </c>
      <c r="BL71" s="46">
        <f t="shared" si="147"/>
        <v>1736725.2400000002</v>
      </c>
      <c r="BM71" s="46">
        <f t="shared" si="147"/>
        <v>947985.79999999981</v>
      </c>
      <c r="BN71" s="46">
        <f t="shared" si="147"/>
        <v>915628.54</v>
      </c>
      <c r="BO71" s="46">
        <f t="shared" si="147"/>
        <v>423841.50999999978</v>
      </c>
      <c r="BP71" s="46">
        <f t="shared" si="147"/>
        <v>273473.30999999959</v>
      </c>
      <c r="BQ71" s="46">
        <f t="shared" si="147"/>
        <v>682808.15000000037</v>
      </c>
      <c r="BR71" s="46">
        <f t="shared" si="147"/>
        <v>415775.91999999993</v>
      </c>
      <c r="BS71" s="46">
        <f t="shared" ref="BS71:CB73" si="148">Y71-M71</f>
        <v>1126080.7400000002</v>
      </c>
      <c r="BT71" s="46">
        <f t="shared" si="148"/>
        <v>1033836.0899999999</v>
      </c>
      <c r="BU71" s="46">
        <f t="shared" si="148"/>
        <v>-700185.91000000015</v>
      </c>
      <c r="BV71" s="46">
        <f t="shared" si="148"/>
        <v>-2201967</v>
      </c>
      <c r="BW71" s="46">
        <f t="shared" si="148"/>
        <v>-829916</v>
      </c>
      <c r="BX71" s="46">
        <f t="shared" si="148"/>
        <v>-12638</v>
      </c>
      <c r="BY71" s="46">
        <f t="shared" si="148"/>
        <v>428557</v>
      </c>
      <c r="BZ71" s="46">
        <f t="shared" si="148"/>
        <v>46597</v>
      </c>
      <c r="CA71" s="271">
        <f t="shared" si="148"/>
        <v>582781</v>
      </c>
      <c r="CB71" s="271">
        <f t="shared" si="148"/>
        <v>2312281</v>
      </c>
      <c r="CC71" s="271">
        <f t="shared" ref="CC71:CL73" si="149">AI71-W71</f>
        <v>1318341</v>
      </c>
      <c r="CD71" s="271">
        <f t="shared" si="149"/>
        <v>699289</v>
      </c>
      <c r="CE71" s="312">
        <f t="shared" si="149"/>
        <v>2941571</v>
      </c>
      <c r="CF71" s="312">
        <f t="shared" si="149"/>
        <v>1452567</v>
      </c>
      <c r="CG71" s="312">
        <f t="shared" si="149"/>
        <v>2203749</v>
      </c>
      <c r="CH71" s="312">
        <f t="shared" si="149"/>
        <v>261134</v>
      </c>
      <c r="CI71" s="312">
        <f t="shared" si="149"/>
        <v>875248</v>
      </c>
      <c r="CJ71" s="312">
        <f t="shared" si="149"/>
        <v>406977</v>
      </c>
      <c r="CK71" s="312">
        <f t="shared" si="149"/>
        <v>160640</v>
      </c>
      <c r="CL71" s="312">
        <f t="shared" si="149"/>
        <v>576347</v>
      </c>
      <c r="CM71" s="312">
        <f t="shared" ref="CM71:CR73" si="150">AS71-AG71</f>
        <v>1435589</v>
      </c>
      <c r="CN71" s="312">
        <f t="shared" si="150"/>
        <v>-283327</v>
      </c>
      <c r="CO71" s="312">
        <f t="shared" si="150"/>
        <v>-1219104</v>
      </c>
      <c r="CP71" s="312">
        <f t="shared" si="150"/>
        <v>778595</v>
      </c>
      <c r="CQ71" s="312">
        <f t="shared" si="150"/>
        <v>-1070714</v>
      </c>
      <c r="CR71" s="312">
        <f t="shared" si="150"/>
        <v>400353</v>
      </c>
      <c r="CS71" s="312"/>
      <c r="CT71" s="350"/>
      <c r="CU71" s="67">
        <f>'MONTHLY SUMMARIES'!D47</f>
        <v>8843750</v>
      </c>
    </row>
    <row r="72" spans="1:99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/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7"/>
        <v>1005061.8099999996</v>
      </c>
      <c r="BJ72" s="46">
        <f t="shared" si="147"/>
        <v>3004831.0300000003</v>
      </c>
      <c r="BK72" s="46">
        <f t="shared" si="147"/>
        <v>2589953.54</v>
      </c>
      <c r="BL72" s="46">
        <f t="shared" si="147"/>
        <v>1746017.15</v>
      </c>
      <c r="BM72" s="46">
        <f t="shared" si="147"/>
        <v>671707.89000000013</v>
      </c>
      <c r="BN72" s="46">
        <f t="shared" si="147"/>
        <v>1084724.33</v>
      </c>
      <c r="BO72" s="46">
        <f t="shared" si="147"/>
        <v>1068354.81</v>
      </c>
      <c r="BP72" s="46">
        <f t="shared" si="147"/>
        <v>741307.41999999993</v>
      </c>
      <c r="BQ72" s="46">
        <f t="shared" si="147"/>
        <v>768095.96</v>
      </c>
      <c r="BR72" s="46">
        <f t="shared" si="147"/>
        <v>423782.18999999994</v>
      </c>
      <c r="BS72" s="46">
        <f t="shared" si="148"/>
        <v>1526029.4300000002</v>
      </c>
      <c r="BT72" s="46">
        <f t="shared" si="148"/>
        <v>1744228.6900000004</v>
      </c>
      <c r="BU72" s="46">
        <f t="shared" si="148"/>
        <v>151158.5700000003</v>
      </c>
      <c r="BV72" s="46">
        <f t="shared" si="148"/>
        <v>-3002166</v>
      </c>
      <c r="BW72" s="46">
        <f t="shared" si="148"/>
        <v>-1382643</v>
      </c>
      <c r="BX72" s="46">
        <f t="shared" si="148"/>
        <v>-103552</v>
      </c>
      <c r="BY72" s="46">
        <f t="shared" si="148"/>
        <v>1082795</v>
      </c>
      <c r="BZ72" s="46">
        <f t="shared" si="148"/>
        <v>-347952</v>
      </c>
      <c r="CA72" s="271">
        <f t="shared" si="148"/>
        <v>-114517</v>
      </c>
      <c r="CB72" s="271">
        <f t="shared" si="148"/>
        <v>3020539</v>
      </c>
      <c r="CC72" s="271">
        <f t="shared" si="149"/>
        <v>2701098</v>
      </c>
      <c r="CD72" s="271">
        <f t="shared" si="149"/>
        <v>1493864</v>
      </c>
      <c r="CE72" s="312">
        <f t="shared" si="149"/>
        <v>2620206</v>
      </c>
      <c r="CF72" s="312">
        <f t="shared" si="149"/>
        <v>848099</v>
      </c>
      <c r="CG72" s="312">
        <f t="shared" si="149"/>
        <v>1628400</v>
      </c>
      <c r="CH72" s="312">
        <f t="shared" si="149"/>
        <v>760361</v>
      </c>
      <c r="CI72" s="312">
        <f t="shared" si="149"/>
        <v>999751</v>
      </c>
      <c r="CJ72" s="312">
        <f t="shared" si="149"/>
        <v>39930</v>
      </c>
      <c r="CK72" s="312">
        <f t="shared" si="149"/>
        <v>-150053</v>
      </c>
      <c r="CL72" s="312">
        <f t="shared" si="149"/>
        <v>739642</v>
      </c>
      <c r="CM72" s="312">
        <f t="shared" si="150"/>
        <v>1421000</v>
      </c>
      <c r="CN72" s="312">
        <f t="shared" si="150"/>
        <v>-567269</v>
      </c>
      <c r="CO72" s="312">
        <f t="shared" si="150"/>
        <v>-683252</v>
      </c>
      <c r="CP72" s="312">
        <f t="shared" si="150"/>
        <v>-394641</v>
      </c>
      <c r="CQ72" s="312">
        <f t="shared" si="150"/>
        <v>-2445085</v>
      </c>
      <c r="CR72" s="312">
        <f t="shared" si="150"/>
        <v>-1058000</v>
      </c>
      <c r="CS72" s="312"/>
      <c r="CT72" s="350"/>
      <c r="CU72" s="67">
        <f>'MONTHLY SUMMARIES'!D48</f>
        <v>6405088</v>
      </c>
    </row>
    <row r="73" spans="1:99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/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7"/>
        <v>1231592.67</v>
      </c>
      <c r="BJ73" s="46">
        <f t="shared" si="147"/>
        <v>1642116.8399999999</v>
      </c>
      <c r="BK73" s="46">
        <f t="shared" si="147"/>
        <v>3056370.7800000003</v>
      </c>
      <c r="BL73" s="46">
        <f t="shared" si="147"/>
        <v>3119447.61</v>
      </c>
      <c r="BM73" s="46">
        <f t="shared" si="147"/>
        <v>1106733.3499999996</v>
      </c>
      <c r="BN73" s="46">
        <f t="shared" si="147"/>
        <v>2681678.58</v>
      </c>
      <c r="BO73" s="46">
        <f t="shared" si="147"/>
        <v>1286897.3700000001</v>
      </c>
      <c r="BP73" s="46">
        <f t="shared" si="147"/>
        <v>2185823.4300000002</v>
      </c>
      <c r="BQ73" s="46">
        <f t="shared" si="147"/>
        <v>2112725.6100000003</v>
      </c>
      <c r="BR73" s="46">
        <f t="shared" si="147"/>
        <v>1511152.6600000001</v>
      </c>
      <c r="BS73" s="46">
        <f t="shared" si="148"/>
        <v>2210783.9800000004</v>
      </c>
      <c r="BT73" s="46">
        <f t="shared" si="148"/>
        <v>3407973.1900000004</v>
      </c>
      <c r="BU73" s="46">
        <f t="shared" si="148"/>
        <v>-1800792.9000000004</v>
      </c>
      <c r="BV73" s="46">
        <f t="shared" si="148"/>
        <v>-802241</v>
      </c>
      <c r="BW73" s="46">
        <f t="shared" si="148"/>
        <v>-2622223</v>
      </c>
      <c r="BX73" s="46">
        <f t="shared" si="148"/>
        <v>-502166</v>
      </c>
      <c r="BY73" s="46">
        <f t="shared" si="148"/>
        <v>2183347</v>
      </c>
      <c r="BZ73" s="46">
        <f t="shared" si="148"/>
        <v>-1135368</v>
      </c>
      <c r="CA73" s="271">
        <f t="shared" si="148"/>
        <v>452318</v>
      </c>
      <c r="CB73" s="271">
        <f t="shared" si="148"/>
        <v>7843404</v>
      </c>
      <c r="CC73" s="271">
        <f t="shared" si="149"/>
        <v>6317415</v>
      </c>
      <c r="CD73" s="271">
        <f t="shared" si="149"/>
        <v>2820113</v>
      </c>
      <c r="CE73" s="312">
        <f t="shared" si="149"/>
        <v>6248204</v>
      </c>
      <c r="CF73" s="312">
        <f t="shared" si="149"/>
        <v>4068791</v>
      </c>
      <c r="CG73" s="312">
        <f t="shared" si="149"/>
        <v>6170983</v>
      </c>
      <c r="CH73" s="312">
        <f t="shared" si="149"/>
        <v>1346204</v>
      </c>
      <c r="CI73" s="312">
        <f t="shared" si="149"/>
        <v>1270538</v>
      </c>
      <c r="CJ73" s="312">
        <f t="shared" si="149"/>
        <v>499921</v>
      </c>
      <c r="CK73" s="312">
        <f t="shared" si="149"/>
        <v>569898</v>
      </c>
      <c r="CL73" s="312">
        <f t="shared" si="149"/>
        <v>1106926</v>
      </c>
      <c r="CM73" s="312">
        <f t="shared" si="150"/>
        <v>2490948</v>
      </c>
      <c r="CN73" s="312">
        <f t="shared" si="150"/>
        <v>-2950562</v>
      </c>
      <c r="CO73" s="312">
        <f t="shared" si="150"/>
        <v>-4724615</v>
      </c>
      <c r="CP73" s="312">
        <f t="shared" si="150"/>
        <v>2979694</v>
      </c>
      <c r="CQ73" s="312">
        <f t="shared" si="150"/>
        <v>-3777454</v>
      </c>
      <c r="CR73" s="312">
        <f t="shared" si="150"/>
        <v>-2931426</v>
      </c>
      <c r="CS73" s="312"/>
      <c r="CT73" s="350"/>
      <c r="CU73" s="67">
        <f>'MONTHLY SUMMARIES'!D49</f>
        <v>10018127</v>
      </c>
    </row>
    <row r="74" spans="1:99" s="134" customFormat="1" x14ac:dyDescent="0.3">
      <c r="A74" s="151"/>
      <c r="B74" s="41" t="s">
        <v>42</v>
      </c>
      <c r="C74" s="144">
        <f t="shared" ref="C74:Q74" si="151">SUM(C65:C73)</f>
        <v>47453988.579999998</v>
      </c>
      <c r="D74" s="145">
        <f t="shared" si="151"/>
        <v>48912663.030000001</v>
      </c>
      <c r="E74" s="145">
        <f t="shared" si="151"/>
        <v>39179236.07</v>
      </c>
      <c r="F74" s="145">
        <f t="shared" si="151"/>
        <v>31640922.82</v>
      </c>
      <c r="G74" s="145">
        <f t="shared" si="151"/>
        <v>35384745.07</v>
      </c>
      <c r="H74" s="145">
        <f t="shared" si="151"/>
        <v>43902001.460000001</v>
      </c>
      <c r="I74" s="145">
        <f t="shared" si="151"/>
        <v>49902148.93</v>
      </c>
      <c r="J74" s="145">
        <f t="shared" si="151"/>
        <v>42903029.099999994</v>
      </c>
      <c r="K74" s="145">
        <f t="shared" si="151"/>
        <v>39695552.140000001</v>
      </c>
      <c r="L74" s="146">
        <f t="shared" si="151"/>
        <v>41578683.930000007</v>
      </c>
      <c r="M74" s="145">
        <f t="shared" si="151"/>
        <v>47071745.450000003</v>
      </c>
      <c r="N74" s="145">
        <f t="shared" si="151"/>
        <v>57244022.850000009</v>
      </c>
      <c r="O74" s="145">
        <f t="shared" si="151"/>
        <v>58830015.280000001</v>
      </c>
      <c r="P74" s="145">
        <f t="shared" si="151"/>
        <v>61721131</v>
      </c>
      <c r="Q74" s="145">
        <f t="shared" si="151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52">SUM(X65+X68+X71+X72+X73)</f>
        <v>49363469</v>
      </c>
      <c r="Y74" s="197">
        <f t="shared" si="152"/>
        <v>57297467</v>
      </c>
      <c r="Z74" s="197">
        <v>67334477</v>
      </c>
      <c r="AA74" s="197">
        <f t="shared" si="152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/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11376026.700000001</v>
      </c>
      <c r="BJ74" s="147">
        <f t="shared" ref="BJ74:BL74" si="153">SUM(BJ65:BJ73)</f>
        <v>12808467.970000001</v>
      </c>
      <c r="BK74" s="147">
        <f t="shared" si="153"/>
        <v>17267506.930000003</v>
      </c>
      <c r="BL74" s="147">
        <f t="shared" si="153"/>
        <v>17199560.180000003</v>
      </c>
      <c r="BM74" s="147">
        <f t="shared" ref="BM74:BN74" si="154">SUM(BM65:BM73)</f>
        <v>12545001.930000002</v>
      </c>
      <c r="BN74" s="147">
        <f t="shared" si="154"/>
        <v>15242926.539999999</v>
      </c>
      <c r="BO74" s="147">
        <f t="shared" ref="BO74:BP74" si="155">SUM(BO65:BO73)</f>
        <v>16067291.07</v>
      </c>
      <c r="BP74" s="147">
        <f t="shared" si="155"/>
        <v>9571300.9000000004</v>
      </c>
      <c r="BQ74" s="147">
        <f t="shared" ref="BQ74:BR74" si="156">SUM(BQ65:BQ73)</f>
        <v>8698816.8600000013</v>
      </c>
      <c r="BR74" s="147">
        <f t="shared" si="156"/>
        <v>7784785.0699999984</v>
      </c>
      <c r="BS74" s="147">
        <f t="shared" ref="BS74:BT74" si="157">SUM(BS65:BS73)</f>
        <v>10225721.550000003</v>
      </c>
      <c r="BT74" s="147">
        <f t="shared" si="157"/>
        <v>10090454.149999997</v>
      </c>
      <c r="BU74" s="147">
        <f t="shared" ref="BU74:BV74" si="158">SUM(BU65:BU73)</f>
        <v>-4313.2800000011921</v>
      </c>
      <c r="BV74" s="147">
        <f t="shared" si="158"/>
        <v>-3664711</v>
      </c>
      <c r="BW74" s="147">
        <f t="shared" ref="BW74:BX74" si="159">SUM(BW65:BW73)</f>
        <v>-8950501</v>
      </c>
      <c r="BX74" s="147">
        <f t="shared" si="159"/>
        <v>-4261685</v>
      </c>
      <c r="BY74" s="147">
        <f t="shared" ref="BY74:BZ74" si="160">SUM(BY65:BY73)</f>
        <v>1579753</v>
      </c>
      <c r="BZ74" s="147">
        <f t="shared" si="160"/>
        <v>-6847444</v>
      </c>
      <c r="CA74" s="272">
        <f t="shared" ref="CA74:CB74" si="161">SUM(CA65:CA73)</f>
        <v>-12206918</v>
      </c>
      <c r="CB74" s="272">
        <f t="shared" si="161"/>
        <v>15096833</v>
      </c>
      <c r="CC74" s="272">
        <f t="shared" ref="CC74:CE74" si="162">SUM(CC65:CC73)</f>
        <v>7465783</v>
      </c>
      <c r="CD74" s="272">
        <f t="shared" si="162"/>
        <v>1193374</v>
      </c>
      <c r="CE74" s="313">
        <f t="shared" si="162"/>
        <v>12556599</v>
      </c>
      <c r="CF74" s="313">
        <f t="shared" ref="CF74:CG74" si="163">SUM(CF65:CF73)</f>
        <v>2435453</v>
      </c>
      <c r="CG74" s="313">
        <f t="shared" si="163"/>
        <v>12596386</v>
      </c>
      <c r="CH74" s="313">
        <f t="shared" ref="CH74:CI74" si="164">SUM(CH65:CH73)</f>
        <v>232031</v>
      </c>
      <c r="CI74" s="313">
        <f t="shared" si="164"/>
        <v>4645359</v>
      </c>
      <c r="CJ74" s="313">
        <f t="shared" ref="CJ74" si="165">SUM(CJ65:CJ73)</f>
        <v>1864186</v>
      </c>
      <c r="CK74" s="313">
        <f t="shared" ref="CK74" si="166">SUM(CK65:CK73)</f>
        <v>-18410</v>
      </c>
      <c r="CL74" s="313">
        <f t="shared" ref="CL74" si="167">SUM(CL65:CL73)</f>
        <v>3021847</v>
      </c>
      <c r="CM74" s="313">
        <f t="shared" ref="CM74" si="168">SUM(CM65:CM73)</f>
        <v>15939447</v>
      </c>
      <c r="CN74" s="313">
        <f t="shared" ref="CN74" si="169">SUM(CN65:CN73)</f>
        <v>-2912043</v>
      </c>
      <c r="CO74" s="313">
        <f t="shared" ref="CO74" si="170">SUM(CO65:CO73)</f>
        <v>-7222477</v>
      </c>
      <c r="CP74" s="313">
        <f t="shared" ref="CP74" si="171">SUM(CP65:CP73)</f>
        <v>12505298</v>
      </c>
      <c r="CQ74" s="313">
        <f t="shared" ref="CQ74:CS74" si="172">SUM(CQ65:CQ73)</f>
        <v>9765353</v>
      </c>
      <c r="CR74" s="313">
        <f t="shared" ref="CR74" si="173">SUM(CR65:CR73)</f>
        <v>14741149</v>
      </c>
      <c r="CS74" s="313"/>
      <c r="CT74" s="351"/>
      <c r="CU74" s="262">
        <f>CU65+CU68+CU71+CU72+CU73</f>
        <v>85170406</v>
      </c>
    </row>
    <row r="75" spans="1:9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50"/>
      <c r="CU75" s="52"/>
    </row>
    <row r="76" spans="1:99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/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R76" si="174">O76-C76</f>
        <v>6420312.9400000013</v>
      </c>
      <c r="BJ76" s="46">
        <f t="shared" si="174"/>
        <v>7801708.0999999996</v>
      </c>
      <c r="BK76" s="46">
        <f t="shared" si="174"/>
        <v>6468262.0099999998</v>
      </c>
      <c r="BL76" s="46">
        <f t="shared" si="174"/>
        <v>8517386.8300000001</v>
      </c>
      <c r="BM76" s="46">
        <f t="shared" si="174"/>
        <v>7167591.9100000001</v>
      </c>
      <c r="BN76" s="46">
        <f t="shared" si="174"/>
        <v>6759450.7599999998</v>
      </c>
      <c r="BO76" s="46">
        <f t="shared" si="174"/>
        <v>10580940.92</v>
      </c>
      <c r="BP76" s="46">
        <f t="shared" si="174"/>
        <v>13544552.880000001</v>
      </c>
      <c r="BQ76" s="46">
        <f t="shared" si="174"/>
        <v>9325173.2799999993</v>
      </c>
      <c r="BR76" s="46">
        <f t="shared" si="174"/>
        <v>6405649.7599999998</v>
      </c>
      <c r="BS76" s="46">
        <f t="shared" si="174"/>
        <v>3905708.1300000008</v>
      </c>
      <c r="BT76" s="46">
        <f t="shared" si="174"/>
        <v>4382727.51</v>
      </c>
      <c r="BU76" s="46">
        <f t="shared" si="174"/>
        <v>4504277.1499999985</v>
      </c>
      <c r="BV76" s="46">
        <f t="shared" si="174"/>
        <v>2278769</v>
      </c>
      <c r="BW76" s="46">
        <f t="shared" si="174"/>
        <v>978303</v>
      </c>
      <c r="BX76" s="46">
        <f t="shared" si="174"/>
        <v>-2260058</v>
      </c>
      <c r="BY76" s="46">
        <f t="shared" si="174"/>
        <v>-3991695</v>
      </c>
      <c r="BZ76" s="46">
        <f t="shared" si="174"/>
        <v>-2720102</v>
      </c>
      <c r="CA76" s="271">
        <f t="shared" si="174"/>
        <v>-5508369</v>
      </c>
      <c r="CB76" s="271">
        <f t="shared" si="174"/>
        <v>-10536033</v>
      </c>
      <c r="CC76" s="271">
        <f t="shared" si="174"/>
        <v>-2171747</v>
      </c>
      <c r="CD76" s="271">
        <f t="shared" si="174"/>
        <v>-2409151</v>
      </c>
      <c r="CE76" s="312">
        <f t="shared" si="174"/>
        <v>-2072665</v>
      </c>
      <c r="CF76" s="312">
        <f t="shared" si="174"/>
        <v>-925040</v>
      </c>
      <c r="CG76" s="312">
        <f t="shared" si="174"/>
        <v>-4767314</v>
      </c>
      <c r="CH76" s="312">
        <f t="shared" si="174"/>
        <v>-2391710</v>
      </c>
      <c r="CI76" s="312">
        <f t="shared" si="174"/>
        <v>-2390039</v>
      </c>
      <c r="CJ76" s="312">
        <f t="shared" si="174"/>
        <v>-1170170</v>
      </c>
      <c r="CK76" s="312">
        <f t="shared" si="174"/>
        <v>415341</v>
      </c>
      <c r="CL76" s="312">
        <f t="shared" si="174"/>
        <v>-705403</v>
      </c>
      <c r="CM76" s="312">
        <f t="shared" si="174"/>
        <v>-2205433</v>
      </c>
      <c r="CN76" s="312">
        <f t="shared" si="174"/>
        <v>2226893</v>
      </c>
      <c r="CO76" s="312">
        <f t="shared" si="174"/>
        <v>-2633980</v>
      </c>
      <c r="CP76" s="312">
        <f t="shared" si="174"/>
        <v>-1070640</v>
      </c>
      <c r="CQ76" s="312">
        <f t="shared" si="174"/>
        <v>2214497</v>
      </c>
      <c r="CR76" s="312">
        <f t="shared" si="174"/>
        <v>7285575</v>
      </c>
      <c r="CS76" s="312"/>
      <c r="CT76" s="350"/>
      <c r="CU76" s="67">
        <f>'MONTHLY SUMMARIES'!D52</f>
        <v>26447427</v>
      </c>
    </row>
    <row r="77" spans="1:99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/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50"/>
      <c r="CU77" s="67">
        <f>GETPIVOTDATA("VALUE",'CSS ESCO pvt'!$I$3,"DATE_FILE",$CU$8,"COMPANY",$CU$6,"TRIM_CAT","Residential-GRID","TRIM_LINE",$A75)</f>
        <v>14536926</v>
      </c>
    </row>
    <row r="78" spans="1:99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/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50"/>
      <c r="CU78" s="81">
        <f>CU76-CU77</f>
        <v>11910501</v>
      </c>
    </row>
    <row r="79" spans="1:99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/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R79" si="175">O79-C79</f>
        <v>730150.68000000063</v>
      </c>
      <c r="BJ79" s="46">
        <f t="shared" si="175"/>
        <v>946032.87999999989</v>
      </c>
      <c r="BK79" s="46">
        <f t="shared" si="175"/>
        <v>399796.05999999959</v>
      </c>
      <c r="BL79" s="46">
        <f t="shared" si="175"/>
        <v>888871.12000000011</v>
      </c>
      <c r="BM79" s="46">
        <f t="shared" si="175"/>
        <v>1350118.8399999999</v>
      </c>
      <c r="BN79" s="46">
        <f t="shared" si="175"/>
        <v>1049581.69</v>
      </c>
      <c r="BO79" s="46">
        <f t="shared" si="175"/>
        <v>1473556.2799999998</v>
      </c>
      <c r="BP79" s="46">
        <f t="shared" si="175"/>
        <v>1527681.08</v>
      </c>
      <c r="BQ79" s="46">
        <f t="shared" si="175"/>
        <v>1268043.2999999998</v>
      </c>
      <c r="BR79" s="46">
        <f t="shared" si="175"/>
        <v>923790.35000000009</v>
      </c>
      <c r="BS79" s="46">
        <f t="shared" si="175"/>
        <v>300554.66000000015</v>
      </c>
      <c r="BT79" s="46">
        <f t="shared" si="175"/>
        <v>548282.37999999989</v>
      </c>
      <c r="BU79" s="46">
        <f t="shared" si="175"/>
        <v>1587384.6799999997</v>
      </c>
      <c r="BV79" s="46">
        <f t="shared" si="175"/>
        <v>991218</v>
      </c>
      <c r="BW79" s="46">
        <f t="shared" si="175"/>
        <v>1407973</v>
      </c>
      <c r="BX79" s="46">
        <f t="shared" si="175"/>
        <v>910662</v>
      </c>
      <c r="BY79" s="46">
        <f t="shared" si="175"/>
        <v>-36809</v>
      </c>
      <c r="BZ79" s="46">
        <f t="shared" si="175"/>
        <v>549360</v>
      </c>
      <c r="CA79" s="271">
        <f t="shared" si="175"/>
        <v>438526</v>
      </c>
      <c r="CB79" s="271">
        <f t="shared" si="175"/>
        <v>-904186</v>
      </c>
      <c r="CC79" s="271">
        <f t="shared" si="175"/>
        <v>-439573</v>
      </c>
      <c r="CD79" s="271">
        <f t="shared" si="175"/>
        <v>235679</v>
      </c>
      <c r="CE79" s="312">
        <f t="shared" si="175"/>
        <v>103063</v>
      </c>
      <c r="CF79" s="312">
        <f t="shared" si="175"/>
        <v>342627</v>
      </c>
      <c r="CG79" s="312">
        <f t="shared" si="175"/>
        <v>-1203675</v>
      </c>
      <c r="CH79" s="312">
        <f t="shared" si="175"/>
        <v>641252</v>
      </c>
      <c r="CI79" s="312">
        <f t="shared" si="175"/>
        <v>311000</v>
      </c>
      <c r="CJ79" s="312">
        <f t="shared" si="175"/>
        <v>281712</v>
      </c>
      <c r="CK79" s="312">
        <f t="shared" si="175"/>
        <v>113616</v>
      </c>
      <c r="CL79" s="312">
        <f t="shared" si="175"/>
        <v>-380554</v>
      </c>
      <c r="CM79" s="312">
        <f t="shared" si="175"/>
        <v>-348179</v>
      </c>
      <c r="CN79" s="312">
        <f t="shared" si="175"/>
        <v>1567731</v>
      </c>
      <c r="CO79" s="312">
        <f t="shared" si="175"/>
        <v>1198328</v>
      </c>
      <c r="CP79" s="312">
        <f t="shared" si="175"/>
        <v>220296</v>
      </c>
      <c r="CQ79" s="312">
        <f t="shared" si="175"/>
        <v>2325650</v>
      </c>
      <c r="CR79" s="312">
        <f t="shared" si="175"/>
        <v>4880904</v>
      </c>
      <c r="CS79" s="312"/>
      <c r="CT79" s="350"/>
      <c r="CU79" s="67">
        <f>'MONTHLY SUMMARIES'!D53</f>
        <v>11379228</v>
      </c>
    </row>
    <row r="80" spans="1:99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/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50"/>
      <c r="CU80" s="67">
        <f>GETPIVOTDATA("VALUE",'CSS ESCO pvt'!$I$3,"DATE_FILE",$CU$8,"COMPANY",$CU$6,"TRIM_CAT","Low Income Residential-GRID","TRIM_LINE",$A75)</f>
        <v>6239078</v>
      </c>
    </row>
    <row r="81" spans="1:99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/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50"/>
      <c r="CU81" s="81">
        <f>CU79-CU80</f>
        <v>5140150</v>
      </c>
    </row>
    <row r="82" spans="1:99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/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76">O82-C82</f>
        <v>762560.2100000002</v>
      </c>
      <c r="BJ82" s="46">
        <f t="shared" si="176"/>
        <v>1936411.89</v>
      </c>
      <c r="BK82" s="46">
        <f t="shared" si="176"/>
        <v>2211000.21</v>
      </c>
      <c r="BL82" s="46">
        <f t="shared" si="176"/>
        <v>1474343.87</v>
      </c>
      <c r="BM82" s="46">
        <f t="shared" si="176"/>
        <v>1258651.6599999999</v>
      </c>
      <c r="BN82" s="46">
        <f t="shared" si="176"/>
        <v>1115610.6299999999</v>
      </c>
      <c r="BO82" s="46">
        <f t="shared" si="176"/>
        <v>1049962.76</v>
      </c>
      <c r="BP82" s="46">
        <f t="shared" si="176"/>
        <v>1007252.75</v>
      </c>
      <c r="BQ82" s="46">
        <f t="shared" si="176"/>
        <v>830448.53</v>
      </c>
      <c r="BR82" s="46">
        <f t="shared" si="176"/>
        <v>805630.28</v>
      </c>
      <c r="BS82" s="46">
        <f t="shared" ref="BS82:CB84" si="177">Y82-M82</f>
        <v>668233.83000000007</v>
      </c>
      <c r="BT82" s="46">
        <f t="shared" si="177"/>
        <v>906284.8899999999</v>
      </c>
      <c r="BU82" s="46">
        <f t="shared" si="177"/>
        <v>383677.64999999991</v>
      </c>
      <c r="BV82" s="46">
        <f t="shared" si="177"/>
        <v>-1050214</v>
      </c>
      <c r="BW82" s="46">
        <f t="shared" si="177"/>
        <v>-971816</v>
      </c>
      <c r="BX82" s="46">
        <f t="shared" si="177"/>
        <v>-358072</v>
      </c>
      <c r="BY82" s="46">
        <f t="shared" si="177"/>
        <v>-392291</v>
      </c>
      <c r="BZ82" s="46">
        <f t="shared" si="177"/>
        <v>-201084</v>
      </c>
      <c r="CA82" s="271">
        <f t="shared" si="177"/>
        <v>8997</v>
      </c>
      <c r="CB82" s="271">
        <f t="shared" si="177"/>
        <v>229269</v>
      </c>
      <c r="CC82" s="271">
        <f t="shared" ref="CC82:CL84" si="178">AI82-W82</f>
        <v>785398</v>
      </c>
      <c r="CD82" s="271">
        <f t="shared" si="178"/>
        <v>290829</v>
      </c>
      <c r="CE82" s="312">
        <f t="shared" si="178"/>
        <v>391737</v>
      </c>
      <c r="CF82" s="312">
        <f t="shared" si="178"/>
        <v>379304</v>
      </c>
      <c r="CG82" s="312">
        <f t="shared" si="178"/>
        <v>375566</v>
      </c>
      <c r="CH82" s="312">
        <f t="shared" si="178"/>
        <v>811883</v>
      </c>
      <c r="CI82" s="312">
        <f t="shared" si="178"/>
        <v>37634</v>
      </c>
      <c r="CJ82" s="312">
        <f t="shared" si="178"/>
        <v>160709</v>
      </c>
      <c r="CK82" s="312">
        <f t="shared" si="178"/>
        <v>172450</v>
      </c>
      <c r="CL82" s="312">
        <f t="shared" si="178"/>
        <v>74601</v>
      </c>
      <c r="CM82" s="312">
        <f t="shared" ref="CM82:CR84" si="179">AS82-AG82</f>
        <v>-107162</v>
      </c>
      <c r="CN82" s="312">
        <f t="shared" si="179"/>
        <v>129737</v>
      </c>
      <c r="CO82" s="312">
        <f t="shared" si="179"/>
        <v>-495925</v>
      </c>
      <c r="CP82" s="312">
        <f t="shared" si="179"/>
        <v>-154202</v>
      </c>
      <c r="CQ82" s="312">
        <f t="shared" si="179"/>
        <v>-160174</v>
      </c>
      <c r="CR82" s="312">
        <f t="shared" si="179"/>
        <v>513522</v>
      </c>
      <c r="CS82" s="312"/>
      <c r="CT82" s="350"/>
      <c r="CU82" s="67">
        <f>'MONTHLY SUMMARIES'!D54</f>
        <v>3812911</v>
      </c>
    </row>
    <row r="83" spans="1:99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/>
      <c r="BA83" s="297"/>
      <c r="BB83" s="297"/>
      <c r="BC83" s="297"/>
      <c r="BD83" s="297"/>
      <c r="BE83" s="297"/>
      <c r="BF83" s="297"/>
      <c r="BG83" s="297"/>
      <c r="BH83" s="297"/>
      <c r="BI83" s="45">
        <f t="shared" si="176"/>
        <v>445796.02</v>
      </c>
      <c r="BJ83" s="46">
        <f t="shared" si="176"/>
        <v>1403218.58</v>
      </c>
      <c r="BK83" s="46">
        <f t="shared" si="176"/>
        <v>1824896.91</v>
      </c>
      <c r="BL83" s="46">
        <f t="shared" si="176"/>
        <v>1348331.86</v>
      </c>
      <c r="BM83" s="46">
        <f t="shared" si="176"/>
        <v>952411.96</v>
      </c>
      <c r="BN83" s="46">
        <f t="shared" si="176"/>
        <v>798396.83000000007</v>
      </c>
      <c r="BO83" s="46">
        <f t="shared" si="176"/>
        <v>871460.81</v>
      </c>
      <c r="BP83" s="46">
        <f t="shared" si="176"/>
        <v>835149.8</v>
      </c>
      <c r="BQ83" s="46">
        <f t="shared" si="176"/>
        <v>606569.84000000008</v>
      </c>
      <c r="BR83" s="46">
        <f t="shared" si="176"/>
        <v>545454.68999999994</v>
      </c>
      <c r="BS83" s="46">
        <f t="shared" si="177"/>
        <v>625777.27</v>
      </c>
      <c r="BT83" s="46">
        <f t="shared" si="177"/>
        <v>760754.46</v>
      </c>
      <c r="BU83" s="46">
        <f t="shared" si="177"/>
        <v>572988.49</v>
      </c>
      <c r="BV83" s="46">
        <f t="shared" si="177"/>
        <v>-487269</v>
      </c>
      <c r="BW83" s="46">
        <f t="shared" si="177"/>
        <v>-1114280</v>
      </c>
      <c r="BX83" s="46">
        <f t="shared" si="177"/>
        <v>-435796</v>
      </c>
      <c r="BY83" s="46">
        <f t="shared" si="177"/>
        <v>-37264</v>
      </c>
      <c r="BZ83" s="46">
        <f t="shared" si="177"/>
        <v>-209867</v>
      </c>
      <c r="CA83" s="271">
        <f t="shared" si="177"/>
        <v>-15467</v>
      </c>
      <c r="CB83" s="271">
        <f t="shared" si="177"/>
        <v>189228</v>
      </c>
      <c r="CC83" s="271">
        <f t="shared" si="178"/>
        <v>1058854</v>
      </c>
      <c r="CD83" s="271">
        <f t="shared" si="178"/>
        <v>568845</v>
      </c>
      <c r="CE83" s="312">
        <f t="shared" si="178"/>
        <v>1255018</v>
      </c>
      <c r="CF83" s="312">
        <f t="shared" si="178"/>
        <v>378824</v>
      </c>
      <c r="CG83" s="312">
        <f t="shared" si="178"/>
        <v>222049</v>
      </c>
      <c r="CH83" s="312">
        <f t="shared" si="178"/>
        <v>183349</v>
      </c>
      <c r="CI83" s="312">
        <f t="shared" si="178"/>
        <v>447786</v>
      </c>
      <c r="CJ83" s="312">
        <f t="shared" si="178"/>
        <v>226339</v>
      </c>
      <c r="CK83" s="312">
        <f t="shared" si="178"/>
        <v>-177445</v>
      </c>
      <c r="CL83" s="312">
        <f t="shared" si="178"/>
        <v>159854</v>
      </c>
      <c r="CM83" s="312">
        <f t="shared" si="179"/>
        <v>373429</v>
      </c>
      <c r="CN83" s="312">
        <f t="shared" si="179"/>
        <v>36263</v>
      </c>
      <c r="CO83" s="312">
        <f t="shared" si="179"/>
        <v>82325</v>
      </c>
      <c r="CP83" s="312">
        <f t="shared" si="179"/>
        <v>328727</v>
      </c>
      <c r="CQ83" s="312">
        <f t="shared" si="179"/>
        <v>-1022149</v>
      </c>
      <c r="CR83" s="312">
        <f t="shared" si="179"/>
        <v>30415</v>
      </c>
      <c r="CS83" s="312"/>
      <c r="CT83" s="350"/>
      <c r="CU83" s="67">
        <f>'MONTHLY SUMMARIES'!D55</f>
        <v>2191721</v>
      </c>
    </row>
    <row r="84" spans="1:99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/>
      <c r="BA84" s="297"/>
      <c r="BB84" s="297"/>
      <c r="BC84" s="297"/>
      <c r="BD84" s="297"/>
      <c r="BE84" s="297"/>
      <c r="BF84" s="297"/>
      <c r="BG84" s="297"/>
      <c r="BH84" s="297"/>
      <c r="BI84" s="45">
        <f t="shared" si="176"/>
        <v>-235323.24</v>
      </c>
      <c r="BJ84" s="46">
        <f t="shared" si="176"/>
        <v>558086.96</v>
      </c>
      <c r="BK84" s="46">
        <f t="shared" si="176"/>
        <v>1648076.54</v>
      </c>
      <c r="BL84" s="46">
        <f t="shared" si="176"/>
        <v>1564895.66</v>
      </c>
      <c r="BM84" s="46">
        <f t="shared" si="176"/>
        <v>1159007.7</v>
      </c>
      <c r="BN84" s="46">
        <f t="shared" si="176"/>
        <v>736811.90999999992</v>
      </c>
      <c r="BO84" s="46">
        <f t="shared" si="176"/>
        <v>780658.44</v>
      </c>
      <c r="BP84" s="46">
        <f t="shared" si="176"/>
        <v>1388284.92</v>
      </c>
      <c r="BQ84" s="46">
        <f t="shared" si="176"/>
        <v>840888.37999999989</v>
      </c>
      <c r="BR84" s="46">
        <f t="shared" si="176"/>
        <v>859186.05</v>
      </c>
      <c r="BS84" s="46">
        <f t="shared" si="177"/>
        <v>418464.35000000009</v>
      </c>
      <c r="BT84" s="46">
        <f t="shared" si="177"/>
        <v>-538785.75</v>
      </c>
      <c r="BU84" s="46">
        <f t="shared" si="177"/>
        <v>535595.78</v>
      </c>
      <c r="BV84" s="46">
        <f t="shared" si="177"/>
        <v>-954084</v>
      </c>
      <c r="BW84" s="46">
        <f t="shared" si="177"/>
        <v>-1177828</v>
      </c>
      <c r="BX84" s="46">
        <f t="shared" si="177"/>
        <v>-1622701</v>
      </c>
      <c r="BY84" s="46">
        <f t="shared" si="177"/>
        <v>-608467</v>
      </c>
      <c r="BZ84" s="46">
        <f t="shared" si="177"/>
        <v>-306993</v>
      </c>
      <c r="CA84" s="271">
        <f t="shared" si="177"/>
        <v>-77080</v>
      </c>
      <c r="CB84" s="271">
        <f t="shared" si="177"/>
        <v>746278</v>
      </c>
      <c r="CC84" s="271">
        <f t="shared" si="178"/>
        <v>1987875</v>
      </c>
      <c r="CD84" s="271">
        <f t="shared" si="178"/>
        <v>887794</v>
      </c>
      <c r="CE84" s="312">
        <f t="shared" si="178"/>
        <v>2615607</v>
      </c>
      <c r="CF84" s="312">
        <f t="shared" si="178"/>
        <v>2154941</v>
      </c>
      <c r="CG84" s="312">
        <f t="shared" si="178"/>
        <v>1181788</v>
      </c>
      <c r="CH84" s="312">
        <f t="shared" si="178"/>
        <v>1589890</v>
      </c>
      <c r="CI84" s="312">
        <f t="shared" si="178"/>
        <v>1006993</v>
      </c>
      <c r="CJ84" s="312">
        <f t="shared" si="178"/>
        <v>1031631</v>
      </c>
      <c r="CK84" s="312">
        <f t="shared" si="178"/>
        <v>919797</v>
      </c>
      <c r="CL84" s="312">
        <f t="shared" si="178"/>
        <v>694348</v>
      </c>
      <c r="CM84" s="312">
        <f t="shared" si="179"/>
        <v>1131810</v>
      </c>
      <c r="CN84" s="312">
        <f t="shared" si="179"/>
        <v>1669872</v>
      </c>
      <c r="CO84" s="312">
        <f t="shared" si="179"/>
        <v>563900</v>
      </c>
      <c r="CP84" s="312">
        <f t="shared" si="179"/>
        <v>2396336</v>
      </c>
      <c r="CQ84" s="312">
        <f t="shared" si="179"/>
        <v>1813776</v>
      </c>
      <c r="CR84" s="312">
        <f t="shared" si="179"/>
        <v>1421726</v>
      </c>
      <c r="CS84" s="312"/>
      <c r="CT84" s="350"/>
      <c r="CU84" s="67">
        <f>'MONTHLY SUMMARIES'!D56</f>
        <v>5118967</v>
      </c>
    </row>
    <row r="85" spans="1:99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80">SUM(D76:D84)</f>
        <v>24335526.59</v>
      </c>
      <c r="E85" s="145">
        <f t="shared" si="180"/>
        <v>23278997.27</v>
      </c>
      <c r="F85" s="145">
        <f t="shared" si="180"/>
        <v>20183122.66</v>
      </c>
      <c r="G85" s="145">
        <f t="shared" si="180"/>
        <v>16566662.93</v>
      </c>
      <c r="H85" s="145">
        <f t="shared" si="180"/>
        <v>17061458.180000003</v>
      </c>
      <c r="I85" s="145">
        <f t="shared" si="180"/>
        <v>19809849.789999999</v>
      </c>
      <c r="J85" s="145">
        <f t="shared" si="180"/>
        <v>23510502.569999997</v>
      </c>
      <c r="K85" s="145">
        <f t="shared" si="180"/>
        <v>21953216.670000002</v>
      </c>
      <c r="L85" s="146">
        <f t="shared" si="180"/>
        <v>18550836.870000001</v>
      </c>
      <c r="M85" s="145">
        <f t="shared" si="180"/>
        <v>20829885.759999998</v>
      </c>
      <c r="N85" s="145">
        <f t="shared" si="180"/>
        <v>25679143.509999998</v>
      </c>
      <c r="O85" s="145">
        <f t="shared" si="180"/>
        <v>30912559.250000004</v>
      </c>
      <c r="P85" s="145">
        <f t="shared" si="180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181">SUM(X76+X79+X82+X83+X84)</f>
        <v>28090548</v>
      </c>
      <c r="Y85" s="197">
        <f t="shared" si="181"/>
        <v>26748624</v>
      </c>
      <c r="Z85" s="197">
        <v>31738407</v>
      </c>
      <c r="AA85" s="197">
        <f t="shared" si="181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/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8123496.6100000013</v>
      </c>
      <c r="BJ85" s="147">
        <f t="shared" ref="BJ85:BL85" si="182">SUM(BJ76:BJ84)</f>
        <v>12645458.41</v>
      </c>
      <c r="BK85" s="147">
        <f t="shared" si="182"/>
        <v>12552031.73</v>
      </c>
      <c r="BL85" s="147">
        <f t="shared" si="182"/>
        <v>13793829.34</v>
      </c>
      <c r="BM85" s="147">
        <f t="shared" ref="BM85:BN85" si="183">SUM(BM76:BM84)</f>
        <v>11887782.07</v>
      </c>
      <c r="BN85" s="147">
        <f t="shared" si="183"/>
        <v>10459851.819999998</v>
      </c>
      <c r="BO85" s="147">
        <f t="shared" ref="BO85:BP85" si="184">SUM(BO76:BO84)</f>
        <v>14756579.209999999</v>
      </c>
      <c r="BP85" s="147">
        <f t="shared" si="184"/>
        <v>18302921.43</v>
      </c>
      <c r="BQ85" s="147">
        <f t="shared" ref="BQ85:BR85" si="185">SUM(BQ76:BQ84)</f>
        <v>12871123.329999998</v>
      </c>
      <c r="BR85" s="147">
        <f t="shared" si="185"/>
        <v>9539711.1300000008</v>
      </c>
      <c r="BS85" s="147">
        <f t="shared" ref="BS85:BT85" si="186">SUM(BS76:BS84)</f>
        <v>5918738.2400000002</v>
      </c>
      <c r="BT85" s="147">
        <f t="shared" si="186"/>
        <v>6059263.4899999993</v>
      </c>
      <c r="BU85" s="147">
        <f t="shared" ref="BU85:BV85" si="187">SUM(BU76:BU84)</f>
        <v>7583923.7499999991</v>
      </c>
      <c r="BV85" s="147">
        <f t="shared" si="187"/>
        <v>778420</v>
      </c>
      <c r="BW85" s="147">
        <f t="shared" ref="BW85:BX85" si="188">SUM(BW76:BW84)</f>
        <v>-877648</v>
      </c>
      <c r="BX85" s="147">
        <f t="shared" si="188"/>
        <v>-3765965</v>
      </c>
      <c r="BY85" s="147">
        <f t="shared" ref="BY85:BZ85" si="189">SUM(BY76:BY84)</f>
        <v>-5066526</v>
      </c>
      <c r="BZ85" s="147">
        <f t="shared" si="189"/>
        <v>-2888686</v>
      </c>
      <c r="CA85" s="272">
        <f t="shared" ref="CA85:CB85" si="190">SUM(CA76:CA84)</f>
        <v>-5153393</v>
      </c>
      <c r="CB85" s="272">
        <f t="shared" si="190"/>
        <v>-10275444</v>
      </c>
      <c r="CC85" s="272">
        <f t="shared" ref="CC85:CE85" si="191">SUM(CC76:CC84)</f>
        <v>1220807</v>
      </c>
      <c r="CD85" s="272">
        <f t="shared" si="191"/>
        <v>-426004</v>
      </c>
      <c r="CE85" s="313">
        <f t="shared" si="191"/>
        <v>2292760</v>
      </c>
      <c r="CF85" s="313">
        <f t="shared" ref="CF85:CG85" si="192">SUM(CF76:CF84)</f>
        <v>2330656</v>
      </c>
      <c r="CG85" s="313">
        <f t="shared" si="192"/>
        <v>-4191586</v>
      </c>
      <c r="CH85" s="313">
        <f t="shared" ref="CH85:CI85" si="193">SUM(CH76:CH84)</f>
        <v>834664</v>
      </c>
      <c r="CI85" s="313">
        <f t="shared" si="193"/>
        <v>-586626</v>
      </c>
      <c r="CJ85" s="313">
        <f t="shared" ref="CJ85" si="194">SUM(CJ76:CJ84)</f>
        <v>530221</v>
      </c>
      <c r="CK85" s="313">
        <f t="shared" ref="CK85" si="195">SUM(CK76:CK84)</f>
        <v>1443759</v>
      </c>
      <c r="CL85" s="313">
        <f t="shared" ref="CL85" si="196">SUM(CL76:CL84)</f>
        <v>-157154</v>
      </c>
      <c r="CM85" s="313">
        <f t="shared" ref="CM85" si="197">SUM(CM76:CM84)</f>
        <v>-1155535</v>
      </c>
      <c r="CN85" s="313">
        <f t="shared" ref="CN85" si="198">SUM(CN76:CN84)</f>
        <v>5630496</v>
      </c>
      <c r="CO85" s="313">
        <f t="shared" ref="CO85" si="199">SUM(CO76:CO84)</f>
        <v>-1285352</v>
      </c>
      <c r="CP85" s="313">
        <f t="shared" ref="CP85" si="200">SUM(CP76:CP84)</f>
        <v>1720517</v>
      </c>
      <c r="CQ85" s="313">
        <f t="shared" ref="CQ85:CS85" si="201">SUM(CQ76:CQ84)</f>
        <v>5171600</v>
      </c>
      <c r="CR85" s="313">
        <f t="shared" ref="CR85" si="202">SUM(CR76:CR84)</f>
        <v>14132142</v>
      </c>
      <c r="CS85" s="313"/>
      <c r="CT85" s="351"/>
      <c r="CU85" s="262">
        <f>CU76+CU79+CU82+CU83+CU84</f>
        <v>48950254</v>
      </c>
    </row>
    <row r="86" spans="1:9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50"/>
      <c r="CU86" s="52"/>
    </row>
    <row r="87" spans="1:99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/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R87" si="203">O87-C87</f>
        <v>33405202.959999993</v>
      </c>
      <c r="BJ87" s="46">
        <f t="shared" si="203"/>
        <v>37142362.25</v>
      </c>
      <c r="BK87" s="46">
        <f t="shared" si="203"/>
        <v>46950503.400000006</v>
      </c>
      <c r="BL87" s="46">
        <f t="shared" si="203"/>
        <v>51081630</v>
      </c>
      <c r="BM87" s="46">
        <f t="shared" si="203"/>
        <v>54137219.730000004</v>
      </c>
      <c r="BN87" s="46">
        <f t="shared" si="203"/>
        <v>59653321.260000005</v>
      </c>
      <c r="BO87" s="46">
        <f t="shared" si="203"/>
        <v>65382312.209999993</v>
      </c>
      <c r="BP87" s="46">
        <f t="shared" si="203"/>
        <v>80042587.900000006</v>
      </c>
      <c r="BQ87" s="46">
        <f t="shared" si="203"/>
        <v>82087687.25</v>
      </c>
      <c r="BR87" s="46">
        <f t="shared" si="203"/>
        <v>84933017.310000002</v>
      </c>
      <c r="BS87" s="46">
        <f t="shared" si="203"/>
        <v>85657338.579999998</v>
      </c>
      <c r="BT87" s="46">
        <f t="shared" si="203"/>
        <v>81270113.370000005</v>
      </c>
      <c r="BU87" s="46">
        <f t="shared" si="203"/>
        <v>74330989.5</v>
      </c>
      <c r="BV87" s="46">
        <f t="shared" si="203"/>
        <v>81954645</v>
      </c>
      <c r="BW87" s="46">
        <f t="shared" si="203"/>
        <v>71876440</v>
      </c>
      <c r="BX87" s="46">
        <f t="shared" si="203"/>
        <v>62777342</v>
      </c>
      <c r="BY87" s="46">
        <f t="shared" si="203"/>
        <v>47039834</v>
      </c>
      <c r="BZ87" s="46">
        <f t="shared" si="203"/>
        <v>29206780</v>
      </c>
      <c r="CA87" s="271">
        <f t="shared" si="203"/>
        <v>13965227</v>
      </c>
      <c r="CB87" s="271">
        <f t="shared" si="203"/>
        <v>-3048442</v>
      </c>
      <c r="CC87" s="271">
        <f t="shared" si="203"/>
        <v>-3830964</v>
      </c>
      <c r="CD87" s="271">
        <f t="shared" si="203"/>
        <v>-16964910</v>
      </c>
      <c r="CE87" s="312">
        <f t="shared" si="203"/>
        <v>-17780616</v>
      </c>
      <c r="CF87" s="312">
        <f t="shared" si="203"/>
        <v>-16075057</v>
      </c>
      <c r="CG87" s="312">
        <f t="shared" si="203"/>
        <v>-18012283</v>
      </c>
      <c r="CH87" s="312">
        <f t="shared" si="203"/>
        <v>-40044350</v>
      </c>
      <c r="CI87" s="312">
        <f t="shared" si="203"/>
        <v>-43910516</v>
      </c>
      <c r="CJ87" s="312">
        <f t="shared" si="203"/>
        <v>-47519447</v>
      </c>
      <c r="CK87" s="312">
        <f t="shared" si="203"/>
        <v>-36507036</v>
      </c>
      <c r="CL87" s="312">
        <f t="shared" si="203"/>
        <v>-31385846</v>
      </c>
      <c r="CM87" s="312">
        <f t="shared" si="203"/>
        <v>-26879410</v>
      </c>
      <c r="CN87" s="312">
        <f t="shared" si="203"/>
        <v>-27415244</v>
      </c>
      <c r="CO87" s="312">
        <f t="shared" si="203"/>
        <v>-30374738</v>
      </c>
      <c r="CP87" s="312">
        <f t="shared" si="203"/>
        <v>-13079591</v>
      </c>
      <c r="CQ87" s="312">
        <f t="shared" si="203"/>
        <v>-25589389</v>
      </c>
      <c r="CR87" s="312">
        <f t="shared" si="203"/>
        <v>-25607884</v>
      </c>
      <c r="CS87" s="312"/>
      <c r="CT87" s="350"/>
      <c r="CU87" s="67">
        <f>'MONTHLY SUMMARIES'!D59</f>
        <v>150413879</v>
      </c>
    </row>
    <row r="88" spans="1:99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/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50"/>
      <c r="CU88" s="67">
        <f>GETPIVOTDATA("VALUE",'CSS ESCO pvt'!$I$3,"DATE_FILE",$CU$8,"COMPANY",$CU$6,"TRIM_CAT","Residential-GRID","TRIM_LINE",$A86)</f>
        <v>64971482</v>
      </c>
    </row>
    <row r="89" spans="1:99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/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50"/>
      <c r="CU89" s="81">
        <f>CU87-CU88</f>
        <v>85442397</v>
      </c>
    </row>
    <row r="90" spans="1:99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/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R90" si="204">O90-C90</f>
        <v>14825767</v>
      </c>
      <c r="BJ90" s="46">
        <f t="shared" si="204"/>
        <v>20584896.799999997</v>
      </c>
      <c r="BK90" s="46">
        <f t="shared" si="204"/>
        <v>20001457.119999997</v>
      </c>
      <c r="BL90" s="46">
        <f t="shared" si="204"/>
        <v>19162835.229999997</v>
      </c>
      <c r="BM90" s="46">
        <f t="shared" si="204"/>
        <v>24004181.390000001</v>
      </c>
      <c r="BN90" s="46">
        <f t="shared" si="204"/>
        <v>23762520.399999999</v>
      </c>
      <c r="BO90" s="46">
        <f t="shared" si="204"/>
        <v>22404441.640000001</v>
      </c>
      <c r="BP90" s="46">
        <f t="shared" si="204"/>
        <v>18302012.159999996</v>
      </c>
      <c r="BQ90" s="46">
        <f t="shared" si="204"/>
        <v>24243950.82</v>
      </c>
      <c r="BR90" s="46">
        <f t="shared" si="204"/>
        <v>28096245.969999999</v>
      </c>
      <c r="BS90" s="46">
        <f t="shared" si="204"/>
        <v>26041287.189999998</v>
      </c>
      <c r="BT90" s="46">
        <f t="shared" si="204"/>
        <v>29600791.890000001</v>
      </c>
      <c r="BU90" s="46">
        <f t="shared" si="204"/>
        <v>30697314.270000003</v>
      </c>
      <c r="BV90" s="46">
        <f t="shared" si="204"/>
        <v>22009459</v>
      </c>
      <c r="BW90" s="46">
        <f t="shared" si="204"/>
        <v>25080332</v>
      </c>
      <c r="BX90" s="46">
        <f t="shared" si="204"/>
        <v>26401484</v>
      </c>
      <c r="BY90" s="46">
        <f t="shared" si="204"/>
        <v>23110373</v>
      </c>
      <c r="BZ90" s="46">
        <f t="shared" si="204"/>
        <v>22964679</v>
      </c>
      <c r="CA90" s="271">
        <f t="shared" si="204"/>
        <v>19954162</v>
      </c>
      <c r="CB90" s="271">
        <f t="shared" si="204"/>
        <v>17584355</v>
      </c>
      <c r="CC90" s="271">
        <f t="shared" si="204"/>
        <v>-1798740</v>
      </c>
      <c r="CD90" s="271">
        <f t="shared" si="204"/>
        <v>5351480</v>
      </c>
      <c r="CE90" s="312">
        <f t="shared" si="204"/>
        <v>1013808</v>
      </c>
      <c r="CF90" s="312">
        <f t="shared" si="204"/>
        <v>-6376199</v>
      </c>
      <c r="CG90" s="312">
        <f t="shared" si="204"/>
        <v>-8207606</v>
      </c>
      <c r="CH90" s="312">
        <f t="shared" si="204"/>
        <v>-62501</v>
      </c>
      <c r="CI90" s="312">
        <f t="shared" si="204"/>
        <v>-1616888</v>
      </c>
      <c r="CJ90" s="312">
        <f t="shared" si="204"/>
        <v>-6745698</v>
      </c>
      <c r="CK90" s="312">
        <f t="shared" si="204"/>
        <v>-13355590</v>
      </c>
      <c r="CL90" s="312">
        <f t="shared" si="204"/>
        <v>-17348502</v>
      </c>
      <c r="CM90" s="312">
        <f t="shared" si="204"/>
        <v>-12997810</v>
      </c>
      <c r="CN90" s="312">
        <f t="shared" si="204"/>
        <v>-8246878</v>
      </c>
      <c r="CO90" s="312">
        <f t="shared" si="204"/>
        <v>3800871</v>
      </c>
      <c r="CP90" s="312">
        <f t="shared" si="204"/>
        <v>-14516166</v>
      </c>
      <c r="CQ90" s="312">
        <f t="shared" si="204"/>
        <v>-914040</v>
      </c>
      <c r="CR90" s="312">
        <f t="shared" si="204"/>
        <v>2704874</v>
      </c>
      <c r="CS90" s="312"/>
      <c r="CT90" s="350"/>
      <c r="CU90" s="67">
        <f>'MONTHLY SUMMARIES'!D60</f>
        <v>87984146</v>
      </c>
    </row>
    <row r="91" spans="1:99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/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50"/>
      <c r="CU91" s="67">
        <f>GETPIVOTDATA("VALUE",'CSS ESCO pvt'!$I$3,"DATE_FILE",$CU$8,"COMPANY",$CU$6,"TRIM_CAT","Low Income Residential-GRID","TRIM_LINE",$A86)</f>
        <v>35494457</v>
      </c>
    </row>
    <row r="92" spans="1:99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/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50"/>
      <c r="CU92" s="81">
        <f>CU90-CU91</f>
        <v>52489689</v>
      </c>
    </row>
    <row r="93" spans="1:99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/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205">O93-C93</f>
        <v>1465370.7999999998</v>
      </c>
      <c r="BJ93" s="46">
        <f t="shared" si="205"/>
        <v>2775706.46</v>
      </c>
      <c r="BK93" s="46">
        <f t="shared" si="205"/>
        <v>4523641.6400000006</v>
      </c>
      <c r="BL93" s="46">
        <f t="shared" si="205"/>
        <v>5864656.9199999999</v>
      </c>
      <c r="BM93" s="46">
        <f t="shared" si="205"/>
        <v>6563580.4700000007</v>
      </c>
      <c r="BN93" s="46">
        <f t="shared" si="205"/>
        <v>7040550.7999999998</v>
      </c>
      <c r="BO93" s="46">
        <f t="shared" si="205"/>
        <v>6798302.4800000004</v>
      </c>
      <c r="BP93" s="46">
        <f t="shared" si="205"/>
        <v>6056046.9900000002</v>
      </c>
      <c r="BQ93" s="46">
        <f t="shared" si="205"/>
        <v>6325571.7799999993</v>
      </c>
      <c r="BR93" s="46">
        <f t="shared" si="205"/>
        <v>7064429.0299999993</v>
      </c>
      <c r="BS93" s="46">
        <f t="shared" ref="BS93:CB95" si="206">Y93-M93</f>
        <v>7165456.8200000003</v>
      </c>
      <c r="BT93" s="46">
        <f t="shared" si="206"/>
        <v>7067278.8200000003</v>
      </c>
      <c r="BU93" s="46">
        <f t="shared" si="206"/>
        <v>6610514.0600000005</v>
      </c>
      <c r="BV93" s="46">
        <f t="shared" si="206"/>
        <v>5802042</v>
      </c>
      <c r="BW93" s="46">
        <f t="shared" si="206"/>
        <v>4472050</v>
      </c>
      <c r="BX93" s="46">
        <f t="shared" si="206"/>
        <v>3744538</v>
      </c>
      <c r="BY93" s="46">
        <f t="shared" si="206"/>
        <v>3501356</v>
      </c>
      <c r="BZ93" s="46">
        <f t="shared" si="206"/>
        <v>2939832</v>
      </c>
      <c r="CA93" s="271">
        <f t="shared" si="206"/>
        <v>2638718</v>
      </c>
      <c r="CB93" s="271">
        <f t="shared" si="206"/>
        <v>2623943</v>
      </c>
      <c r="CC93" s="271">
        <f t="shared" ref="CC93:CL95" si="207">AI93-W93</f>
        <v>2282334</v>
      </c>
      <c r="CD93" s="271">
        <f t="shared" si="207"/>
        <v>1581439</v>
      </c>
      <c r="CE93" s="312">
        <f t="shared" si="207"/>
        <v>1476076</v>
      </c>
      <c r="CF93" s="312">
        <f t="shared" si="207"/>
        <v>1571012</v>
      </c>
      <c r="CG93" s="312">
        <f t="shared" si="207"/>
        <v>1276240</v>
      </c>
      <c r="CH93" s="312">
        <f t="shared" si="207"/>
        <v>623472</v>
      </c>
      <c r="CI93" s="312">
        <f t="shared" si="207"/>
        <v>292876</v>
      </c>
      <c r="CJ93" s="312">
        <f t="shared" si="207"/>
        <v>-672246</v>
      </c>
      <c r="CK93" s="312">
        <f t="shared" si="207"/>
        <v>-1276897</v>
      </c>
      <c r="CL93" s="312">
        <f t="shared" si="207"/>
        <v>-1761642</v>
      </c>
      <c r="CM93" s="312">
        <f t="shared" ref="CM93:CR95" si="208">AS93-AG93</f>
        <v>-1376049</v>
      </c>
      <c r="CN93" s="312">
        <f t="shared" si="208"/>
        <v>-1136220</v>
      </c>
      <c r="CO93" s="312">
        <f t="shared" si="208"/>
        <v>-1359086</v>
      </c>
      <c r="CP93" s="312">
        <f t="shared" si="208"/>
        <v>-1281631</v>
      </c>
      <c r="CQ93" s="312">
        <f t="shared" si="208"/>
        <v>-1690492</v>
      </c>
      <c r="CR93" s="312">
        <f t="shared" si="208"/>
        <v>-1373344</v>
      </c>
      <c r="CS93" s="312"/>
      <c r="CT93" s="350"/>
      <c r="CU93" s="67">
        <f>'MONTHLY SUMMARIES'!D61</f>
        <v>11353799</v>
      </c>
    </row>
    <row r="94" spans="1:99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/>
      <c r="BA94" s="297"/>
      <c r="BB94" s="297"/>
      <c r="BC94" s="297"/>
      <c r="BD94" s="297"/>
      <c r="BE94" s="297"/>
      <c r="BF94" s="297"/>
      <c r="BG94" s="297"/>
      <c r="BH94" s="297"/>
      <c r="BI94" s="45">
        <f t="shared" si="205"/>
        <v>900664.90999999968</v>
      </c>
      <c r="BJ94" s="46">
        <f t="shared" si="205"/>
        <v>1650203.44</v>
      </c>
      <c r="BK94" s="46">
        <f t="shared" si="205"/>
        <v>2542330.4</v>
      </c>
      <c r="BL94" s="46">
        <f t="shared" si="205"/>
        <v>3207150.81</v>
      </c>
      <c r="BM94" s="46">
        <f t="shared" si="205"/>
        <v>3394572.67</v>
      </c>
      <c r="BN94" s="46">
        <f t="shared" si="205"/>
        <v>3569510.29</v>
      </c>
      <c r="BO94" s="46">
        <f t="shared" si="205"/>
        <v>3104970.16</v>
      </c>
      <c r="BP94" s="46">
        <f t="shared" si="205"/>
        <v>3036098.72</v>
      </c>
      <c r="BQ94" s="46">
        <f t="shared" si="205"/>
        <v>3559879.08</v>
      </c>
      <c r="BR94" s="46">
        <f t="shared" si="205"/>
        <v>3704716.29</v>
      </c>
      <c r="BS94" s="46">
        <f t="shared" si="206"/>
        <v>3631445.35</v>
      </c>
      <c r="BT94" s="46">
        <f t="shared" si="206"/>
        <v>3870546.38</v>
      </c>
      <c r="BU94" s="46">
        <f t="shared" si="206"/>
        <v>3495863.97</v>
      </c>
      <c r="BV94" s="46">
        <f t="shared" si="206"/>
        <v>3090727</v>
      </c>
      <c r="BW94" s="46">
        <f t="shared" si="206"/>
        <v>2317723</v>
      </c>
      <c r="BX94" s="46">
        <f t="shared" si="206"/>
        <v>1633041</v>
      </c>
      <c r="BY94" s="46">
        <f t="shared" si="206"/>
        <v>1691693</v>
      </c>
      <c r="BZ94" s="46">
        <f t="shared" si="206"/>
        <v>1160442</v>
      </c>
      <c r="CA94" s="271">
        <f t="shared" si="206"/>
        <v>1621438</v>
      </c>
      <c r="CB94" s="271">
        <f t="shared" si="206"/>
        <v>2157821</v>
      </c>
      <c r="CC94" s="271">
        <f t="shared" si="207"/>
        <v>2148670</v>
      </c>
      <c r="CD94" s="271">
        <f t="shared" si="207"/>
        <v>1848797</v>
      </c>
      <c r="CE94" s="312">
        <f t="shared" si="207"/>
        <v>2318762</v>
      </c>
      <c r="CF94" s="312">
        <f t="shared" si="207"/>
        <v>1907492</v>
      </c>
      <c r="CG94" s="312">
        <f t="shared" si="207"/>
        <v>1769487</v>
      </c>
      <c r="CH94" s="312">
        <f t="shared" si="207"/>
        <v>650815</v>
      </c>
      <c r="CI94" s="312">
        <f t="shared" si="207"/>
        <v>747214</v>
      </c>
      <c r="CJ94" s="312">
        <f t="shared" si="207"/>
        <v>624536</v>
      </c>
      <c r="CK94" s="312">
        <f t="shared" si="207"/>
        <v>699242</v>
      </c>
      <c r="CL94" s="312">
        <f t="shared" si="207"/>
        <v>675479</v>
      </c>
      <c r="CM94" s="312">
        <f t="shared" si="208"/>
        <v>770576</v>
      </c>
      <c r="CN94" s="312">
        <f t="shared" si="208"/>
        <v>639829</v>
      </c>
      <c r="CO94" s="312">
        <f t="shared" si="208"/>
        <v>627201</v>
      </c>
      <c r="CP94" s="312">
        <f t="shared" si="208"/>
        <v>1454662</v>
      </c>
      <c r="CQ94" s="312">
        <f t="shared" si="208"/>
        <v>1029032</v>
      </c>
      <c r="CR94" s="312">
        <f t="shared" si="208"/>
        <v>961551</v>
      </c>
      <c r="CS94" s="312"/>
      <c r="CT94" s="350"/>
      <c r="CU94" s="67">
        <f>'MONTHLY SUMMARIES'!D62</f>
        <v>8929399</v>
      </c>
    </row>
    <row r="95" spans="1:99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/>
      <c r="BA95" s="297"/>
      <c r="BB95" s="297"/>
      <c r="BC95" s="297"/>
      <c r="BD95" s="297"/>
      <c r="BE95" s="297"/>
      <c r="BF95" s="297"/>
      <c r="BG95" s="297"/>
      <c r="BH95" s="297"/>
      <c r="BI95" s="45">
        <f t="shared" si="205"/>
        <v>5170559.2</v>
      </c>
      <c r="BJ95" s="46">
        <f t="shared" si="205"/>
        <v>5046268.74</v>
      </c>
      <c r="BK95" s="46">
        <f t="shared" si="205"/>
        <v>4711745.1899999995</v>
      </c>
      <c r="BL95" s="46">
        <f t="shared" si="205"/>
        <v>4909959.1099999994</v>
      </c>
      <c r="BM95" s="46">
        <f t="shared" si="205"/>
        <v>5711900.46</v>
      </c>
      <c r="BN95" s="46">
        <f t="shared" si="205"/>
        <v>4629079.33</v>
      </c>
      <c r="BO95" s="46">
        <f t="shared" si="205"/>
        <v>3670993.01</v>
      </c>
      <c r="BP95" s="46">
        <f t="shared" si="205"/>
        <v>3794931.2800000003</v>
      </c>
      <c r="BQ95" s="46">
        <f t="shared" si="205"/>
        <v>4432362.6899999995</v>
      </c>
      <c r="BR95" s="46">
        <f t="shared" si="205"/>
        <v>4100811.94</v>
      </c>
      <c r="BS95" s="46">
        <f t="shared" si="206"/>
        <v>4011529.1799999997</v>
      </c>
      <c r="BT95" s="46">
        <f t="shared" si="206"/>
        <v>2719792.88</v>
      </c>
      <c r="BU95" s="46">
        <f t="shared" si="206"/>
        <v>872118.96</v>
      </c>
      <c r="BV95" s="46">
        <f t="shared" si="206"/>
        <v>872949</v>
      </c>
      <c r="BW95" s="46">
        <f t="shared" si="206"/>
        <v>94275</v>
      </c>
      <c r="BX95" s="46">
        <f t="shared" si="206"/>
        <v>-59424</v>
      </c>
      <c r="BY95" s="46">
        <f t="shared" si="206"/>
        <v>-1670447</v>
      </c>
      <c r="BZ95" s="46">
        <f t="shared" si="206"/>
        <v>-764573</v>
      </c>
      <c r="CA95" s="271">
        <f t="shared" si="206"/>
        <v>-598296</v>
      </c>
      <c r="CB95" s="271">
        <f t="shared" si="206"/>
        <v>183342</v>
      </c>
      <c r="CC95" s="271">
        <f t="shared" si="207"/>
        <v>252009</v>
      </c>
      <c r="CD95" s="271">
        <f t="shared" si="207"/>
        <v>1030384</v>
      </c>
      <c r="CE95" s="312">
        <f t="shared" si="207"/>
        <v>1765095</v>
      </c>
      <c r="CF95" s="312">
        <f t="shared" si="207"/>
        <v>2494740</v>
      </c>
      <c r="CG95" s="312">
        <f t="shared" si="207"/>
        <v>3022077</v>
      </c>
      <c r="CH95" s="312">
        <f t="shared" si="207"/>
        <v>2937903</v>
      </c>
      <c r="CI95" s="312">
        <f t="shared" si="207"/>
        <v>3465741</v>
      </c>
      <c r="CJ95" s="312">
        <f t="shared" si="207"/>
        <v>2601626</v>
      </c>
      <c r="CK95" s="312">
        <f t="shared" si="207"/>
        <v>3663211</v>
      </c>
      <c r="CL95" s="312">
        <f t="shared" si="207"/>
        <v>3968193</v>
      </c>
      <c r="CM95" s="312">
        <f t="shared" si="208"/>
        <v>2946113</v>
      </c>
      <c r="CN95" s="312">
        <f t="shared" si="208"/>
        <v>-832418</v>
      </c>
      <c r="CO95" s="312">
        <f t="shared" si="208"/>
        <v>807945</v>
      </c>
      <c r="CP95" s="312">
        <f t="shared" si="208"/>
        <v>1888409</v>
      </c>
      <c r="CQ95" s="312">
        <f t="shared" si="208"/>
        <v>349369</v>
      </c>
      <c r="CR95" s="312">
        <f t="shared" si="208"/>
        <v>3023340</v>
      </c>
      <c r="CS95" s="312"/>
      <c r="CT95" s="350"/>
      <c r="CU95" s="67">
        <f>'MONTHLY SUMMARIES'!D63</f>
        <v>14045986</v>
      </c>
    </row>
    <row r="96" spans="1:99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09">SUM(D87:D95)</f>
        <v>135237848.31</v>
      </c>
      <c r="E96" s="145">
        <f t="shared" si="209"/>
        <v>140435653.25</v>
      </c>
      <c r="F96" s="145">
        <f t="shared" si="209"/>
        <v>146557573.93000001</v>
      </c>
      <c r="G96" s="145">
        <f t="shared" si="209"/>
        <v>148934978.28</v>
      </c>
      <c r="H96" s="145">
        <f t="shared" si="209"/>
        <v>149781044.91999999</v>
      </c>
      <c r="I96" s="145">
        <f t="shared" si="209"/>
        <v>150838894.50000003</v>
      </c>
      <c r="J96" s="145">
        <f t="shared" si="209"/>
        <v>154072768.94999999</v>
      </c>
      <c r="K96" s="145">
        <f t="shared" si="209"/>
        <v>162692120.38</v>
      </c>
      <c r="L96" s="146">
        <f t="shared" si="209"/>
        <v>167744151.46000001</v>
      </c>
      <c r="M96" s="145">
        <f t="shared" si="209"/>
        <v>172812925.88000003</v>
      </c>
      <c r="N96" s="145">
        <f t="shared" si="209"/>
        <v>176409800.66000003</v>
      </c>
      <c r="O96" s="145">
        <f t="shared" si="209"/>
        <v>186777849.23999998</v>
      </c>
      <c r="P96" s="145">
        <f t="shared" si="209"/>
        <v>202437286</v>
      </c>
      <c r="Q96" s="145">
        <f t="shared" ref="Q96:BI96" si="210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/>
      <c r="BA96" s="298"/>
      <c r="BB96" s="298"/>
      <c r="BC96" s="298"/>
      <c r="BD96" s="298"/>
      <c r="BE96" s="298"/>
      <c r="BF96" s="298"/>
      <c r="BG96" s="298"/>
      <c r="BH96" s="298"/>
      <c r="BI96" s="47">
        <f t="shared" si="210"/>
        <v>55767564.86999999</v>
      </c>
      <c r="BJ96" s="147">
        <f t="shared" ref="BJ96:BL96" si="211">SUM(BJ87:BJ95)</f>
        <v>67199437.689999998</v>
      </c>
      <c r="BK96" s="147">
        <f t="shared" si="211"/>
        <v>78729677.75</v>
      </c>
      <c r="BL96" s="147">
        <f t="shared" si="211"/>
        <v>84226232.069999993</v>
      </c>
      <c r="BM96" s="147">
        <f t="shared" ref="BM96:BN96" si="212">SUM(BM87:BM95)</f>
        <v>93811454.719999999</v>
      </c>
      <c r="BN96" s="147">
        <f t="shared" si="212"/>
        <v>98654982.079999998</v>
      </c>
      <c r="BO96" s="147">
        <f t="shared" ref="BO96:BP96" si="213">SUM(BO87:BO95)</f>
        <v>101361019.5</v>
      </c>
      <c r="BP96" s="147">
        <f t="shared" si="213"/>
        <v>111231677.05</v>
      </c>
      <c r="BQ96" s="147">
        <f t="shared" ref="BQ96:BR96" si="214">SUM(BQ87:BQ95)</f>
        <v>120649451.61999999</v>
      </c>
      <c r="BR96" s="147">
        <f t="shared" si="214"/>
        <v>127899220.54000001</v>
      </c>
      <c r="BS96" s="147">
        <f t="shared" ref="BS96:BT96" si="215">SUM(BS87:BS95)</f>
        <v>126507057.12</v>
      </c>
      <c r="BT96" s="147">
        <f t="shared" si="215"/>
        <v>124528523.34</v>
      </c>
      <c r="BU96" s="147">
        <f t="shared" ref="BU96:BV96" si="216">SUM(BU87:BU95)</f>
        <v>116006800.76000001</v>
      </c>
      <c r="BV96" s="147">
        <f t="shared" si="216"/>
        <v>113729822</v>
      </c>
      <c r="BW96" s="147">
        <f t="shared" ref="BW96:BX96" si="217">SUM(BW87:BW95)</f>
        <v>103840820</v>
      </c>
      <c r="BX96" s="147">
        <f t="shared" si="217"/>
        <v>94496981</v>
      </c>
      <c r="BY96" s="147">
        <f t="shared" ref="BY96:BZ96" si="218">SUM(BY87:BY95)</f>
        <v>73672809</v>
      </c>
      <c r="BZ96" s="147">
        <f t="shared" si="218"/>
        <v>55507160</v>
      </c>
      <c r="CA96" s="272">
        <f t="shared" ref="CA96:CB96" si="219">SUM(CA87:CA95)</f>
        <v>37581249</v>
      </c>
      <c r="CB96" s="272">
        <f t="shared" si="219"/>
        <v>19501019</v>
      </c>
      <c r="CC96" s="272">
        <f t="shared" ref="CC96:CE96" si="220">SUM(CC87:CC95)</f>
        <v>-946691</v>
      </c>
      <c r="CD96" s="272">
        <f t="shared" si="220"/>
        <v>-7152810</v>
      </c>
      <c r="CE96" s="313">
        <f t="shared" si="220"/>
        <v>-11206875</v>
      </c>
      <c r="CF96" s="313">
        <f t="shared" ref="CF96:CG96" si="221">SUM(CF87:CF95)</f>
        <v>-16478012</v>
      </c>
      <c r="CG96" s="313">
        <f t="shared" si="221"/>
        <v>-20152085</v>
      </c>
      <c r="CH96" s="313">
        <f t="shared" ref="CH96:CI96" si="222">SUM(CH87:CH95)</f>
        <v>-35894661</v>
      </c>
      <c r="CI96" s="313">
        <f t="shared" si="222"/>
        <v>-41021573</v>
      </c>
      <c r="CJ96" s="313">
        <f t="shared" ref="CJ96" si="223">SUM(CJ87:CJ95)</f>
        <v>-51711229</v>
      </c>
      <c r="CK96" s="313">
        <f t="shared" ref="CK96" si="224">SUM(CK87:CK95)</f>
        <v>-46777070</v>
      </c>
      <c r="CL96" s="313">
        <f t="shared" ref="CL96" si="225">SUM(CL87:CL95)</f>
        <v>-45852318</v>
      </c>
      <c r="CM96" s="313">
        <f t="shared" ref="CM96" si="226">SUM(CM87:CM95)</f>
        <v>-37536580</v>
      </c>
      <c r="CN96" s="313">
        <f t="shared" ref="CN96" si="227">SUM(CN87:CN95)</f>
        <v>-36990931</v>
      </c>
      <c r="CO96" s="313">
        <f t="shared" ref="CO96" si="228">SUM(CO87:CO95)</f>
        <v>-26497807</v>
      </c>
      <c r="CP96" s="313">
        <f t="shared" ref="CP96" si="229">SUM(CP87:CP95)</f>
        <v>-25534317</v>
      </c>
      <c r="CQ96" s="313">
        <f t="shared" ref="CQ96:CS96" si="230">SUM(CQ87:CQ95)</f>
        <v>-26815520</v>
      </c>
      <c r="CR96" s="313">
        <f t="shared" ref="CR96" si="231">SUM(CR87:CR95)</f>
        <v>-20291463</v>
      </c>
      <c r="CS96" s="313"/>
      <c r="CT96" s="351"/>
      <c r="CU96" s="262">
        <f>CU87+CU90+CU93+CU94+CU95</f>
        <v>272727209</v>
      </c>
    </row>
    <row r="97" spans="1:9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50"/>
      <c r="CU97" s="52"/>
    </row>
    <row r="98" spans="1:99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/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R98" si="232">O98-C98</f>
        <v>47836334.939999998</v>
      </c>
      <c r="BJ98" s="46">
        <f t="shared" si="232"/>
        <v>50368626.189999998</v>
      </c>
      <c r="BK98" s="46">
        <f t="shared" si="232"/>
        <v>62672863.670000002</v>
      </c>
      <c r="BL98" s="46">
        <f t="shared" si="232"/>
        <v>69292491.859999999</v>
      </c>
      <c r="BM98" s="46">
        <f t="shared" si="232"/>
        <v>69876463.299999997</v>
      </c>
      <c r="BN98" s="46">
        <f t="shared" si="232"/>
        <v>75753888.829999998</v>
      </c>
      <c r="BO98" s="46">
        <f t="shared" si="232"/>
        <v>88416458.969999999</v>
      </c>
      <c r="BP98" s="46">
        <f t="shared" si="232"/>
        <v>99837376.920000002</v>
      </c>
      <c r="BQ98" s="46">
        <f t="shared" si="232"/>
        <v>96159950.579999998</v>
      </c>
      <c r="BR98" s="46">
        <f t="shared" si="232"/>
        <v>96216106.469999999</v>
      </c>
      <c r="BS98" s="46">
        <f t="shared" si="232"/>
        <v>94313961.580000013</v>
      </c>
      <c r="BT98" s="46">
        <f t="shared" si="232"/>
        <v>88674810.289999992</v>
      </c>
      <c r="BU98" s="46">
        <f t="shared" si="232"/>
        <v>79595820.710000008</v>
      </c>
      <c r="BV98" s="46">
        <f t="shared" si="232"/>
        <v>85645799</v>
      </c>
      <c r="BW98" s="46">
        <f t="shared" si="232"/>
        <v>68271370</v>
      </c>
      <c r="BX98" s="46">
        <f t="shared" si="232"/>
        <v>56273233</v>
      </c>
      <c r="BY98" s="46">
        <f t="shared" si="232"/>
        <v>40357232</v>
      </c>
      <c r="BZ98" s="46">
        <f t="shared" si="232"/>
        <v>20591231</v>
      </c>
      <c r="CA98" s="271">
        <f t="shared" si="232"/>
        <v>-4206707</v>
      </c>
      <c r="CB98" s="271">
        <f t="shared" si="232"/>
        <v>-12794050</v>
      </c>
      <c r="CC98" s="271">
        <f t="shared" si="232"/>
        <v>-8099562</v>
      </c>
      <c r="CD98" s="271">
        <f t="shared" si="232"/>
        <v>-23084297</v>
      </c>
      <c r="CE98" s="312">
        <f t="shared" si="232"/>
        <v>-19489354</v>
      </c>
      <c r="CF98" s="312">
        <f t="shared" si="232"/>
        <v>-19731307</v>
      </c>
      <c r="CG98" s="312">
        <f t="shared" si="232"/>
        <v>-20371932</v>
      </c>
      <c r="CH98" s="312">
        <f t="shared" si="232"/>
        <v>-45037832</v>
      </c>
      <c r="CI98" s="312">
        <f t="shared" si="232"/>
        <v>-45509551</v>
      </c>
      <c r="CJ98" s="312">
        <f t="shared" si="232"/>
        <v>-48284036</v>
      </c>
      <c r="CK98" s="312">
        <f t="shared" si="232"/>
        <v>-36377913</v>
      </c>
      <c r="CL98" s="312">
        <f t="shared" si="232"/>
        <v>-31562777</v>
      </c>
      <c r="CM98" s="312">
        <f t="shared" si="232"/>
        <v>-20774599</v>
      </c>
      <c r="CN98" s="312">
        <f t="shared" si="232"/>
        <v>-25355080</v>
      </c>
      <c r="CO98" s="312">
        <f t="shared" si="232"/>
        <v>-35053026</v>
      </c>
      <c r="CP98" s="312">
        <f t="shared" si="232"/>
        <v>-7091339</v>
      </c>
      <c r="CQ98" s="312">
        <f t="shared" si="232"/>
        <v>-11895897</v>
      </c>
      <c r="CR98" s="312">
        <f t="shared" si="232"/>
        <v>-6424520</v>
      </c>
      <c r="CS98" s="312"/>
      <c r="CT98" s="350"/>
      <c r="CU98" s="67">
        <f>'MONTHLY SUMMARIES'!D66</f>
        <v>222512409</v>
      </c>
    </row>
    <row r="99" spans="1:99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/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50"/>
      <c r="CU99" s="67">
        <f>GETPIVOTDATA("VALUE",'CSS ESCO pvt'!$I$3,"DATE_FILE",$CU$8,"COMPANY",$CU$6,"TRIM_CAT","Residential-GRID","TRIM_LINE",$A97)</f>
        <v>104243808</v>
      </c>
    </row>
    <row r="100" spans="1:99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50"/>
      <c r="CU100" s="81">
        <f>CU98-CU99</f>
        <v>118268601</v>
      </c>
    </row>
    <row r="101" spans="1:99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R101" si="233">O101-C101</f>
        <v>15752183.140000008</v>
      </c>
      <c r="BJ101" s="46">
        <f t="shared" si="233"/>
        <v>21691320.710000001</v>
      </c>
      <c r="BK101" s="46">
        <f t="shared" si="233"/>
        <v>21064139.039999999</v>
      </c>
      <c r="BL101" s="46">
        <f t="shared" si="233"/>
        <v>20955600.5</v>
      </c>
      <c r="BM101" s="46">
        <f t="shared" si="233"/>
        <v>26601223.460000001</v>
      </c>
      <c r="BN101" s="46">
        <f t="shared" si="233"/>
        <v>26031880.369999997</v>
      </c>
      <c r="BO101" s="46">
        <f t="shared" si="233"/>
        <v>24712990.460000001</v>
      </c>
      <c r="BP101" s="46">
        <f t="shared" si="233"/>
        <v>19950153.840000004</v>
      </c>
      <c r="BQ101" s="46">
        <f t="shared" si="233"/>
        <v>25900091.210000001</v>
      </c>
      <c r="BR101" s="46">
        <f t="shared" si="233"/>
        <v>29576672.219999999</v>
      </c>
      <c r="BS101" s="46">
        <f t="shared" si="233"/>
        <v>26953755.380000003</v>
      </c>
      <c r="BT101" s="46">
        <f t="shared" si="233"/>
        <v>31031521.040000007</v>
      </c>
      <c r="BU101" s="46">
        <f t="shared" si="233"/>
        <v>33869650.849999994</v>
      </c>
      <c r="BV101" s="46">
        <f t="shared" si="233"/>
        <v>23929956</v>
      </c>
      <c r="BW101" s="46">
        <f t="shared" si="233"/>
        <v>26955960</v>
      </c>
      <c r="BX101" s="46">
        <f t="shared" si="233"/>
        <v>27912871</v>
      </c>
      <c r="BY101" s="46">
        <f t="shared" si="233"/>
        <v>23649525</v>
      </c>
      <c r="BZ101" s="46">
        <f t="shared" si="233"/>
        <v>23998764</v>
      </c>
      <c r="CA101" s="271">
        <f t="shared" si="233"/>
        <v>19928752</v>
      </c>
      <c r="CB101" s="271">
        <f t="shared" si="233"/>
        <v>17810353</v>
      </c>
      <c r="CC101" s="271">
        <f t="shared" si="233"/>
        <v>-3012533</v>
      </c>
      <c r="CD101" s="271">
        <f t="shared" si="233"/>
        <v>5477503</v>
      </c>
      <c r="CE101" s="312">
        <f t="shared" si="233"/>
        <v>1499562</v>
      </c>
      <c r="CF101" s="312">
        <f t="shared" si="233"/>
        <v>-7236367</v>
      </c>
      <c r="CG101" s="312">
        <f t="shared" si="233"/>
        <v>-9225691</v>
      </c>
      <c r="CH101" s="312">
        <f t="shared" si="233"/>
        <v>1044855</v>
      </c>
      <c r="CI101" s="312">
        <f t="shared" si="233"/>
        <v>-597070</v>
      </c>
      <c r="CJ101" s="312">
        <f t="shared" si="233"/>
        <v>-5952211</v>
      </c>
      <c r="CK101" s="312">
        <f t="shared" si="233"/>
        <v>-13554651</v>
      </c>
      <c r="CL101" s="312">
        <f t="shared" si="233"/>
        <v>-17658595</v>
      </c>
      <c r="CM101" s="312">
        <f t="shared" si="233"/>
        <v>-11064324</v>
      </c>
      <c r="CN101" s="312">
        <f t="shared" si="233"/>
        <v>-5623303</v>
      </c>
      <c r="CO101" s="312">
        <f t="shared" si="233"/>
        <v>6448001</v>
      </c>
      <c r="CP101" s="312">
        <f t="shared" si="233"/>
        <v>-12213113</v>
      </c>
      <c r="CQ101" s="312">
        <f t="shared" si="233"/>
        <v>6991220</v>
      </c>
      <c r="CR101" s="312">
        <f t="shared" si="233"/>
        <v>14018212</v>
      </c>
      <c r="CS101" s="312"/>
      <c r="CT101" s="350"/>
      <c r="CU101" s="67">
        <f>'MONTHLY SUMMARIES'!D67</f>
        <v>113615713</v>
      </c>
    </row>
    <row r="102" spans="1:99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50"/>
      <c r="CU102" s="67">
        <f>GETPIVOTDATA("VALUE",'CSS ESCO pvt'!$I$3,"DATE_FILE",$CU$8,"COMPANY",$CU$6,"TRIM_CAT","Low Income Residential-GRID","TRIM_LINE",$A97)</f>
        <v>49464481</v>
      </c>
    </row>
    <row r="103" spans="1:99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50"/>
      <c r="CU103" s="81">
        <f>CU101-CU102</f>
        <v>64151232</v>
      </c>
    </row>
    <row r="104" spans="1:99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34">O104-C104</f>
        <v>3160218.7299999986</v>
      </c>
      <c r="BJ104" s="46">
        <f t="shared" si="234"/>
        <v>7288690.5800000001</v>
      </c>
      <c r="BK104" s="46">
        <f t="shared" si="234"/>
        <v>8438839.3399999999</v>
      </c>
      <c r="BL104" s="46">
        <f t="shared" si="234"/>
        <v>9075727.0300000012</v>
      </c>
      <c r="BM104" s="46">
        <f t="shared" si="234"/>
        <v>8770217.9299999997</v>
      </c>
      <c r="BN104" s="46">
        <f t="shared" si="234"/>
        <v>9071788.9700000007</v>
      </c>
      <c r="BO104" s="46">
        <f t="shared" si="234"/>
        <v>8272105.75</v>
      </c>
      <c r="BP104" s="46">
        <f t="shared" si="234"/>
        <v>7336773.0500000007</v>
      </c>
      <c r="BQ104" s="46">
        <f t="shared" si="234"/>
        <v>7838827.4600000009</v>
      </c>
      <c r="BR104" s="46">
        <f t="shared" si="234"/>
        <v>8285835.2300000004</v>
      </c>
      <c r="BS104" s="46">
        <f t="shared" ref="BS104:CB106" si="235">Y104-M104</f>
        <v>8959771.3900000006</v>
      </c>
      <c r="BT104" s="46">
        <f t="shared" si="235"/>
        <v>9007398.8000000007</v>
      </c>
      <c r="BU104" s="46">
        <f t="shared" si="235"/>
        <v>6294005.8000000007</v>
      </c>
      <c r="BV104" s="46">
        <f t="shared" si="235"/>
        <v>2549860</v>
      </c>
      <c r="BW104" s="46">
        <f t="shared" si="235"/>
        <v>2670318</v>
      </c>
      <c r="BX104" s="46">
        <f t="shared" si="235"/>
        <v>3373826</v>
      </c>
      <c r="BY104" s="46">
        <f t="shared" si="235"/>
        <v>3537621</v>
      </c>
      <c r="BZ104" s="46">
        <f t="shared" si="235"/>
        <v>2785347</v>
      </c>
      <c r="CA104" s="271">
        <f t="shared" si="235"/>
        <v>3230497</v>
      </c>
      <c r="CB104" s="271">
        <f t="shared" si="235"/>
        <v>5165493</v>
      </c>
      <c r="CC104" s="271">
        <f t="shared" ref="CC104:CL106" si="236">AI104-W104</f>
        <v>4386074</v>
      </c>
      <c r="CD104" s="271">
        <f t="shared" si="236"/>
        <v>2571558</v>
      </c>
      <c r="CE104" s="312">
        <f t="shared" si="236"/>
        <v>4809384</v>
      </c>
      <c r="CF104" s="312">
        <f t="shared" si="236"/>
        <v>3402884</v>
      </c>
      <c r="CG104" s="312">
        <f t="shared" si="236"/>
        <v>3855555</v>
      </c>
      <c r="CH104" s="312">
        <f t="shared" si="236"/>
        <v>1696490</v>
      </c>
      <c r="CI104" s="312">
        <f t="shared" si="236"/>
        <v>1205758</v>
      </c>
      <c r="CJ104" s="312">
        <f t="shared" si="236"/>
        <v>-104559</v>
      </c>
      <c r="CK104" s="312">
        <f t="shared" si="236"/>
        <v>-943807</v>
      </c>
      <c r="CL104" s="312">
        <f t="shared" si="236"/>
        <v>-1110695</v>
      </c>
      <c r="CM104" s="312">
        <f t="shared" ref="CM104:CR106" si="237">AS104-AG104</f>
        <v>-47622</v>
      </c>
      <c r="CN104" s="312">
        <f t="shared" si="237"/>
        <v>-1289810</v>
      </c>
      <c r="CO104" s="312">
        <f t="shared" si="237"/>
        <v>-3074115</v>
      </c>
      <c r="CP104" s="312">
        <f t="shared" si="237"/>
        <v>-657238</v>
      </c>
      <c r="CQ104" s="312">
        <f t="shared" si="237"/>
        <v>-2921380</v>
      </c>
      <c r="CR104" s="312">
        <f t="shared" si="237"/>
        <v>-459469</v>
      </c>
      <c r="CS104" s="312"/>
      <c r="CT104" s="350"/>
      <c r="CU104" s="67">
        <f>'MONTHLY SUMMARIES'!D68</f>
        <v>24010460</v>
      </c>
    </row>
    <row r="105" spans="1:99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34"/>
        <v>2351522.7400000002</v>
      </c>
      <c r="BJ105" s="46">
        <f t="shared" si="234"/>
        <v>6058252.0499999998</v>
      </c>
      <c r="BK105" s="46">
        <f t="shared" si="234"/>
        <v>6957180.8499999996</v>
      </c>
      <c r="BL105" s="46">
        <f t="shared" si="234"/>
        <v>6301498.8200000003</v>
      </c>
      <c r="BM105" s="46">
        <f t="shared" si="234"/>
        <v>5018693.5199999996</v>
      </c>
      <c r="BN105" s="46">
        <f t="shared" si="234"/>
        <v>5452631.4500000002</v>
      </c>
      <c r="BO105" s="46">
        <f t="shared" si="234"/>
        <v>5044785.78</v>
      </c>
      <c r="BP105" s="46">
        <f t="shared" si="234"/>
        <v>4612554.9400000004</v>
      </c>
      <c r="BQ105" s="46">
        <f t="shared" si="234"/>
        <v>4934545.88</v>
      </c>
      <c r="BR105" s="46">
        <f t="shared" si="234"/>
        <v>4673953.17</v>
      </c>
      <c r="BS105" s="46">
        <f t="shared" si="235"/>
        <v>5783252.0499999998</v>
      </c>
      <c r="BT105" s="46">
        <f t="shared" si="235"/>
        <v>6375529.5300000003</v>
      </c>
      <c r="BU105" s="46">
        <f t="shared" si="235"/>
        <v>4220012.0299999993</v>
      </c>
      <c r="BV105" s="46">
        <f t="shared" si="235"/>
        <v>-398706</v>
      </c>
      <c r="BW105" s="46">
        <f t="shared" si="235"/>
        <v>-179200</v>
      </c>
      <c r="BX105" s="46">
        <f t="shared" si="235"/>
        <v>1093695</v>
      </c>
      <c r="BY105" s="46">
        <f t="shared" si="235"/>
        <v>2737223</v>
      </c>
      <c r="BZ105" s="46">
        <f t="shared" si="235"/>
        <v>602624</v>
      </c>
      <c r="CA105" s="271">
        <f t="shared" si="235"/>
        <v>1491454</v>
      </c>
      <c r="CB105" s="271">
        <f t="shared" si="235"/>
        <v>5367589</v>
      </c>
      <c r="CC105" s="271">
        <f t="shared" si="236"/>
        <v>5908621</v>
      </c>
      <c r="CD105" s="271">
        <f t="shared" si="236"/>
        <v>3911505</v>
      </c>
      <c r="CE105" s="312">
        <f t="shared" si="236"/>
        <v>6193986</v>
      </c>
      <c r="CF105" s="312">
        <f t="shared" si="236"/>
        <v>3134415</v>
      </c>
      <c r="CG105" s="312">
        <f t="shared" si="236"/>
        <v>3619934</v>
      </c>
      <c r="CH105" s="312">
        <f t="shared" si="236"/>
        <v>1594524</v>
      </c>
      <c r="CI105" s="312">
        <f t="shared" si="236"/>
        <v>2194750</v>
      </c>
      <c r="CJ105" s="312">
        <f t="shared" si="236"/>
        <v>890804</v>
      </c>
      <c r="CK105" s="312">
        <f t="shared" si="236"/>
        <v>371744</v>
      </c>
      <c r="CL105" s="312">
        <f t="shared" si="236"/>
        <v>1574974</v>
      </c>
      <c r="CM105" s="312">
        <f t="shared" si="237"/>
        <v>2565005</v>
      </c>
      <c r="CN105" s="312">
        <f t="shared" si="237"/>
        <v>108823</v>
      </c>
      <c r="CO105" s="312">
        <f t="shared" si="237"/>
        <v>26274</v>
      </c>
      <c r="CP105" s="312">
        <f t="shared" si="237"/>
        <v>1388749</v>
      </c>
      <c r="CQ105" s="312">
        <f t="shared" si="237"/>
        <v>-2438202</v>
      </c>
      <c r="CR105" s="312">
        <f t="shared" si="237"/>
        <v>-66034</v>
      </c>
      <c r="CS105" s="312"/>
      <c r="CT105" s="350"/>
      <c r="CU105" s="67">
        <f>'MONTHLY SUMMARIES'!D69</f>
        <v>17526208</v>
      </c>
    </row>
    <row r="106" spans="1:99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34"/>
        <v>6166828.6300000008</v>
      </c>
      <c r="BJ106" s="46">
        <f t="shared" si="234"/>
        <v>7246472.5399999991</v>
      </c>
      <c r="BK106" s="46">
        <f t="shared" si="234"/>
        <v>9416192.5099999998</v>
      </c>
      <c r="BL106" s="46">
        <f t="shared" si="234"/>
        <v>9594302.3800000008</v>
      </c>
      <c r="BM106" s="46">
        <f t="shared" si="234"/>
        <v>7977642.5099999998</v>
      </c>
      <c r="BN106" s="46">
        <f t="shared" si="234"/>
        <v>8047569.8200000003</v>
      </c>
      <c r="BO106" s="46">
        <f t="shared" si="234"/>
        <v>5738548.8200000003</v>
      </c>
      <c r="BP106" s="46">
        <f t="shared" si="234"/>
        <v>7369039.6300000008</v>
      </c>
      <c r="BQ106" s="46">
        <f t="shared" si="234"/>
        <v>7385976.6799999997</v>
      </c>
      <c r="BR106" s="46">
        <f t="shared" si="234"/>
        <v>6471150.6500000004</v>
      </c>
      <c r="BS106" s="46">
        <f t="shared" si="235"/>
        <v>6640776.5099999998</v>
      </c>
      <c r="BT106" s="46">
        <f t="shared" si="235"/>
        <v>5588980.3200000003</v>
      </c>
      <c r="BU106" s="46">
        <f t="shared" si="235"/>
        <v>-393078.16000000015</v>
      </c>
      <c r="BV106" s="46">
        <f t="shared" si="235"/>
        <v>-883376</v>
      </c>
      <c r="BW106" s="46">
        <f t="shared" si="235"/>
        <v>-3705776</v>
      </c>
      <c r="BX106" s="46">
        <f t="shared" si="235"/>
        <v>-2184291</v>
      </c>
      <c r="BY106" s="46">
        <f t="shared" si="235"/>
        <v>-95568</v>
      </c>
      <c r="BZ106" s="46">
        <f t="shared" si="235"/>
        <v>-2206934</v>
      </c>
      <c r="CA106" s="271">
        <f t="shared" si="235"/>
        <v>-223058</v>
      </c>
      <c r="CB106" s="271">
        <f t="shared" si="235"/>
        <v>8773024</v>
      </c>
      <c r="CC106" s="271">
        <f t="shared" si="236"/>
        <v>8557299</v>
      </c>
      <c r="CD106" s="271">
        <f t="shared" si="236"/>
        <v>4738291</v>
      </c>
      <c r="CE106" s="312">
        <f t="shared" si="236"/>
        <v>10628907</v>
      </c>
      <c r="CF106" s="312">
        <f t="shared" si="236"/>
        <v>8718472</v>
      </c>
      <c r="CG106" s="312">
        <f t="shared" si="236"/>
        <v>10374848</v>
      </c>
      <c r="CH106" s="312">
        <f t="shared" si="236"/>
        <v>5873996</v>
      </c>
      <c r="CI106" s="312">
        <f t="shared" si="236"/>
        <v>5743272</v>
      </c>
      <c r="CJ106" s="312">
        <f t="shared" si="236"/>
        <v>4133178</v>
      </c>
      <c r="CK106" s="312">
        <f t="shared" si="236"/>
        <v>5152906</v>
      </c>
      <c r="CL106" s="312">
        <f t="shared" si="236"/>
        <v>5769467</v>
      </c>
      <c r="CM106" s="312">
        <f t="shared" si="237"/>
        <v>6568871</v>
      </c>
      <c r="CN106" s="312">
        <f t="shared" si="237"/>
        <v>-2113108</v>
      </c>
      <c r="CO106" s="312">
        <f t="shared" si="237"/>
        <v>-3352771</v>
      </c>
      <c r="CP106" s="312">
        <f t="shared" si="237"/>
        <v>7264439</v>
      </c>
      <c r="CQ106" s="312">
        <f t="shared" si="237"/>
        <v>-1614309</v>
      </c>
      <c r="CR106" s="312">
        <f t="shared" si="237"/>
        <v>1513640</v>
      </c>
      <c r="CS106" s="312"/>
      <c r="CT106" s="350"/>
      <c r="CU106" s="67">
        <f>'MONTHLY SUMMARIES'!D70</f>
        <v>29183080</v>
      </c>
    </row>
    <row r="107" spans="1:99" s="134" customFormat="1" ht="15" thickBot="1" x14ac:dyDescent="0.35">
      <c r="A107" s="151"/>
      <c r="B107" s="54" t="s">
        <v>42</v>
      </c>
      <c r="C107" s="130">
        <f t="shared" ref="C107:Q107" si="238">SUM(C98:C106)</f>
        <v>201253335.58999997</v>
      </c>
      <c r="D107" s="131">
        <f t="shared" si="238"/>
        <v>208486037.92999998</v>
      </c>
      <c r="E107" s="131">
        <f t="shared" si="238"/>
        <v>202893886.59</v>
      </c>
      <c r="F107" s="131">
        <f t="shared" si="238"/>
        <v>198381619.41</v>
      </c>
      <c r="G107" s="131">
        <f t="shared" si="238"/>
        <v>200886386.28</v>
      </c>
      <c r="H107" s="131">
        <f t="shared" si="238"/>
        <v>210744504.56000003</v>
      </c>
      <c r="I107" s="131">
        <f t="shared" si="238"/>
        <v>220550893.22</v>
      </c>
      <c r="J107" s="131">
        <f t="shared" si="238"/>
        <v>220486300.62</v>
      </c>
      <c r="K107" s="131">
        <f t="shared" si="238"/>
        <v>224340889.19</v>
      </c>
      <c r="L107" s="132">
        <f t="shared" si="238"/>
        <v>227873672.26000002</v>
      </c>
      <c r="M107" s="131">
        <f t="shared" si="238"/>
        <v>240714557.08999997</v>
      </c>
      <c r="N107" s="131">
        <f t="shared" si="238"/>
        <v>259332967.02000001</v>
      </c>
      <c r="O107" s="131">
        <f t="shared" si="238"/>
        <v>276520423.76999998</v>
      </c>
      <c r="P107" s="131">
        <f t="shared" si="238"/>
        <v>301139400</v>
      </c>
      <c r="Q107" s="131">
        <f t="shared" si="238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75267088.179999992</v>
      </c>
      <c r="BJ107" s="133">
        <f t="shared" ref="BJ107:BL107" si="239">SUM(BJ98:BJ106)</f>
        <v>92653362.069999993</v>
      </c>
      <c r="BK107" s="133">
        <f t="shared" si="239"/>
        <v>108549215.41000001</v>
      </c>
      <c r="BL107" s="133">
        <f t="shared" si="239"/>
        <v>115219620.59</v>
      </c>
      <c r="BM107" s="133">
        <f t="shared" ref="BM107:BN107" si="240">SUM(BM98:BM106)</f>
        <v>118244240.72</v>
      </c>
      <c r="BN107" s="133">
        <f t="shared" si="240"/>
        <v>124357759.44</v>
      </c>
      <c r="BO107" s="133">
        <f t="shared" ref="BO107:BP107" si="241">SUM(BO98:BO106)</f>
        <v>132184889.78</v>
      </c>
      <c r="BP107" s="133">
        <f t="shared" si="241"/>
        <v>139105898.38</v>
      </c>
      <c r="BQ107" s="133">
        <f t="shared" ref="BQ107:BR107" si="242">SUM(BQ98:BQ106)</f>
        <v>142219391.81</v>
      </c>
      <c r="BR107" s="133">
        <f t="shared" si="242"/>
        <v>145223717.74000001</v>
      </c>
      <c r="BS107" s="133">
        <f t="shared" ref="BS107:BT107" si="243">SUM(BS98:BS106)</f>
        <v>142651516.91</v>
      </c>
      <c r="BT107" s="133">
        <f t="shared" si="243"/>
        <v>140678239.97999999</v>
      </c>
      <c r="BU107" s="133">
        <f t="shared" ref="BU107:BV107" si="244">SUM(BU98:BU106)</f>
        <v>123586411.23</v>
      </c>
      <c r="BV107" s="133">
        <f t="shared" si="244"/>
        <v>110843533</v>
      </c>
      <c r="BW107" s="133">
        <f t="shared" ref="BW107:BX107" si="245">SUM(BW98:BW106)</f>
        <v>94012672</v>
      </c>
      <c r="BX107" s="133">
        <f t="shared" si="245"/>
        <v>86469334</v>
      </c>
      <c r="BY107" s="133">
        <f t="shared" ref="BY107:BZ107" si="246">SUM(BY98:BY106)</f>
        <v>70186033</v>
      </c>
      <c r="BZ107" s="133">
        <f t="shared" si="246"/>
        <v>45771032</v>
      </c>
      <c r="CA107" s="274">
        <f t="shared" ref="CA107:CB107" si="247">SUM(CA98:CA106)</f>
        <v>20220938</v>
      </c>
      <c r="CB107" s="274">
        <f t="shared" si="247"/>
        <v>24322409</v>
      </c>
      <c r="CC107" s="274">
        <f t="shared" ref="CC107:CE107" si="248">SUM(CC98:CC106)</f>
        <v>7739899</v>
      </c>
      <c r="CD107" s="274">
        <f t="shared" si="248"/>
        <v>-6385440</v>
      </c>
      <c r="CE107" s="326">
        <f t="shared" si="248"/>
        <v>3642485</v>
      </c>
      <c r="CF107" s="326">
        <f t="shared" ref="CF107:CG107" si="249">SUM(CF98:CF106)</f>
        <v>-11711903</v>
      </c>
      <c r="CG107" s="326">
        <f t="shared" si="249"/>
        <v>-11747286</v>
      </c>
      <c r="CH107" s="326">
        <f t="shared" ref="CH107:CI107" si="250">SUM(CH98:CH106)</f>
        <v>-34827967</v>
      </c>
      <c r="CI107" s="326">
        <f t="shared" si="250"/>
        <v>-36962841</v>
      </c>
      <c r="CJ107" s="326">
        <f t="shared" ref="CJ107" si="251">SUM(CJ98:CJ106)</f>
        <v>-49316824</v>
      </c>
      <c r="CK107" s="326">
        <f t="shared" ref="CK107" si="252">SUM(CK98:CK106)</f>
        <v>-45351721</v>
      </c>
      <c r="CL107" s="326">
        <f t="shared" ref="CL107" si="253">SUM(CL98:CL106)</f>
        <v>-42987626</v>
      </c>
      <c r="CM107" s="326">
        <f t="shared" ref="CM107" si="254">SUM(CM98:CM106)</f>
        <v>-22752669</v>
      </c>
      <c r="CN107" s="326">
        <f t="shared" ref="CN107" si="255">SUM(CN98:CN106)</f>
        <v>-34272478</v>
      </c>
      <c r="CO107" s="326">
        <f t="shared" ref="CO107" si="256">SUM(CO98:CO106)</f>
        <v>-35005637</v>
      </c>
      <c r="CP107" s="366">
        <f t="shared" ref="CP107" si="257">SUM(CP98:CP106)</f>
        <v>-11308502</v>
      </c>
      <c r="CQ107" s="366">
        <f t="shared" ref="CQ107:CS107" si="258">SUM(CQ98:CQ106)</f>
        <v>-11878568</v>
      </c>
      <c r="CR107" s="366">
        <f t="shared" ref="CR107" si="259">SUM(CR98:CR106)</f>
        <v>8581829</v>
      </c>
      <c r="CS107" s="366"/>
      <c r="CT107" s="351"/>
      <c r="CU107" s="38">
        <f>CU98+CU101+CU104+CU105+CU106</f>
        <v>406847870</v>
      </c>
    </row>
    <row r="108" spans="1:9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48"/>
      <c r="CU108" s="81"/>
    </row>
    <row r="109" spans="1:99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/>
      <c r="BA109" s="300"/>
      <c r="BB109" s="300"/>
      <c r="BC109" s="300"/>
      <c r="BD109" s="300"/>
      <c r="BE109" s="300"/>
      <c r="BF109" s="300"/>
      <c r="BG109" s="300"/>
      <c r="BH109" s="300"/>
      <c r="BI109" s="86">
        <f t="shared" ref="BI109:BO113" si="260">O109-C109</f>
        <v>-75719449</v>
      </c>
      <c r="BJ109" s="87">
        <f t="shared" si="260"/>
        <v>56406805</v>
      </c>
      <c r="BK109" s="87">
        <f t="shared" si="260"/>
        <v>22958673</v>
      </c>
      <c r="BL109" s="87">
        <f t="shared" si="260"/>
        <v>64183543</v>
      </c>
      <c r="BM109" s="87">
        <f t="shared" si="260"/>
        <v>98410045</v>
      </c>
      <c r="BN109" s="87">
        <f t="shared" si="260"/>
        <v>91313250</v>
      </c>
      <c r="BO109" s="87">
        <f t="shared" si="260"/>
        <v>57843403</v>
      </c>
      <c r="BP109" s="212">
        <f t="shared" ref="BP109:BY113" si="261">IF(ISERROR(V109-J109)=TRUE,"N/A",V109-J109)</f>
        <v>51036837</v>
      </c>
      <c r="BQ109" s="212">
        <f t="shared" si="261"/>
        <v>25579350</v>
      </c>
      <c r="BR109" s="212">
        <f t="shared" si="261"/>
        <v>-26324207</v>
      </c>
      <c r="BS109" s="212">
        <f t="shared" si="261"/>
        <v>48605382</v>
      </c>
      <c r="BT109" s="212">
        <f t="shared" si="261"/>
        <v>76361721</v>
      </c>
      <c r="BU109" s="212">
        <f t="shared" si="261"/>
        <v>68987843</v>
      </c>
      <c r="BV109" s="212">
        <f t="shared" si="261"/>
        <v>-46890141</v>
      </c>
      <c r="BW109" s="212">
        <f t="shared" si="261"/>
        <v>-50277097</v>
      </c>
      <c r="BX109" s="212">
        <f t="shared" si="261"/>
        <v>40299552</v>
      </c>
      <c r="BY109" s="212">
        <f t="shared" si="261"/>
        <v>-65746676</v>
      </c>
      <c r="BZ109" s="212">
        <f t="shared" ref="BZ109:CI113" si="262">IF(ISERROR(AF109-T109)=TRUE,"N/A",AF109-T109)</f>
        <v>-172748675</v>
      </c>
      <c r="CA109" s="275">
        <f t="shared" si="262"/>
        <v>74801522</v>
      </c>
      <c r="CB109" s="275">
        <f t="shared" si="262"/>
        <v>-22388327</v>
      </c>
      <c r="CC109" s="275">
        <f t="shared" si="262"/>
        <v>-12776563</v>
      </c>
      <c r="CD109" s="275">
        <f t="shared" si="262"/>
        <v>7870452</v>
      </c>
      <c r="CE109" s="314">
        <f t="shared" si="262"/>
        <v>-69688450</v>
      </c>
      <c r="CF109" s="314">
        <f t="shared" si="262"/>
        <v>22667251.019999981</v>
      </c>
      <c r="CG109" s="314">
        <f t="shared" si="262"/>
        <v>-12696011</v>
      </c>
      <c r="CH109" s="314">
        <f t="shared" si="262"/>
        <v>13697311</v>
      </c>
      <c r="CI109" s="314">
        <f t="shared" si="262"/>
        <v>-25919105</v>
      </c>
      <c r="CJ109" s="314">
        <f t="shared" ref="CJ109:CR113" si="263">IF(ISERROR(AP109-AD109)=TRUE,"N/A",AP109-AD109)</f>
        <v>-55298126</v>
      </c>
      <c r="CK109" s="314">
        <f t="shared" si="263"/>
        <v>-48478810</v>
      </c>
      <c r="CL109" s="314">
        <f t="shared" si="263"/>
        <v>131888294</v>
      </c>
      <c r="CM109" s="314">
        <f t="shared" si="263"/>
        <v>-35719749</v>
      </c>
      <c r="CN109" s="314">
        <f t="shared" si="263"/>
        <v>-19029059</v>
      </c>
      <c r="CO109" s="314">
        <f t="shared" si="263"/>
        <v>-32422012</v>
      </c>
      <c r="CP109" s="314">
        <f t="shared" si="263"/>
        <v>-34140072</v>
      </c>
      <c r="CQ109" s="314">
        <f t="shared" si="263"/>
        <v>-39627691</v>
      </c>
      <c r="CR109" s="314">
        <f t="shared" si="263"/>
        <v>-83766102.019999981</v>
      </c>
      <c r="CS109" s="314"/>
      <c r="CT109" s="348"/>
      <c r="CU109" s="67">
        <f>'MONTHLY SUMMARIES'!D73</f>
        <v>573539006</v>
      </c>
    </row>
    <row r="110" spans="1:99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86">
        <f t="shared" si="260"/>
        <v>-19142210</v>
      </c>
      <c r="BJ110" s="87">
        <f t="shared" si="260"/>
        <v>2784015</v>
      </c>
      <c r="BK110" s="87">
        <f t="shared" si="260"/>
        <v>1655091</v>
      </c>
      <c r="BL110" s="87">
        <f t="shared" si="260"/>
        <v>6813464</v>
      </c>
      <c r="BM110" s="87">
        <f t="shared" si="260"/>
        <v>12093494</v>
      </c>
      <c r="BN110" s="87">
        <f t="shared" si="260"/>
        <v>14260005</v>
      </c>
      <c r="BO110" s="87">
        <f t="shared" si="260"/>
        <v>12307439</v>
      </c>
      <c r="BP110" s="212">
        <f t="shared" si="261"/>
        <v>6822995</v>
      </c>
      <c r="BQ110" s="212">
        <f t="shared" si="261"/>
        <v>3301122</v>
      </c>
      <c r="BR110" s="212">
        <f t="shared" si="261"/>
        <v>88218</v>
      </c>
      <c r="BS110" s="212">
        <f t="shared" si="261"/>
        <v>13794550</v>
      </c>
      <c r="BT110" s="212">
        <f t="shared" si="261"/>
        <v>16528114</v>
      </c>
      <c r="BU110" s="212">
        <f t="shared" si="261"/>
        <v>20023292</v>
      </c>
      <c r="BV110" s="212">
        <f t="shared" si="261"/>
        <v>3271838</v>
      </c>
      <c r="BW110" s="212">
        <f t="shared" si="261"/>
        <v>-134182</v>
      </c>
      <c r="BX110" s="212">
        <f t="shared" si="261"/>
        <v>12431754</v>
      </c>
      <c r="BY110" s="212">
        <f t="shared" si="261"/>
        <v>4882519</v>
      </c>
      <c r="BZ110" s="212">
        <f t="shared" si="262"/>
        <v>-11529257</v>
      </c>
      <c r="CA110" s="275">
        <f t="shared" si="262"/>
        <v>12179599</v>
      </c>
      <c r="CB110" s="275">
        <f t="shared" si="262"/>
        <v>731769</v>
      </c>
      <c r="CC110" s="275">
        <f t="shared" si="262"/>
        <v>-3788349</v>
      </c>
      <c r="CD110" s="275">
        <f t="shared" si="262"/>
        <v>-4796090</v>
      </c>
      <c r="CE110" s="314">
        <f t="shared" si="262"/>
        <v>-9262375</v>
      </c>
      <c r="CF110" s="314">
        <f t="shared" si="262"/>
        <v>-729545</v>
      </c>
      <c r="CG110" s="314">
        <f t="shared" si="262"/>
        <v>-5453157</v>
      </c>
      <c r="CH110" s="314">
        <f t="shared" si="262"/>
        <v>432081</v>
      </c>
      <c r="CI110" s="314">
        <f t="shared" si="262"/>
        <v>-4175107</v>
      </c>
      <c r="CJ110" s="314">
        <f t="shared" si="263"/>
        <v>-5326287</v>
      </c>
      <c r="CK110" s="314">
        <f t="shared" si="263"/>
        <v>-7020331</v>
      </c>
      <c r="CL110" s="314">
        <f t="shared" si="263"/>
        <v>15171123</v>
      </c>
      <c r="CM110" s="314">
        <f t="shared" si="263"/>
        <v>-1361728</v>
      </c>
      <c r="CN110" s="314">
        <f t="shared" si="263"/>
        <v>2988527</v>
      </c>
      <c r="CO110" s="314">
        <f t="shared" si="263"/>
        <v>10122975</v>
      </c>
      <c r="CP110" s="314">
        <f t="shared" si="263"/>
        <v>12455317</v>
      </c>
      <c r="CQ110" s="314">
        <f t="shared" si="263"/>
        <v>2716815</v>
      </c>
      <c r="CR110" s="314">
        <f t="shared" si="263"/>
        <v>2331847</v>
      </c>
      <c r="CS110" s="314"/>
      <c r="CT110" s="348"/>
      <c r="CU110" s="67">
        <f>'MONTHLY SUMMARIES'!D74</f>
        <v>92582905</v>
      </c>
    </row>
    <row r="111" spans="1:99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86">
        <f t="shared" si="260"/>
        <v>-21999498</v>
      </c>
      <c r="BJ111" s="87">
        <f t="shared" si="260"/>
        <v>-11960188</v>
      </c>
      <c r="BK111" s="87">
        <f t="shared" si="260"/>
        <v>-26434818</v>
      </c>
      <c r="BL111" s="87">
        <f t="shared" si="260"/>
        <v>-21577254</v>
      </c>
      <c r="BM111" s="87">
        <f t="shared" si="260"/>
        <v>-8593850</v>
      </c>
      <c r="BN111" s="87">
        <f t="shared" si="260"/>
        <v>-19379426</v>
      </c>
      <c r="BO111" s="87">
        <f t="shared" si="260"/>
        <v>-9991292</v>
      </c>
      <c r="BP111" s="212">
        <f t="shared" si="261"/>
        <v>-5961506</v>
      </c>
      <c r="BQ111" s="212">
        <f t="shared" si="261"/>
        <v>-5019260</v>
      </c>
      <c r="BR111" s="212">
        <f t="shared" si="261"/>
        <v>-19898117</v>
      </c>
      <c r="BS111" s="212">
        <f t="shared" si="261"/>
        <v>-8094109</v>
      </c>
      <c r="BT111" s="212">
        <f t="shared" si="261"/>
        <v>-2978061</v>
      </c>
      <c r="BU111" s="212">
        <f t="shared" si="261"/>
        <v>5618829</v>
      </c>
      <c r="BV111" s="212">
        <f t="shared" si="261"/>
        <v>7247980</v>
      </c>
      <c r="BW111" s="212">
        <f t="shared" si="261"/>
        <v>10527434</v>
      </c>
      <c r="BX111" s="212">
        <f t="shared" si="261"/>
        <v>28377308</v>
      </c>
      <c r="BY111" s="212">
        <f t="shared" si="261"/>
        <v>7682075</v>
      </c>
      <c r="BZ111" s="212">
        <f t="shared" si="262"/>
        <v>-3818797</v>
      </c>
      <c r="CA111" s="275">
        <f t="shared" si="262"/>
        <v>17707972</v>
      </c>
      <c r="CB111" s="275">
        <f t="shared" si="262"/>
        <v>2150132</v>
      </c>
      <c r="CC111" s="275">
        <f t="shared" si="262"/>
        <v>4382432</v>
      </c>
      <c r="CD111" s="275">
        <f t="shared" si="262"/>
        <v>6919887</v>
      </c>
      <c r="CE111" s="314">
        <f t="shared" si="262"/>
        <v>-8439789</v>
      </c>
      <c r="CF111" s="314">
        <f t="shared" si="262"/>
        <v>12276859</v>
      </c>
      <c r="CG111" s="314">
        <f t="shared" si="262"/>
        <v>6371610</v>
      </c>
      <c r="CH111" s="314">
        <f t="shared" si="262"/>
        <v>11538403</v>
      </c>
      <c r="CI111" s="314">
        <f t="shared" si="262"/>
        <v>8263516</v>
      </c>
      <c r="CJ111" s="314">
        <f t="shared" si="263"/>
        <v>-8149882</v>
      </c>
      <c r="CK111" s="314">
        <f t="shared" si="263"/>
        <v>-5056074</v>
      </c>
      <c r="CL111" s="314">
        <f t="shared" si="263"/>
        <v>27197307</v>
      </c>
      <c r="CM111" s="314">
        <f t="shared" si="263"/>
        <v>-5130632</v>
      </c>
      <c r="CN111" s="314">
        <f t="shared" si="263"/>
        <v>1928444</v>
      </c>
      <c r="CO111" s="314">
        <f t="shared" si="263"/>
        <v>-2412845</v>
      </c>
      <c r="CP111" s="314">
        <f t="shared" si="263"/>
        <v>-2391150</v>
      </c>
      <c r="CQ111" s="314">
        <f t="shared" si="263"/>
        <v>-5011318</v>
      </c>
      <c r="CR111" s="314">
        <f t="shared" si="263"/>
        <v>-12116935</v>
      </c>
      <c r="CS111" s="314"/>
      <c r="CT111" s="348"/>
      <c r="CU111" s="67">
        <f>'MONTHLY SUMMARIES'!D75</f>
        <v>174356920</v>
      </c>
    </row>
    <row r="112" spans="1:99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86">
        <f t="shared" si="260"/>
        <v>-20818674</v>
      </c>
      <c r="BJ112" s="87">
        <f t="shared" si="260"/>
        <v>-9404602</v>
      </c>
      <c r="BK112" s="87">
        <f t="shared" si="260"/>
        <v>-29373052</v>
      </c>
      <c r="BL112" s="87">
        <f t="shared" si="260"/>
        <v>-30957461</v>
      </c>
      <c r="BM112" s="87">
        <f t="shared" si="260"/>
        <v>-14545199</v>
      </c>
      <c r="BN112" s="87">
        <f t="shared" si="260"/>
        <v>76456908</v>
      </c>
      <c r="BO112" s="87">
        <f t="shared" si="260"/>
        <v>-104205538</v>
      </c>
      <c r="BP112" s="212">
        <f t="shared" si="261"/>
        <v>-19135197</v>
      </c>
      <c r="BQ112" s="212">
        <f t="shared" si="261"/>
        <v>-10173596</v>
      </c>
      <c r="BR112" s="212">
        <f t="shared" si="261"/>
        <v>-28026953</v>
      </c>
      <c r="BS112" s="212">
        <f t="shared" si="261"/>
        <v>-13635711</v>
      </c>
      <c r="BT112" s="212">
        <f t="shared" si="261"/>
        <v>1911844</v>
      </c>
      <c r="BU112" s="212">
        <f t="shared" si="261"/>
        <v>3465980</v>
      </c>
      <c r="BV112" s="212">
        <f t="shared" si="261"/>
        <v>9128129</v>
      </c>
      <c r="BW112" s="212">
        <f t="shared" si="261"/>
        <v>10831423</v>
      </c>
      <c r="BX112" s="212">
        <f t="shared" si="261"/>
        <v>38259011</v>
      </c>
      <c r="BY112" s="212">
        <f t="shared" si="261"/>
        <v>12060594</v>
      </c>
      <c r="BZ112" s="212">
        <f t="shared" si="262"/>
        <v>-112134127</v>
      </c>
      <c r="CA112" s="275">
        <f t="shared" si="262"/>
        <v>109437431</v>
      </c>
      <c r="CB112" s="275">
        <f t="shared" si="262"/>
        <v>21432391</v>
      </c>
      <c r="CC112" s="275">
        <f t="shared" si="262"/>
        <v>1036572</v>
      </c>
      <c r="CD112" s="275">
        <f t="shared" si="262"/>
        <v>75934634</v>
      </c>
      <c r="CE112" s="314">
        <f t="shared" si="262"/>
        <v>-92115839</v>
      </c>
      <c r="CF112" s="314">
        <f t="shared" si="262"/>
        <v>5608508</v>
      </c>
      <c r="CG112" s="314">
        <f t="shared" si="262"/>
        <v>-164840</v>
      </c>
      <c r="CH112" s="314">
        <f t="shared" si="262"/>
        <v>620634</v>
      </c>
      <c r="CI112" s="314">
        <f t="shared" si="262"/>
        <v>3922340</v>
      </c>
      <c r="CJ112" s="314">
        <f t="shared" si="263"/>
        <v>-13602249</v>
      </c>
      <c r="CK112" s="314">
        <f t="shared" si="263"/>
        <v>-15676746</v>
      </c>
      <c r="CL112" s="314">
        <f t="shared" si="263"/>
        <v>5985961</v>
      </c>
      <c r="CM112" s="314">
        <f t="shared" si="263"/>
        <v>-13876569</v>
      </c>
      <c r="CN112" s="314">
        <f t="shared" si="263"/>
        <v>-502286</v>
      </c>
      <c r="CO112" s="314">
        <f t="shared" si="263"/>
        <v>10649596</v>
      </c>
      <c r="CP112" s="314">
        <f t="shared" si="263"/>
        <v>-65848315</v>
      </c>
      <c r="CQ112" s="314">
        <f t="shared" si="263"/>
        <v>70268937</v>
      </c>
      <c r="CR112" s="314">
        <f t="shared" si="263"/>
        <v>-11350304</v>
      </c>
      <c r="CS112" s="314"/>
      <c r="CT112" s="348"/>
      <c r="CU112" s="67">
        <f>'MONTHLY SUMMARIES'!D76</f>
        <v>218236020</v>
      </c>
    </row>
    <row r="113" spans="1:100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86">
        <f t="shared" si="260"/>
        <v>-26440881</v>
      </c>
      <c r="BJ113" s="87">
        <f t="shared" si="260"/>
        <v>-19141659</v>
      </c>
      <c r="BK113" s="87">
        <f t="shared" si="260"/>
        <v>-70487498</v>
      </c>
      <c r="BL113" s="87">
        <f t="shared" si="260"/>
        <v>-49181222</v>
      </c>
      <c r="BM113" s="87">
        <f t="shared" si="260"/>
        <v>-18761304</v>
      </c>
      <c r="BN113" s="87">
        <f t="shared" si="260"/>
        <v>-64692175</v>
      </c>
      <c r="BO113" s="87">
        <f t="shared" si="260"/>
        <v>-21125328</v>
      </c>
      <c r="BP113" s="212">
        <f t="shared" si="261"/>
        <v>-17167123</v>
      </c>
      <c r="BQ113" s="212">
        <f t="shared" si="261"/>
        <v>-2776349</v>
      </c>
      <c r="BR113" s="212">
        <f t="shared" si="261"/>
        <v>-36681186</v>
      </c>
      <c r="BS113" s="212">
        <f t="shared" si="261"/>
        <v>-27409518</v>
      </c>
      <c r="BT113" s="212">
        <f t="shared" si="261"/>
        <v>-15306825</v>
      </c>
      <c r="BU113" s="212">
        <f t="shared" si="261"/>
        <v>7549209</v>
      </c>
      <c r="BV113" s="212">
        <f t="shared" si="261"/>
        <v>3318854</v>
      </c>
      <c r="BW113" s="212">
        <f t="shared" si="261"/>
        <v>35644118</v>
      </c>
      <c r="BX113" s="212">
        <f t="shared" si="261"/>
        <v>54339908</v>
      </c>
      <c r="BY113" s="212">
        <f t="shared" si="261"/>
        <v>15325368</v>
      </c>
      <c r="BZ113" s="212">
        <f t="shared" si="262"/>
        <v>10196724</v>
      </c>
      <c r="CA113" s="275">
        <f t="shared" si="262"/>
        <v>44214182</v>
      </c>
      <c r="CB113" s="275">
        <f t="shared" si="262"/>
        <v>10302572</v>
      </c>
      <c r="CC113" s="275">
        <f t="shared" si="262"/>
        <v>16850295</v>
      </c>
      <c r="CD113" s="275">
        <f t="shared" si="262"/>
        <v>-7662466</v>
      </c>
      <c r="CE113" s="314">
        <f t="shared" si="262"/>
        <v>-44185242</v>
      </c>
      <c r="CF113" s="314">
        <f t="shared" si="262"/>
        <v>830283</v>
      </c>
      <c r="CG113" s="314">
        <f t="shared" si="262"/>
        <v>1068984</v>
      </c>
      <c r="CH113" s="314">
        <f t="shared" si="262"/>
        <v>36336157</v>
      </c>
      <c r="CI113" s="314">
        <f t="shared" si="262"/>
        <v>1435025</v>
      </c>
      <c r="CJ113" s="314">
        <f t="shared" si="263"/>
        <v>-29791190</v>
      </c>
      <c r="CK113" s="314">
        <f t="shared" si="263"/>
        <v>14413953</v>
      </c>
      <c r="CL113" s="314">
        <f t="shared" si="263"/>
        <v>27285350</v>
      </c>
      <c r="CM113" s="314">
        <f t="shared" si="263"/>
        <v>12822957</v>
      </c>
      <c r="CN113" s="314">
        <f t="shared" si="263"/>
        <v>-22419711</v>
      </c>
      <c r="CO113" s="314">
        <f t="shared" si="263"/>
        <v>1276964</v>
      </c>
      <c r="CP113" s="314">
        <f t="shared" si="263"/>
        <v>39029943</v>
      </c>
      <c r="CQ113" s="314">
        <f t="shared" si="263"/>
        <v>-8346203</v>
      </c>
      <c r="CR113" s="314">
        <f t="shared" si="263"/>
        <v>45815108</v>
      </c>
      <c r="CS113" s="314"/>
      <c r="CT113" s="348"/>
      <c r="CU113" s="67">
        <f>'MONTHLY SUMMARIES'!D77</f>
        <v>517244401</v>
      </c>
    </row>
    <row r="114" spans="1:100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64">SUM(D109:D113)</f>
        <v>1439760572</v>
      </c>
      <c r="E114" s="141">
        <f t="shared" si="264"/>
        <v>1399917215</v>
      </c>
      <c r="F114" s="141">
        <f t="shared" si="264"/>
        <v>1440463244</v>
      </c>
      <c r="G114" s="141">
        <f t="shared" si="264"/>
        <v>1741562147</v>
      </c>
      <c r="H114" s="141">
        <f t="shared" si="264"/>
        <v>1973071814</v>
      </c>
      <c r="I114" s="141">
        <f t="shared" si="264"/>
        <v>1614163339</v>
      </c>
      <c r="J114" s="141">
        <f t="shared" si="264"/>
        <v>1362028157</v>
      </c>
      <c r="K114" s="141">
        <f t="shared" si="264"/>
        <v>1368361084</v>
      </c>
      <c r="L114" s="142">
        <f t="shared" si="264"/>
        <v>1644782179</v>
      </c>
      <c r="M114" s="141">
        <f t="shared" si="264"/>
        <v>1789131915</v>
      </c>
      <c r="N114" s="141">
        <f t="shared" si="264"/>
        <v>1579978428</v>
      </c>
      <c r="O114" s="141">
        <f t="shared" si="264"/>
        <v>1505454848</v>
      </c>
      <c r="P114" s="141">
        <f t="shared" si="264"/>
        <v>1458444943</v>
      </c>
      <c r="Q114" s="141">
        <f t="shared" si="264"/>
        <v>1298235611</v>
      </c>
      <c r="R114" s="141">
        <f t="shared" si="264"/>
        <v>1409744314</v>
      </c>
      <c r="S114" s="141">
        <f t="shared" si="264"/>
        <v>1810165333</v>
      </c>
      <c r="T114" s="141">
        <f t="shared" si="264"/>
        <v>2071030376</v>
      </c>
      <c r="U114" s="141">
        <f t="shared" si="264"/>
        <v>1548992023</v>
      </c>
      <c r="V114" s="141">
        <f t="shared" si="264"/>
        <v>1377624163</v>
      </c>
      <c r="W114" s="141">
        <f t="shared" si="264"/>
        <v>1379272351</v>
      </c>
      <c r="X114" s="142">
        <f t="shared" si="264"/>
        <v>1533939934</v>
      </c>
      <c r="Y114" s="141">
        <f t="shared" si="264"/>
        <v>1802392509</v>
      </c>
      <c r="Z114" s="141">
        <v>1656495221</v>
      </c>
      <c r="AA114" s="141">
        <f t="shared" si="264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65">SUM(BI109:BI113)</f>
        <v>-164120712</v>
      </c>
      <c r="BJ114" s="143">
        <f t="shared" ref="BJ114:BL114" si="266">SUM(BJ109:BJ113)</f>
        <v>18684371</v>
      </c>
      <c r="BK114" s="143">
        <f t="shared" si="266"/>
        <v>-101681604</v>
      </c>
      <c r="BL114" s="143">
        <f t="shared" si="266"/>
        <v>-30718930</v>
      </c>
      <c r="BM114" s="143">
        <f t="shared" ref="BM114:BN114" si="267">SUM(BM109:BM113)</f>
        <v>68603186</v>
      </c>
      <c r="BN114" s="143">
        <f t="shared" si="267"/>
        <v>97958562</v>
      </c>
      <c r="BO114" s="143">
        <f t="shared" ref="BO114" si="268">SUM(BO109:BO113)</f>
        <v>-65171316</v>
      </c>
      <c r="BP114" s="213">
        <f t="shared" ref="BP114:BV114" si="269">IF(BP113="N/A","N/A",SUM(BP109:BP113))</f>
        <v>15596006</v>
      </c>
      <c r="BQ114" s="213">
        <f t="shared" si="269"/>
        <v>10911267</v>
      </c>
      <c r="BR114" s="213">
        <f t="shared" si="269"/>
        <v>-110842245</v>
      </c>
      <c r="BS114" s="213">
        <f t="shared" si="269"/>
        <v>13260594</v>
      </c>
      <c r="BT114" s="213">
        <f t="shared" si="269"/>
        <v>76516793</v>
      </c>
      <c r="BU114" s="213">
        <f t="shared" si="269"/>
        <v>105645153</v>
      </c>
      <c r="BV114" s="213">
        <f t="shared" si="269"/>
        <v>-23923340</v>
      </c>
      <c r="BW114" s="213">
        <f t="shared" ref="BW114:BX114" si="270">IF(BW113="N/A","N/A",SUM(BW109:BW113))</f>
        <v>6591696</v>
      </c>
      <c r="BX114" s="213">
        <f t="shared" si="270"/>
        <v>173707533</v>
      </c>
      <c r="BY114" s="213">
        <f t="shared" ref="BY114:BZ114" si="271">IF(BY113="N/A","N/A",SUM(BY109:BY113))</f>
        <v>-25796120</v>
      </c>
      <c r="BZ114" s="213">
        <f t="shared" si="271"/>
        <v>-290034132</v>
      </c>
      <c r="CA114" s="276">
        <f t="shared" ref="CA114:CB114" si="272">IF(CA113="N/A","N/A",SUM(CA109:CA113))</f>
        <v>258340706</v>
      </c>
      <c r="CB114" s="276">
        <f t="shared" si="272"/>
        <v>12228537</v>
      </c>
      <c r="CC114" s="276">
        <f t="shared" ref="CC114:CD114" si="273">IF(CC113="N/A","N/A",SUM(CC109:CC113))</f>
        <v>5704387</v>
      </c>
      <c r="CD114" s="276">
        <f t="shared" si="273"/>
        <v>78266417</v>
      </c>
      <c r="CE114" s="315">
        <f t="shared" ref="CE114" si="274">IF(CE113="N/A","N/A",SUM(CE109:CE113))</f>
        <v>-223691695</v>
      </c>
      <c r="CF114" s="315">
        <f t="shared" ref="CF114:CK114" si="275">IF(CF113="N/A","N/A",SUM(CF109:CF113))</f>
        <v>40653356.019999981</v>
      </c>
      <c r="CG114" s="315">
        <f t="shared" si="275"/>
        <v>-10873414</v>
      </c>
      <c r="CH114" s="315">
        <f t="shared" si="275"/>
        <v>62624586</v>
      </c>
      <c r="CI114" s="315">
        <f t="shared" si="275"/>
        <v>-16473331</v>
      </c>
      <c r="CJ114" s="315">
        <f t="shared" si="275"/>
        <v>-112167734</v>
      </c>
      <c r="CK114" s="315">
        <f t="shared" si="275"/>
        <v>-61818008</v>
      </c>
      <c r="CL114" s="315">
        <f t="shared" ref="CL114" si="276">IF(CL113="N/A","N/A",SUM(CL109:CL113))</f>
        <v>207528035</v>
      </c>
      <c r="CM114" s="315">
        <f t="shared" ref="CM114" si="277">IF(CM113="N/A","N/A",SUM(CM109:CM113))</f>
        <v>-43265721</v>
      </c>
      <c r="CN114" s="315">
        <f t="shared" ref="CN114" si="278">IF(CN113="N/A","N/A",SUM(CN109:CN113))</f>
        <v>-37034085</v>
      </c>
      <c r="CO114" s="315">
        <f t="shared" ref="CO114" si="279">IF(CO113="N/A","N/A",SUM(CO109:CO113))</f>
        <v>-12785322</v>
      </c>
      <c r="CP114" s="315">
        <f t="shared" ref="CP114" si="280">IF(CP113="N/A","N/A",SUM(CP109:CP113))</f>
        <v>-50894277</v>
      </c>
      <c r="CQ114" s="315">
        <f t="shared" ref="CQ114:CS114" si="281">IF(CQ113="N/A","N/A",SUM(CQ109:CQ113))</f>
        <v>20000540</v>
      </c>
      <c r="CR114" s="315">
        <f t="shared" ref="CR114" si="282">IF(CR113="N/A","N/A",SUM(CR109:CR113))</f>
        <v>-59086386.019999981</v>
      </c>
      <c r="CS114" s="315"/>
      <c r="CT114" s="349"/>
      <c r="CU114" s="254">
        <f t="shared" ref="CU114:CU121" si="283">SUM(CU109:CU113)</f>
        <v>1575959252</v>
      </c>
      <c r="CV114" s="62"/>
    </row>
    <row r="115" spans="1:10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50"/>
      <c r="CU115" s="255"/>
      <c r="CV115" s="62"/>
    </row>
    <row r="116" spans="1:100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84">D130-D123</f>
        <v>85666264.879999995</v>
      </c>
      <c r="E116" s="101">
        <f t="shared" si="284"/>
        <v>80834927.359999999</v>
      </c>
      <c r="F116" s="101">
        <f t="shared" si="284"/>
        <v>80186481.939999998</v>
      </c>
      <c r="G116" s="101">
        <f t="shared" si="284"/>
        <v>113031806.05999999</v>
      </c>
      <c r="H116" s="101">
        <f t="shared" si="284"/>
        <v>122312549.53</v>
      </c>
      <c r="I116" s="101">
        <f t="shared" si="284"/>
        <v>100560841.35999998</v>
      </c>
      <c r="J116" s="101">
        <f t="shared" si="284"/>
        <v>89716680.61999999</v>
      </c>
      <c r="K116" s="101">
        <f t="shared" si="284"/>
        <v>83786459.780000001</v>
      </c>
      <c r="L116" s="102">
        <f t="shared" si="284"/>
        <v>115559661.09</v>
      </c>
      <c r="M116" s="101">
        <f t="shared" si="284"/>
        <v>138406198.63999999</v>
      </c>
      <c r="N116" s="173">
        <f t="shared" si="284"/>
        <v>112939367.49000001</v>
      </c>
      <c r="O116" s="173">
        <f t="shared" si="284"/>
        <v>112780419.95999999</v>
      </c>
      <c r="P116" s="173">
        <f t="shared" si="284"/>
        <v>111986096.47</v>
      </c>
      <c r="Q116" s="173">
        <f t="shared" ref="Q116:R116" si="285">Q130-Q123</f>
        <v>102703682.09</v>
      </c>
      <c r="R116" s="101">
        <f t="shared" si="285"/>
        <v>105470534.50999999</v>
      </c>
      <c r="S116" s="101">
        <f t="shared" ref="S116:T116" si="286">S130-S123</f>
        <v>143383603.80000001</v>
      </c>
      <c r="T116" s="101">
        <f t="shared" si="286"/>
        <v>157368188.34</v>
      </c>
      <c r="U116" s="101">
        <f t="shared" ref="U116:V116" si="287">U130-U123</f>
        <v>122800277.83999999</v>
      </c>
      <c r="V116" s="101">
        <f t="shared" si="287"/>
        <v>95616461.340000004</v>
      </c>
      <c r="W116" s="101">
        <f t="shared" ref="W116:X116" si="288">W130-W123</f>
        <v>132988895.17999999</v>
      </c>
      <c r="X116" s="102">
        <f t="shared" si="288"/>
        <v>119058195.58</v>
      </c>
      <c r="Y116" s="101">
        <f t="shared" ref="Y116" si="289">Y130-Y123</f>
        <v>132537998</v>
      </c>
      <c r="Z116" s="200">
        <v>121013247.72</v>
      </c>
      <c r="AA116" s="101">
        <f t="shared" ref="AA116:AA120" si="29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7">
        <f t="shared" ref="BI116:BO120" si="291">O116-C116</f>
        <v>11125775.749999985</v>
      </c>
      <c r="BJ116" s="103">
        <f t="shared" si="291"/>
        <v>26319831.590000004</v>
      </c>
      <c r="BK116" s="103">
        <f t="shared" si="291"/>
        <v>21868754.730000004</v>
      </c>
      <c r="BL116" s="103">
        <f t="shared" si="291"/>
        <v>25284052.569999993</v>
      </c>
      <c r="BM116" s="103">
        <f t="shared" si="291"/>
        <v>30351797.740000024</v>
      </c>
      <c r="BN116" s="103">
        <f t="shared" si="291"/>
        <v>35055638.810000002</v>
      </c>
      <c r="BO116" s="103">
        <f t="shared" si="291"/>
        <v>22239436.480000004</v>
      </c>
      <c r="BP116" s="212">
        <f t="shared" ref="BP116:BY120" si="292">IF(ISERROR(V116-J116)=TRUE,"N/A",V116-J116)</f>
        <v>5899780.7200000137</v>
      </c>
      <c r="BQ116" s="212">
        <f t="shared" si="292"/>
        <v>49202435.399999991</v>
      </c>
      <c r="BR116" s="212">
        <f t="shared" si="292"/>
        <v>3498534.4899999946</v>
      </c>
      <c r="BS116" s="212">
        <f t="shared" si="292"/>
        <v>-5868200.6399999857</v>
      </c>
      <c r="BT116" s="212">
        <f t="shared" si="292"/>
        <v>8073880.2299999893</v>
      </c>
      <c r="BU116" s="212">
        <f t="shared" si="292"/>
        <v>18299988.89000003</v>
      </c>
      <c r="BV116" s="212">
        <f t="shared" si="292"/>
        <v>-3971229.7399999946</v>
      </c>
      <c r="BW116" s="212">
        <f t="shared" si="292"/>
        <v>-5840954.6899999976</v>
      </c>
      <c r="BX116" s="212">
        <f t="shared" si="292"/>
        <v>6632478.5100000203</v>
      </c>
      <c r="BY116" s="212">
        <f t="shared" si="292"/>
        <v>-10989239.800000012</v>
      </c>
      <c r="BZ116" s="212">
        <f t="shared" ref="BZ116:CI120" si="293">IF(ISERROR(AF116-T116)=TRUE,"N/A",AF116-T116)</f>
        <v>-22567303.689999998</v>
      </c>
      <c r="CA116" s="275">
        <f t="shared" si="293"/>
        <v>16439914.239999995</v>
      </c>
      <c r="CB116" s="275">
        <f t="shared" si="293"/>
        <v>3890065.9099999964</v>
      </c>
      <c r="CC116" s="275">
        <f t="shared" si="293"/>
        <v>-31649223.299999997</v>
      </c>
      <c r="CD116" s="275">
        <f t="shared" si="293"/>
        <v>12279902.269999996</v>
      </c>
      <c r="CE116" s="314">
        <f t="shared" si="293"/>
        <v>8929553.9799999893</v>
      </c>
      <c r="CF116" s="314">
        <f t="shared" si="293"/>
        <v>18236270.090000004</v>
      </c>
      <c r="CG116" s="314">
        <f t="shared" si="293"/>
        <v>2382899.3099999726</v>
      </c>
      <c r="CH116" s="314">
        <f t="shared" si="293"/>
        <v>26611070.640000001</v>
      </c>
      <c r="CI116" s="314">
        <f t="shared" si="293"/>
        <v>-4786858.9399999976</v>
      </c>
      <c r="CJ116" s="314">
        <f t="shared" ref="CJ116:CR120" si="294">IF(ISERROR(AP116-AD116)=TRUE,"N/A",AP116-AD116)</f>
        <v>-896017.79000002146</v>
      </c>
      <c r="CK116" s="314">
        <f t="shared" si="294"/>
        <v>-556177.3900000006</v>
      </c>
      <c r="CL116" s="314">
        <f t="shared" si="294"/>
        <v>35135305.650000006</v>
      </c>
      <c r="CM116" s="314">
        <f t="shared" si="294"/>
        <v>-1961979.1699999869</v>
      </c>
      <c r="CN116" s="314">
        <f t="shared" si="294"/>
        <v>-9328878.349999994</v>
      </c>
      <c r="CO116" s="314">
        <f t="shared" si="294"/>
        <v>-123454452</v>
      </c>
      <c r="CP116" s="314">
        <f t="shared" si="294"/>
        <v>-125411908.36999999</v>
      </c>
      <c r="CQ116" s="314">
        <f t="shared" si="294"/>
        <v>-155182148.47999999</v>
      </c>
      <c r="CR116" s="314">
        <f t="shared" si="294"/>
        <v>-155332206.94</v>
      </c>
      <c r="CS116" s="314"/>
      <c r="CT116" s="350"/>
      <c r="CU116" s="67">
        <f>'MONTHLY SUMMARIES'!D80</f>
        <v>168372455.94999999</v>
      </c>
      <c r="CV116" s="62"/>
    </row>
    <row r="117" spans="1:100" s="40" customFormat="1" x14ac:dyDescent="0.3">
      <c r="A117" s="150"/>
      <c r="B117" s="41" t="s">
        <v>38</v>
      </c>
      <c r="C117" s="100">
        <f t="shared" ref="C117:O117" si="295">C133-C124</f>
        <v>7600786.0699999994</v>
      </c>
      <c r="D117" s="101">
        <f t="shared" si="295"/>
        <v>6630521.9400000004</v>
      </c>
      <c r="E117" s="101">
        <f t="shared" si="295"/>
        <v>5944918.3399999999</v>
      </c>
      <c r="F117" s="101">
        <f t="shared" si="295"/>
        <v>6045476.5200000005</v>
      </c>
      <c r="G117" s="101">
        <f t="shared" si="295"/>
        <v>7285412.959999999</v>
      </c>
      <c r="H117" s="101">
        <f t="shared" si="295"/>
        <v>7924361.2400000002</v>
      </c>
      <c r="I117" s="101">
        <f t="shared" si="295"/>
        <v>7030738.1600000001</v>
      </c>
      <c r="J117" s="101">
        <f t="shared" si="295"/>
        <v>6870580.6099999994</v>
      </c>
      <c r="K117" s="101">
        <f t="shared" si="295"/>
        <v>6435459.6399999997</v>
      </c>
      <c r="L117" s="102">
        <f t="shared" si="295"/>
        <v>8618831.3900000006</v>
      </c>
      <c r="M117" s="101">
        <f t="shared" si="295"/>
        <v>10229161.920000002</v>
      </c>
      <c r="N117" s="173">
        <f t="shared" si="295"/>
        <v>8152028.6599999992</v>
      </c>
      <c r="O117" s="173">
        <f t="shared" si="295"/>
        <v>7474263.4500000002</v>
      </c>
      <c r="P117" s="173">
        <f t="shared" ref="P117:Q117" si="296">P133-P124</f>
        <v>7844410.2499999991</v>
      </c>
      <c r="Q117" s="173">
        <f t="shared" si="296"/>
        <v>7174798.3799999999</v>
      </c>
      <c r="R117" s="101">
        <f>R133-R124</f>
        <v>7081914.6000000006</v>
      </c>
      <c r="S117" s="101">
        <f t="shared" ref="S117:T117" si="297">S133-S124</f>
        <v>9374468.5899999999</v>
      </c>
      <c r="T117" s="101">
        <f t="shared" si="297"/>
        <v>9199422.4399999976</v>
      </c>
      <c r="U117" s="101">
        <f t="shared" ref="U117:V117" si="298">U133-U124</f>
        <v>7353443.8100000015</v>
      </c>
      <c r="V117" s="101">
        <f t="shared" si="298"/>
        <v>5760628.8100000005</v>
      </c>
      <c r="W117" s="101">
        <f t="shared" ref="W117:X117" si="299">W133-W124</f>
        <v>8763245.5899999999</v>
      </c>
      <c r="X117" s="102">
        <f t="shared" si="299"/>
        <v>8069956.4500000002</v>
      </c>
      <c r="Y117" s="101">
        <f t="shared" ref="Y117" si="300">Y133-Y124</f>
        <v>9160246.75</v>
      </c>
      <c r="Z117" s="200">
        <v>9168350.3599999994</v>
      </c>
      <c r="AA117" s="101">
        <f t="shared" si="29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7">
        <f t="shared" si="291"/>
        <v>-126522.61999999918</v>
      </c>
      <c r="BJ117" s="103">
        <f t="shared" si="291"/>
        <v>1213888.3099999987</v>
      </c>
      <c r="BK117" s="103">
        <f t="shared" si="291"/>
        <v>1229880.04</v>
      </c>
      <c r="BL117" s="103">
        <f t="shared" si="291"/>
        <v>1036438.0800000001</v>
      </c>
      <c r="BM117" s="103">
        <f t="shared" si="291"/>
        <v>2089055.6300000008</v>
      </c>
      <c r="BN117" s="103">
        <f t="shared" si="291"/>
        <v>1275061.1999999974</v>
      </c>
      <c r="BO117" s="103">
        <f t="shared" si="291"/>
        <v>322705.6500000013</v>
      </c>
      <c r="BP117" s="212">
        <f t="shared" si="292"/>
        <v>-1109951.7999999989</v>
      </c>
      <c r="BQ117" s="212">
        <f t="shared" si="292"/>
        <v>2327785.9500000002</v>
      </c>
      <c r="BR117" s="212">
        <f t="shared" si="292"/>
        <v>-548874.94000000041</v>
      </c>
      <c r="BS117" s="212">
        <f t="shared" si="292"/>
        <v>-1068915.1700000018</v>
      </c>
      <c r="BT117" s="212">
        <f t="shared" si="292"/>
        <v>1016321.7000000002</v>
      </c>
      <c r="BU117" s="212">
        <f t="shared" si="292"/>
        <v>55485388.329999998</v>
      </c>
      <c r="BV117" s="212">
        <f t="shared" si="292"/>
        <v>765486.62000000011</v>
      </c>
      <c r="BW117" s="212">
        <f t="shared" si="292"/>
        <v>1201260.8600000003</v>
      </c>
      <c r="BX117" s="212">
        <f t="shared" si="292"/>
        <v>1733696.9500000002</v>
      </c>
      <c r="BY117" s="212">
        <f t="shared" si="292"/>
        <v>21467.160000000149</v>
      </c>
      <c r="BZ117" s="212">
        <f t="shared" si="293"/>
        <v>-531418.00999999791</v>
      </c>
      <c r="CA117" s="275">
        <f t="shared" si="293"/>
        <v>1141598.6299999999</v>
      </c>
      <c r="CB117" s="275">
        <f t="shared" si="293"/>
        <v>726981.19999999925</v>
      </c>
      <c r="CC117" s="275">
        <f t="shared" si="293"/>
        <v>-3675227.21</v>
      </c>
      <c r="CD117" s="275">
        <f t="shared" si="293"/>
        <v>-307285.37999999989</v>
      </c>
      <c r="CE117" s="314">
        <f t="shared" si="293"/>
        <v>-2937977.5999999996</v>
      </c>
      <c r="CF117" s="314">
        <f t="shared" si="293"/>
        <v>-1903992.6999999993</v>
      </c>
      <c r="CG117" s="314">
        <f t="shared" si="293"/>
        <v>-55092130.57</v>
      </c>
      <c r="CH117" s="314">
        <f t="shared" si="293"/>
        <v>3273042.5600000005</v>
      </c>
      <c r="CI117" s="314">
        <f t="shared" si="293"/>
        <v>-1909167.5700000003</v>
      </c>
      <c r="CJ117" s="314">
        <f t="shared" si="294"/>
        <v>-1979007.9400000004</v>
      </c>
      <c r="CK117" s="314">
        <f t="shared" si="294"/>
        <v>-1379139.8899999997</v>
      </c>
      <c r="CL117" s="314">
        <f t="shared" si="294"/>
        <v>1444416.6400000006</v>
      </c>
      <c r="CM117" s="314">
        <f t="shared" si="294"/>
        <v>-154249.29000000097</v>
      </c>
      <c r="CN117" s="314">
        <f t="shared" si="294"/>
        <v>-588726.19999999925</v>
      </c>
      <c r="CO117" s="314">
        <f t="shared" si="294"/>
        <v>-9748225.629999999</v>
      </c>
      <c r="CP117" s="314">
        <f t="shared" si="294"/>
        <v>-10760648.75</v>
      </c>
      <c r="CQ117" s="314">
        <f t="shared" si="294"/>
        <v>-10412904.609999999</v>
      </c>
      <c r="CR117" s="314">
        <f t="shared" si="294"/>
        <v>-12220847.219999999</v>
      </c>
      <c r="CS117" s="314"/>
      <c r="CT117" s="350"/>
      <c r="CU117" s="67">
        <f>'MONTHLY SUMMARIES'!D81</f>
        <v>15847612.630000001</v>
      </c>
      <c r="CV117" s="62"/>
    </row>
    <row r="118" spans="1:100" s="40" customFormat="1" x14ac:dyDescent="0.3">
      <c r="A118" s="150"/>
      <c r="B118" s="41" t="s">
        <v>39</v>
      </c>
      <c r="C118" s="100">
        <f t="shared" ref="C118:P118" si="301">C136-C125</f>
        <v>30604744.07</v>
      </c>
      <c r="D118" s="101">
        <f t="shared" si="301"/>
        <v>26412619.059999999</v>
      </c>
      <c r="E118" s="101">
        <f t="shared" si="301"/>
        <v>26915432.43</v>
      </c>
      <c r="F118" s="101">
        <f t="shared" si="301"/>
        <v>22012185.489999998</v>
      </c>
      <c r="G118" s="101">
        <f t="shared" si="301"/>
        <v>26547786.100000001</v>
      </c>
      <c r="H118" s="101">
        <f t="shared" si="301"/>
        <v>27460755.68</v>
      </c>
      <c r="I118" s="101">
        <f t="shared" si="301"/>
        <v>24697892.519999996</v>
      </c>
      <c r="J118" s="101">
        <f t="shared" si="301"/>
        <v>23716141.399999999</v>
      </c>
      <c r="K118" s="101">
        <f t="shared" si="301"/>
        <v>20841733.289999999</v>
      </c>
      <c r="L118" s="102">
        <f t="shared" si="301"/>
        <v>26858746.829999998</v>
      </c>
      <c r="M118" s="101">
        <f t="shared" si="301"/>
        <v>32409109.249999996</v>
      </c>
      <c r="N118" s="173">
        <f t="shared" si="301"/>
        <v>28059163.310000002</v>
      </c>
      <c r="O118" s="173">
        <f t="shared" si="301"/>
        <v>28555041.350000001</v>
      </c>
      <c r="P118" s="173">
        <f t="shared" si="301"/>
        <v>25784750.100000001</v>
      </c>
      <c r="Q118" s="173">
        <f t="shared" ref="Q118" si="302">Q136-Q125</f>
        <v>23569428.370000001</v>
      </c>
      <c r="R118" s="101">
        <f>R136-R125</f>
        <v>23438234.939999998</v>
      </c>
      <c r="S118" s="101">
        <f t="shared" ref="S118:T118" si="303">S136-S125</f>
        <v>28243001.299999997</v>
      </c>
      <c r="T118" s="101">
        <f t="shared" si="303"/>
        <v>29944269.630000003</v>
      </c>
      <c r="U118" s="101">
        <f t="shared" ref="U118:V118" si="304">U136-U125</f>
        <v>27289936.68</v>
      </c>
      <c r="V118" s="101">
        <f t="shared" si="304"/>
        <v>25877871.579999998</v>
      </c>
      <c r="W118" s="101">
        <f t="shared" ref="W118:X118" si="305">W136-W125</f>
        <v>28812784.739999998</v>
      </c>
      <c r="X118" s="102">
        <f t="shared" si="305"/>
        <v>27771739.109999999</v>
      </c>
      <c r="Y118" s="101">
        <f t="shared" ref="Y118" si="306">Y136-Y125</f>
        <v>29094514.670000002</v>
      </c>
      <c r="Z118" s="200">
        <v>29180150.609999999</v>
      </c>
      <c r="AA118" s="101">
        <f t="shared" si="29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7">
        <f t="shared" si="291"/>
        <v>-2049702.7199999988</v>
      </c>
      <c r="BJ118" s="103">
        <f t="shared" si="291"/>
        <v>-627868.95999999717</v>
      </c>
      <c r="BK118" s="103">
        <f t="shared" si="291"/>
        <v>-3346004.0599999987</v>
      </c>
      <c r="BL118" s="103">
        <f t="shared" si="291"/>
        <v>1426049.4499999993</v>
      </c>
      <c r="BM118" s="103">
        <f t="shared" si="291"/>
        <v>1695215.1999999955</v>
      </c>
      <c r="BN118" s="103">
        <f t="shared" si="291"/>
        <v>2483513.950000003</v>
      </c>
      <c r="BO118" s="103">
        <f t="shared" si="291"/>
        <v>2592044.1600000039</v>
      </c>
      <c r="BP118" s="212">
        <f t="shared" si="292"/>
        <v>2161730.1799999997</v>
      </c>
      <c r="BQ118" s="212">
        <f t="shared" si="292"/>
        <v>7971051.4499999993</v>
      </c>
      <c r="BR118" s="212">
        <f t="shared" si="292"/>
        <v>912992.28000000119</v>
      </c>
      <c r="BS118" s="212">
        <f t="shared" si="292"/>
        <v>-3314594.5799999945</v>
      </c>
      <c r="BT118" s="212">
        <f t="shared" si="292"/>
        <v>1120987.299999997</v>
      </c>
      <c r="BU118" s="212">
        <f t="shared" si="292"/>
        <v>61608010.550000004</v>
      </c>
      <c r="BV118" s="212">
        <f t="shared" si="292"/>
        <v>4910183.0199999996</v>
      </c>
      <c r="BW118" s="212">
        <f t="shared" si="292"/>
        <v>2687874.129999999</v>
      </c>
      <c r="BX118" s="212">
        <f t="shared" si="292"/>
        <v>6979716.9800000042</v>
      </c>
      <c r="BY118" s="212">
        <f t="shared" si="292"/>
        <v>12322500.130000003</v>
      </c>
      <c r="BZ118" s="212">
        <f t="shared" si="293"/>
        <v>1619566.6999999955</v>
      </c>
      <c r="CA118" s="275">
        <f t="shared" si="293"/>
        <v>5146377.6099999994</v>
      </c>
      <c r="CB118" s="275">
        <f t="shared" si="293"/>
        <v>724461.34000000358</v>
      </c>
      <c r="CC118" s="275">
        <f t="shared" si="293"/>
        <v>-2405499.0399999954</v>
      </c>
      <c r="CD118" s="275">
        <f t="shared" si="293"/>
        <v>9002828.9399999976</v>
      </c>
      <c r="CE118" s="314">
        <f t="shared" si="293"/>
        <v>6013418.2899999991</v>
      </c>
      <c r="CF118" s="314">
        <f t="shared" si="293"/>
        <v>8833719.9299999997</v>
      </c>
      <c r="CG118" s="314">
        <f t="shared" si="293"/>
        <v>-52705598.070000008</v>
      </c>
      <c r="CH118" s="314">
        <f t="shared" si="293"/>
        <v>8762944.620000001</v>
      </c>
      <c r="CI118" s="314">
        <f t="shared" si="293"/>
        <v>-177938.82999999821</v>
      </c>
      <c r="CJ118" s="314">
        <f t="shared" si="294"/>
        <v>-1488089.75</v>
      </c>
      <c r="CK118" s="314">
        <f t="shared" si="294"/>
        <v>-9165420.8999999985</v>
      </c>
      <c r="CL118" s="314">
        <f t="shared" si="294"/>
        <v>7763165.2900000066</v>
      </c>
      <c r="CM118" s="314">
        <f t="shared" si="294"/>
        <v>4669766.7100000009</v>
      </c>
      <c r="CN118" s="314">
        <f t="shared" si="294"/>
        <v>-154810.28000000119</v>
      </c>
      <c r="CO118" s="314">
        <f t="shared" si="294"/>
        <v>-32485472.340000004</v>
      </c>
      <c r="CP118" s="314">
        <f t="shared" si="294"/>
        <v>-34724163.149999999</v>
      </c>
      <c r="CQ118" s="314">
        <f t="shared" si="294"/>
        <v>-35208401.740000002</v>
      </c>
      <c r="CR118" s="314">
        <f t="shared" si="294"/>
        <v>-40456352.32</v>
      </c>
      <c r="CS118" s="314"/>
      <c r="CT118" s="350"/>
      <c r="CU118" s="67">
        <f>'MONTHLY SUMMARIES'!D82</f>
        <v>56444402.850000001</v>
      </c>
      <c r="CV118" s="62"/>
    </row>
    <row r="119" spans="1:100" s="40" customFormat="1" x14ac:dyDescent="0.3">
      <c r="A119" s="150"/>
      <c r="B119" s="41" t="s">
        <v>40</v>
      </c>
      <c r="C119" s="100">
        <f t="shared" ref="C119:P119" si="307">C137-C126</f>
        <v>25899689.530000001</v>
      </c>
      <c r="D119" s="101">
        <f t="shared" si="307"/>
        <v>22557977.519999996</v>
      </c>
      <c r="E119" s="101">
        <f t="shared" si="307"/>
        <v>20691613.41</v>
      </c>
      <c r="F119" s="101">
        <f t="shared" si="307"/>
        <v>19815708.329999998</v>
      </c>
      <c r="G119" s="101">
        <f t="shared" si="307"/>
        <v>22499867.420000002</v>
      </c>
      <c r="H119" s="101">
        <f t="shared" si="307"/>
        <v>22065882.43</v>
      </c>
      <c r="I119" s="101">
        <f t="shared" si="307"/>
        <v>22509027.329999998</v>
      </c>
      <c r="J119" s="101">
        <f t="shared" si="307"/>
        <v>20896548.969999999</v>
      </c>
      <c r="K119" s="101">
        <f t="shared" si="307"/>
        <v>16978452.75</v>
      </c>
      <c r="L119" s="102">
        <f t="shared" si="307"/>
        <v>21546458.369999997</v>
      </c>
      <c r="M119" s="101">
        <f t="shared" si="307"/>
        <v>27315881.259999998</v>
      </c>
      <c r="N119" s="173">
        <f t="shared" si="307"/>
        <v>24146056.149999999</v>
      </c>
      <c r="O119" s="173">
        <f t="shared" si="307"/>
        <v>25558591.320000004</v>
      </c>
      <c r="P119" s="173">
        <f t="shared" si="307"/>
        <v>21112195.220000003</v>
      </c>
      <c r="Q119" s="173">
        <f t="shared" ref="Q119" si="308">Q137-Q126</f>
        <v>20820638.039999999</v>
      </c>
      <c r="R119" s="101">
        <f>R137-R126</f>
        <v>19621130.369999997</v>
      </c>
      <c r="S119" s="101">
        <f t="shared" ref="S119:T119" si="309">S137-S126</f>
        <v>32085874.5</v>
      </c>
      <c r="T119" s="101">
        <f t="shared" si="309"/>
        <v>40279313.480000004</v>
      </c>
      <c r="U119" s="101">
        <f t="shared" ref="U119:V119" si="310">U137-U126</f>
        <v>30150561.129999999</v>
      </c>
      <c r="V119" s="101">
        <f t="shared" si="310"/>
        <v>26203952.759999998</v>
      </c>
      <c r="W119" s="101">
        <f t="shared" ref="W119:X119" si="311">W137-W126</f>
        <v>33171239.82</v>
      </c>
      <c r="X119" s="102">
        <f t="shared" si="311"/>
        <v>24225303.009999998</v>
      </c>
      <c r="Y119" s="101">
        <f t="shared" ref="Y119" si="312">Y137-Y126</f>
        <v>25227753.350000001</v>
      </c>
      <c r="Z119" s="200">
        <v>27357719.879999999</v>
      </c>
      <c r="AA119" s="101">
        <f t="shared" si="29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7">
        <f t="shared" si="291"/>
        <v>-341098.20999999717</v>
      </c>
      <c r="BJ119" s="103">
        <f t="shared" si="291"/>
        <v>-1445782.2999999933</v>
      </c>
      <c r="BK119" s="103">
        <f t="shared" si="291"/>
        <v>129024.62999999896</v>
      </c>
      <c r="BL119" s="103">
        <f t="shared" si="291"/>
        <v>-194577.96000000089</v>
      </c>
      <c r="BM119" s="103">
        <f t="shared" si="291"/>
        <v>9586007.0799999982</v>
      </c>
      <c r="BN119" s="103">
        <f t="shared" si="291"/>
        <v>18213431.050000004</v>
      </c>
      <c r="BO119" s="103">
        <f t="shared" si="291"/>
        <v>7641533.8000000007</v>
      </c>
      <c r="BP119" s="212">
        <f t="shared" si="292"/>
        <v>5307403.7899999991</v>
      </c>
      <c r="BQ119" s="212">
        <f t="shared" si="292"/>
        <v>16192787.07</v>
      </c>
      <c r="BR119" s="212">
        <f t="shared" si="292"/>
        <v>2678844.6400000006</v>
      </c>
      <c r="BS119" s="212">
        <f t="shared" si="292"/>
        <v>-2088127.9099999964</v>
      </c>
      <c r="BT119" s="212">
        <f t="shared" si="292"/>
        <v>3211663.7300000004</v>
      </c>
      <c r="BU119" s="212">
        <f t="shared" si="292"/>
        <v>-22679399.730000004</v>
      </c>
      <c r="BV119" s="212">
        <f t="shared" si="292"/>
        <v>9329996.5700000003</v>
      </c>
      <c r="BW119" s="212">
        <f t="shared" si="292"/>
        <v>2879519.8600000069</v>
      </c>
      <c r="BX119" s="212">
        <f t="shared" si="292"/>
        <v>9653553.6300000027</v>
      </c>
      <c r="BY119" s="212">
        <f t="shared" si="292"/>
        <v>-4652916.68</v>
      </c>
      <c r="BZ119" s="212">
        <f t="shared" si="293"/>
        <v>-12808389.010000005</v>
      </c>
      <c r="CA119" s="275">
        <f t="shared" si="293"/>
        <v>-3020978.5299999975</v>
      </c>
      <c r="CB119" s="275">
        <f t="shared" si="293"/>
        <v>-388036.84999999776</v>
      </c>
      <c r="CC119" s="275">
        <f t="shared" si="293"/>
        <v>-6670081.6799999997</v>
      </c>
      <c r="CD119" s="275">
        <f t="shared" si="293"/>
        <v>1535362.3000000007</v>
      </c>
      <c r="CE119" s="314">
        <f t="shared" si="293"/>
        <v>4877048.0099999979</v>
      </c>
      <c r="CF119" s="314">
        <f t="shared" si="293"/>
        <v>5936784.4100000001</v>
      </c>
      <c r="CG119" s="314">
        <f t="shared" si="293"/>
        <v>31667974.709999997</v>
      </c>
      <c r="CH119" s="314">
        <f t="shared" si="293"/>
        <v>10330432.699999999</v>
      </c>
      <c r="CI119" s="314">
        <f t="shared" si="293"/>
        <v>856755.77999999374</v>
      </c>
      <c r="CJ119" s="314">
        <f t="shared" si="294"/>
        <v>-1334771.9100000001</v>
      </c>
      <c r="CK119" s="314">
        <f t="shared" si="294"/>
        <v>-386455.23000000045</v>
      </c>
      <c r="CL119" s="314">
        <f t="shared" si="294"/>
        <v>7818623.3100000024</v>
      </c>
      <c r="CM119" s="314">
        <f t="shared" si="294"/>
        <v>11247045.689999998</v>
      </c>
      <c r="CN119" s="314">
        <f t="shared" si="294"/>
        <v>4766988.66</v>
      </c>
      <c r="CO119" s="314">
        <f t="shared" si="294"/>
        <v>-34654076.950000003</v>
      </c>
      <c r="CP119" s="314">
        <f t="shared" si="294"/>
        <v>-30366083.399999999</v>
      </c>
      <c r="CQ119" s="314">
        <f t="shared" si="294"/>
        <v>-35927702.479999997</v>
      </c>
      <c r="CR119" s="314">
        <f t="shared" si="294"/>
        <v>-39705048.82</v>
      </c>
      <c r="CS119" s="314"/>
      <c r="CT119" s="350"/>
      <c r="CU119" s="67">
        <f>'MONTHLY SUMMARIES'!D83</f>
        <v>39441976.829999998</v>
      </c>
      <c r="CV119" s="62"/>
    </row>
    <row r="120" spans="1:100" s="40" customFormat="1" x14ac:dyDescent="0.3">
      <c r="A120" s="150"/>
      <c r="B120" s="41" t="s">
        <v>41</v>
      </c>
      <c r="C120" s="100">
        <f t="shared" ref="C120:P120" si="313">C138-C127</f>
        <v>36871172.5</v>
      </c>
      <c r="D120" s="101">
        <f t="shared" si="313"/>
        <v>34735103.399999999</v>
      </c>
      <c r="E120" s="101">
        <f t="shared" si="313"/>
        <v>31492374.209999997</v>
      </c>
      <c r="F120" s="101">
        <f t="shared" si="313"/>
        <v>32263519.409999996</v>
      </c>
      <c r="G120" s="101">
        <f t="shared" si="313"/>
        <v>35586711.120000005</v>
      </c>
      <c r="H120" s="101">
        <f t="shared" si="313"/>
        <v>34756620.660000004</v>
      </c>
      <c r="I120" s="101">
        <f t="shared" si="313"/>
        <v>35427646.019999996</v>
      </c>
      <c r="J120" s="101">
        <f t="shared" si="313"/>
        <v>36701237.079999998</v>
      </c>
      <c r="K120" s="101">
        <f t="shared" si="313"/>
        <v>29440540.180000003</v>
      </c>
      <c r="L120" s="102">
        <f t="shared" si="313"/>
        <v>35365983.640000001</v>
      </c>
      <c r="M120" s="101">
        <f t="shared" si="313"/>
        <v>40593965.399999999</v>
      </c>
      <c r="N120" s="173">
        <f t="shared" si="313"/>
        <v>34724420.060000002</v>
      </c>
      <c r="O120" s="173">
        <f t="shared" si="313"/>
        <v>36140945.099999994</v>
      </c>
      <c r="P120" s="173">
        <f t="shared" si="313"/>
        <v>33689435.200000003</v>
      </c>
      <c r="Q120" s="173">
        <f t="shared" ref="Q120" si="314">Q138-Q127</f>
        <v>32065586.720000006</v>
      </c>
      <c r="R120" s="101">
        <f>R138-R127</f>
        <v>32923820.039999995</v>
      </c>
      <c r="S120" s="101">
        <f t="shared" ref="S120:T120" si="315">S138-S127</f>
        <v>35109191.740000002</v>
      </c>
      <c r="T120" s="101">
        <f t="shared" si="315"/>
        <v>38793096.980000004</v>
      </c>
      <c r="U120" s="101">
        <f t="shared" ref="U120:V120" si="316">U138-U127</f>
        <v>37946727.060000002</v>
      </c>
      <c r="V120" s="101">
        <f t="shared" si="316"/>
        <v>46364937.909999996</v>
      </c>
      <c r="W120" s="101">
        <f t="shared" ref="W120:X120" si="317">W138-W127</f>
        <v>41422886.230000004</v>
      </c>
      <c r="X120" s="102">
        <f t="shared" si="317"/>
        <v>33921519.560000002</v>
      </c>
      <c r="Y120" s="101">
        <f t="shared" ref="Y120" si="318">Y138-Y127</f>
        <v>39448677.369999997</v>
      </c>
      <c r="Z120" s="200">
        <v>39469016.18</v>
      </c>
      <c r="AA120" s="101">
        <f t="shared" si="29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7">
        <f t="shared" si="291"/>
        <v>-730227.40000000596</v>
      </c>
      <c r="BJ120" s="103">
        <f t="shared" si="291"/>
        <v>-1045668.1999999955</v>
      </c>
      <c r="BK120" s="103">
        <f t="shared" si="291"/>
        <v>573212.51000000909</v>
      </c>
      <c r="BL120" s="103">
        <f t="shared" si="291"/>
        <v>660300.62999999896</v>
      </c>
      <c r="BM120" s="103">
        <f t="shared" si="291"/>
        <v>-477519.38000000268</v>
      </c>
      <c r="BN120" s="103">
        <f t="shared" si="291"/>
        <v>4036476.3200000003</v>
      </c>
      <c r="BO120" s="103">
        <f t="shared" si="291"/>
        <v>2519081.0400000066</v>
      </c>
      <c r="BP120" s="212">
        <f t="shared" si="292"/>
        <v>9663700.8299999982</v>
      </c>
      <c r="BQ120" s="212">
        <f t="shared" si="292"/>
        <v>11982346.050000001</v>
      </c>
      <c r="BR120" s="212">
        <f t="shared" si="292"/>
        <v>-1444464.0799999982</v>
      </c>
      <c r="BS120" s="212">
        <f t="shared" si="292"/>
        <v>-1145288.0300000012</v>
      </c>
      <c r="BT120" s="212">
        <f t="shared" si="292"/>
        <v>4744596.1199999973</v>
      </c>
      <c r="BU120" s="212">
        <f t="shared" si="292"/>
        <v>-53752273.999999993</v>
      </c>
      <c r="BV120" s="212">
        <f t="shared" si="292"/>
        <v>4267002.0899999961</v>
      </c>
      <c r="BW120" s="212">
        <f t="shared" si="292"/>
        <v>2901055.2499999925</v>
      </c>
      <c r="BX120" s="212">
        <f t="shared" si="292"/>
        <v>5302053.1699999981</v>
      </c>
      <c r="BY120" s="212">
        <f t="shared" si="292"/>
        <v>4415828.8800000027</v>
      </c>
      <c r="BZ120" s="212">
        <f t="shared" si="293"/>
        <v>826620.75</v>
      </c>
      <c r="CA120" s="275">
        <f t="shared" si="293"/>
        <v>5025166.5</v>
      </c>
      <c r="CB120" s="275">
        <f t="shared" si="293"/>
        <v>-3764286.9799999967</v>
      </c>
      <c r="CC120" s="275">
        <f t="shared" si="293"/>
        <v>-3086273.8000000045</v>
      </c>
      <c r="CD120" s="275">
        <f t="shared" si="293"/>
        <v>6781307.8200000003</v>
      </c>
      <c r="CE120" s="314">
        <f t="shared" si="293"/>
        <v>4900611.7700000033</v>
      </c>
      <c r="CF120" s="314">
        <f t="shared" si="293"/>
        <v>5830296.8099999949</v>
      </c>
      <c r="CG120" s="314">
        <f t="shared" si="293"/>
        <v>64344440.82</v>
      </c>
      <c r="CH120" s="314">
        <f t="shared" si="293"/>
        <v>21187970.280000001</v>
      </c>
      <c r="CI120" s="314">
        <f t="shared" si="293"/>
        <v>-4097706.1199999973</v>
      </c>
      <c r="CJ120" s="314">
        <f t="shared" si="294"/>
        <v>618670.15000000596</v>
      </c>
      <c r="CK120" s="314">
        <f t="shared" si="294"/>
        <v>-1782165.5500000045</v>
      </c>
      <c r="CL120" s="314">
        <f t="shared" si="294"/>
        <v>10777225.899999991</v>
      </c>
      <c r="CM120" s="314">
        <f t="shared" si="294"/>
        <v>9471318.7599999979</v>
      </c>
      <c r="CN120" s="314">
        <f t="shared" si="294"/>
        <v>-5316883.8399999961</v>
      </c>
      <c r="CO120" s="314">
        <f t="shared" si="294"/>
        <v>-55885307.260000005</v>
      </c>
      <c r="CP120" s="314">
        <f t="shared" si="294"/>
        <v>-53757628.540000007</v>
      </c>
      <c r="CQ120" s="314">
        <f t="shared" si="294"/>
        <v>-56514861.409999996</v>
      </c>
      <c r="CR120" s="314">
        <f t="shared" si="294"/>
        <v>-63007232.439999998</v>
      </c>
      <c r="CS120" s="314"/>
      <c r="CT120" s="350"/>
      <c r="CU120" s="67">
        <f>'MONTHLY SUMMARIES'!D84</f>
        <v>47379974.219999999</v>
      </c>
      <c r="CV120" s="62"/>
    </row>
    <row r="121" spans="1:100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19">SUM(D116:D120)</f>
        <v>176002486.79999998</v>
      </c>
      <c r="E121" s="136">
        <f t="shared" si="319"/>
        <v>165879265.75</v>
      </c>
      <c r="F121" s="136">
        <f t="shared" si="319"/>
        <v>160323371.69</v>
      </c>
      <c r="G121" s="136">
        <f t="shared" si="319"/>
        <v>204951583.65999997</v>
      </c>
      <c r="H121" s="136">
        <f t="shared" si="319"/>
        <v>214520169.53999999</v>
      </c>
      <c r="I121" s="136">
        <f t="shared" si="319"/>
        <v>190226145.38999999</v>
      </c>
      <c r="J121" s="136">
        <f t="shared" si="319"/>
        <v>177901188.68000001</v>
      </c>
      <c r="K121" s="136">
        <f t="shared" si="319"/>
        <v>157482645.64000002</v>
      </c>
      <c r="L121" s="138">
        <f t="shared" si="319"/>
        <v>207949681.31999999</v>
      </c>
      <c r="M121" s="136">
        <f t="shared" si="319"/>
        <v>248954316.47</v>
      </c>
      <c r="N121" s="174">
        <f t="shared" si="319"/>
        <v>208021035.67000002</v>
      </c>
      <c r="O121" s="174">
        <f t="shared" si="319"/>
        <v>210509261.17999998</v>
      </c>
      <c r="P121" s="174">
        <f t="shared" si="319"/>
        <v>200416887.24000001</v>
      </c>
      <c r="Q121" s="174">
        <f t="shared" ref="Q121:R121" si="320">SUM(Q116:Q120)</f>
        <v>186334133.59999999</v>
      </c>
      <c r="R121" s="136">
        <f t="shared" si="320"/>
        <v>188535634.45999998</v>
      </c>
      <c r="S121" s="136">
        <f t="shared" ref="S121:T121" si="321">SUM(S116:S120)</f>
        <v>248196139.93000001</v>
      </c>
      <c r="T121" s="136">
        <f t="shared" si="321"/>
        <v>275584290.87</v>
      </c>
      <c r="U121" s="136">
        <f t="shared" ref="U121:V121" si="322">SUM(U116:U120)</f>
        <v>225540946.51999998</v>
      </c>
      <c r="V121" s="136">
        <f t="shared" si="322"/>
        <v>199823852.40000001</v>
      </c>
      <c r="W121" s="136">
        <f t="shared" ref="W121:X121" si="323">SUM(W116:W120)</f>
        <v>245159051.56</v>
      </c>
      <c r="X121" s="138">
        <f t="shared" si="323"/>
        <v>213046713.70999998</v>
      </c>
      <c r="Y121" s="136">
        <f t="shared" ref="Y121" si="324">SUM(Y116:Y120)</f>
        <v>235469190.14000002</v>
      </c>
      <c r="Z121" s="242">
        <v>226188484.75</v>
      </c>
      <c r="AA121" s="136">
        <f t="shared" ref="AA121" si="32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65"/>
        <v>7878224.799999984</v>
      </c>
      <c r="BJ121" s="139">
        <f t="shared" ref="BJ121:BL121" si="326">SUM(BJ116:BJ120)</f>
        <v>24414400.440000016</v>
      </c>
      <c r="BK121" s="139">
        <f t="shared" si="326"/>
        <v>20454867.850000013</v>
      </c>
      <c r="BL121" s="139">
        <f t="shared" si="326"/>
        <v>28212262.769999988</v>
      </c>
      <c r="BM121" s="139">
        <f t="shared" ref="BM121:BN121" si="327">SUM(BM116:BM120)</f>
        <v>43244556.270000018</v>
      </c>
      <c r="BN121" s="139">
        <f t="shared" si="327"/>
        <v>61064121.330000006</v>
      </c>
      <c r="BO121" s="139">
        <f t="shared" ref="BO121" si="328">SUM(BO116:BO120)</f>
        <v>35314801.130000018</v>
      </c>
      <c r="BP121" s="213">
        <f t="shared" ref="BP121:BV121" si="329">IF(BP120="N/A","N/A",SUM(BP116:BP120))</f>
        <v>21922663.720000014</v>
      </c>
      <c r="BQ121" s="213">
        <f t="shared" si="329"/>
        <v>87676405.920000002</v>
      </c>
      <c r="BR121" s="213">
        <f t="shared" si="329"/>
        <v>5097032.3899999978</v>
      </c>
      <c r="BS121" s="213">
        <f t="shared" si="329"/>
        <v>-13485126.32999998</v>
      </c>
      <c r="BT121" s="213">
        <f t="shared" si="329"/>
        <v>18167449.079999983</v>
      </c>
      <c r="BU121" s="213">
        <f t="shared" si="329"/>
        <v>58961714.040000044</v>
      </c>
      <c r="BV121" s="213">
        <f t="shared" si="329"/>
        <v>15301438.560000002</v>
      </c>
      <c r="BW121" s="213">
        <f t="shared" ref="BW121:BX121" si="330">IF(BW120="N/A","N/A",SUM(BW116:BW120))</f>
        <v>3828755.4100000011</v>
      </c>
      <c r="BX121" s="213">
        <f t="shared" si="330"/>
        <v>30301499.240000024</v>
      </c>
      <c r="BY121" s="213">
        <f t="shared" ref="BY121:BZ121" si="331">IF(BY120="N/A","N/A",SUM(BY116:BY120))</f>
        <v>1117639.6899999939</v>
      </c>
      <c r="BZ121" s="213">
        <f t="shared" si="331"/>
        <v>-33460923.260000005</v>
      </c>
      <c r="CA121" s="276">
        <f t="shared" ref="CA121:CB121" si="332">IF(CA120="N/A","N/A",SUM(CA116:CA120))</f>
        <v>24732078.449999996</v>
      </c>
      <c r="CB121" s="276">
        <f t="shared" si="332"/>
        <v>1189184.6200000048</v>
      </c>
      <c r="CC121" s="276">
        <f t="shared" ref="CC121:CD121" si="333">IF(CC120="N/A","N/A",SUM(CC116:CC120))</f>
        <v>-47486305.030000001</v>
      </c>
      <c r="CD121" s="276">
        <f t="shared" si="333"/>
        <v>29292115.949999996</v>
      </c>
      <c r="CE121" s="315">
        <f t="shared" ref="CE121" si="334">IF(CE120="N/A","N/A",SUM(CE116:CE120))</f>
        <v>21782654.449999988</v>
      </c>
      <c r="CF121" s="315">
        <f t="shared" ref="CF121:CK121" si="335">IF(CF120="N/A","N/A",SUM(CF116:CF120))</f>
        <v>36933078.539999999</v>
      </c>
      <c r="CG121" s="315">
        <f t="shared" si="335"/>
        <v>-9402413.8000000492</v>
      </c>
      <c r="CH121" s="315">
        <f t="shared" si="335"/>
        <v>70165460.800000012</v>
      </c>
      <c r="CI121" s="315">
        <f t="shared" si="335"/>
        <v>-10114915.68</v>
      </c>
      <c r="CJ121" s="315">
        <f t="shared" si="335"/>
        <v>-5079217.2400000161</v>
      </c>
      <c r="CK121" s="315">
        <f t="shared" si="335"/>
        <v>-13269358.960000005</v>
      </c>
      <c r="CL121" s="315">
        <f t="shared" ref="CL121" si="336">IF(CL120="N/A","N/A",SUM(CL116:CL120))</f>
        <v>62938736.790000007</v>
      </c>
      <c r="CM121" s="315">
        <f t="shared" ref="CM121" si="337">IF(CM120="N/A","N/A",SUM(CM116:CM120))</f>
        <v>23271902.70000001</v>
      </c>
      <c r="CN121" s="315">
        <f t="shared" ref="CN121" si="338">IF(CN120="N/A","N/A",SUM(CN116:CN120))</f>
        <v>-10622310.00999999</v>
      </c>
      <c r="CO121" s="315">
        <f t="shared" ref="CO121" si="339">IF(CO120="N/A","N/A",SUM(CO116:CO120))</f>
        <v>-256227534.18000001</v>
      </c>
      <c r="CP121" s="315">
        <f t="shared" ref="CP121" si="340">IF(CP120="N/A","N/A",SUM(CP116:CP120))</f>
        <v>-255020432.21000004</v>
      </c>
      <c r="CQ121" s="315">
        <f t="shared" ref="CQ121:CS121" si="341">IF(CQ120="N/A","N/A",SUM(CQ116:CQ120))</f>
        <v>-293246018.71999997</v>
      </c>
      <c r="CR121" s="315">
        <f t="shared" ref="CR121" si="342">IF(CR120="N/A","N/A",SUM(CR116:CR120))</f>
        <v>-310721687.74000001</v>
      </c>
      <c r="CS121" s="315"/>
      <c r="CT121" s="351"/>
      <c r="CU121" s="184">
        <f t="shared" si="283"/>
        <v>327486422.48000002</v>
      </c>
      <c r="CV121" s="62"/>
    </row>
    <row r="122" spans="1:100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50"/>
      <c r="CU122" s="255"/>
      <c r="CV122" s="62"/>
    </row>
    <row r="123" spans="1:100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7">
        <f t="shared" ref="BI123:BO127" si="343">O123-C123</f>
        <v>-316654.98999999464</v>
      </c>
      <c r="BJ123" s="103">
        <f t="shared" si="343"/>
        <v>5550406.0999999978</v>
      </c>
      <c r="BK123" s="103">
        <f t="shared" si="343"/>
        <v>2957983.7099999972</v>
      </c>
      <c r="BL123" s="103">
        <f t="shared" si="343"/>
        <v>7595763.3599999994</v>
      </c>
      <c r="BM123" s="103">
        <f t="shared" si="343"/>
        <v>7034548.1899999976</v>
      </c>
      <c r="BN123" s="103">
        <f t="shared" si="343"/>
        <v>8359947.5099999905</v>
      </c>
      <c r="BO123" s="103">
        <f t="shared" si="343"/>
        <v>4332418.8500000015</v>
      </c>
      <c r="BP123" s="212">
        <f t="shared" ref="BP123:BY127" si="344">IF(ISERROR(V123-J123)=TRUE,"N/A",V123-J123)</f>
        <v>1477151.5700000003</v>
      </c>
      <c r="BQ123" s="212">
        <f t="shared" si="344"/>
        <v>2445791.6199999973</v>
      </c>
      <c r="BR123" s="212">
        <f t="shared" si="344"/>
        <v>5102639.9900000021</v>
      </c>
      <c r="BS123" s="212">
        <f t="shared" si="344"/>
        <v>2744667.5100000054</v>
      </c>
      <c r="BT123" s="212">
        <f t="shared" si="344"/>
        <v>6806067.4299999997</v>
      </c>
      <c r="BU123" s="212">
        <f t="shared" si="344"/>
        <v>4718808.5299999937</v>
      </c>
      <c r="BV123" s="212">
        <f t="shared" si="344"/>
        <v>-2085941.9499999993</v>
      </c>
      <c r="BW123" s="212">
        <f t="shared" si="344"/>
        <v>-2603650.8499999978</v>
      </c>
      <c r="BX123" s="212">
        <f t="shared" si="344"/>
        <v>3754353.6300000027</v>
      </c>
      <c r="BY123" s="212">
        <f t="shared" si="344"/>
        <v>-4176477.0199999958</v>
      </c>
      <c r="BZ123" s="212">
        <f t="shared" ref="BZ123:CI127" si="345">IF(ISERROR(AF123-T123)=TRUE,"N/A",AF123-T123)</f>
        <v>-7321201.1499999911</v>
      </c>
      <c r="CA123" s="275">
        <f t="shared" si="345"/>
        <v>7424578.9699999988</v>
      </c>
      <c r="CB123" s="275">
        <f t="shared" si="345"/>
        <v>-535852.91000000015</v>
      </c>
      <c r="CC123" s="275">
        <f t="shared" si="345"/>
        <v>2450712.5100000016</v>
      </c>
      <c r="CD123" s="275">
        <f t="shared" si="345"/>
        <v>725676.26000000536</v>
      </c>
      <c r="CE123" s="314">
        <f t="shared" si="345"/>
        <v>847459.02000000328</v>
      </c>
      <c r="CF123" s="314">
        <f t="shared" si="345"/>
        <v>4701345.9099999964</v>
      </c>
      <c r="CG123" s="314">
        <f t="shared" si="345"/>
        <v>2626600.640000008</v>
      </c>
      <c r="CH123" s="314">
        <f t="shared" si="345"/>
        <v>-29285379.890000001</v>
      </c>
      <c r="CI123" s="314">
        <f t="shared" si="345"/>
        <v>2769435.629999999</v>
      </c>
      <c r="CJ123" s="314">
        <f t="shared" ref="CJ123:CR127" si="346">IF(ISERROR(AP123-AD123)=TRUE,"N/A",AP123-AD123)</f>
        <v>-146111.57999999821</v>
      </c>
      <c r="CK123" s="314">
        <f t="shared" si="346"/>
        <v>30373.390000000596</v>
      </c>
      <c r="CL123" s="314">
        <f t="shared" si="346"/>
        <v>15073082.039999999</v>
      </c>
      <c r="CM123" s="314">
        <f t="shared" si="346"/>
        <v>934541.16999999434</v>
      </c>
      <c r="CN123" s="314">
        <f t="shared" si="346"/>
        <v>1428292.3499999978</v>
      </c>
      <c r="CO123" s="314">
        <f t="shared" si="346"/>
        <v>2061730.9999999963</v>
      </c>
      <c r="CP123" s="314">
        <f t="shared" si="346"/>
        <v>6593804.3699999899</v>
      </c>
      <c r="CQ123" s="314">
        <f t="shared" si="346"/>
        <v>9197742.4799999967</v>
      </c>
      <c r="CR123" s="314">
        <f t="shared" si="346"/>
        <v>8460709.9399999976</v>
      </c>
      <c r="CS123" s="314"/>
      <c r="CT123" s="350"/>
      <c r="CU123" s="67">
        <f>'MONTHLY SUMMARIES'!D87</f>
        <v>55874851.049999997</v>
      </c>
      <c r="CV123" s="62"/>
    </row>
    <row r="124" spans="1:100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7">
        <f t="shared" si="343"/>
        <v>-919000.51999999955</v>
      </c>
      <c r="BJ124" s="103">
        <f t="shared" si="343"/>
        <v>201372.3200000003</v>
      </c>
      <c r="BK124" s="103">
        <f t="shared" si="343"/>
        <v>210957.21999999974</v>
      </c>
      <c r="BL124" s="103">
        <f t="shared" si="343"/>
        <v>766867.19999999925</v>
      </c>
      <c r="BM124" s="103">
        <f t="shared" si="343"/>
        <v>839130.88999999966</v>
      </c>
      <c r="BN124" s="103">
        <f t="shared" si="343"/>
        <v>1072144.2500000009</v>
      </c>
      <c r="BO124" s="103">
        <f t="shared" si="343"/>
        <v>736997.99999999907</v>
      </c>
      <c r="BP124" s="212">
        <f t="shared" si="344"/>
        <v>73629.679999999702</v>
      </c>
      <c r="BQ124" s="212">
        <f t="shared" si="344"/>
        <v>159313.83999999985</v>
      </c>
      <c r="BR124" s="212">
        <f t="shared" si="344"/>
        <v>668057.05999999959</v>
      </c>
      <c r="BS124" s="212">
        <f t="shared" si="344"/>
        <v>394553.03000000026</v>
      </c>
      <c r="BT124" s="212">
        <f t="shared" si="344"/>
        <v>1129699.8499999996</v>
      </c>
      <c r="BU124" s="212">
        <f t="shared" si="344"/>
        <v>1136105.3099999987</v>
      </c>
      <c r="BV124" s="212">
        <f t="shared" si="344"/>
        <v>69361.420000000857</v>
      </c>
      <c r="BW124" s="212">
        <f t="shared" si="344"/>
        <v>-278915.26000000024</v>
      </c>
      <c r="BX124" s="212">
        <f t="shared" si="344"/>
        <v>794942.48000000045</v>
      </c>
      <c r="BY124" s="212">
        <f t="shared" si="344"/>
        <v>-35276.290000000037</v>
      </c>
      <c r="BZ124" s="212">
        <f t="shared" si="345"/>
        <v>-724946.40000000037</v>
      </c>
      <c r="CA124" s="275">
        <f t="shared" si="345"/>
        <v>1024403.2400000002</v>
      </c>
      <c r="CB124" s="275">
        <f t="shared" si="345"/>
        <v>18411.799999999814</v>
      </c>
      <c r="CC124" s="275">
        <f t="shared" si="345"/>
        <v>82719.080000000075</v>
      </c>
      <c r="CD124" s="275">
        <f t="shared" si="345"/>
        <v>-272318.12000000011</v>
      </c>
      <c r="CE124" s="314">
        <f t="shared" si="345"/>
        <v>232816.59999999963</v>
      </c>
      <c r="CF124" s="314">
        <f t="shared" si="345"/>
        <v>487893.70000000019</v>
      </c>
      <c r="CG124" s="314">
        <f t="shared" si="345"/>
        <v>200197.46000000089</v>
      </c>
      <c r="CH124" s="314">
        <f t="shared" si="345"/>
        <v>-4729257.3900000006</v>
      </c>
      <c r="CI124" s="314">
        <f t="shared" si="345"/>
        <v>653394.71000000043</v>
      </c>
      <c r="CJ124" s="314">
        <f t="shared" si="346"/>
        <v>236272.08999999985</v>
      </c>
      <c r="CK124" s="314">
        <f t="shared" si="346"/>
        <v>187374.88999999966</v>
      </c>
      <c r="CL124" s="314">
        <f t="shared" si="346"/>
        <v>2372071.8999999994</v>
      </c>
      <c r="CM124" s="314">
        <f t="shared" si="346"/>
        <v>677943.29</v>
      </c>
      <c r="CN124" s="314">
        <f t="shared" si="346"/>
        <v>768521.19999999972</v>
      </c>
      <c r="CO124" s="314">
        <f t="shared" si="346"/>
        <v>1499532.63</v>
      </c>
      <c r="CP124" s="314">
        <f t="shared" si="346"/>
        <v>2699835.7500000009</v>
      </c>
      <c r="CQ124" s="314">
        <f t="shared" si="346"/>
        <v>2350194.6099999994</v>
      </c>
      <c r="CR124" s="314">
        <f t="shared" si="346"/>
        <v>3043755.2199999988</v>
      </c>
      <c r="CS124" s="314"/>
      <c r="CT124" s="350"/>
      <c r="CU124" s="67">
        <f>'MONTHLY SUMMARIES'!D88</f>
        <v>9923809.3699999992</v>
      </c>
      <c r="CV124" s="62"/>
    </row>
    <row r="125" spans="1:100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/>
      <c r="BA125" s="301"/>
      <c r="BB125" s="301"/>
      <c r="BC125" s="301"/>
      <c r="BD125" s="301"/>
      <c r="BE125" s="301"/>
      <c r="BF125" s="301"/>
      <c r="BG125" s="301"/>
      <c r="BH125" s="301"/>
      <c r="BI125" s="37">
        <f t="shared" si="343"/>
        <v>-63404.809999998659</v>
      </c>
      <c r="BJ125" s="103">
        <f t="shared" si="343"/>
        <v>-84579.900000000373</v>
      </c>
      <c r="BK125" s="103">
        <f t="shared" si="343"/>
        <v>-1067207.5499999989</v>
      </c>
      <c r="BL125" s="103">
        <f t="shared" si="343"/>
        <v>-412839.97000000067</v>
      </c>
      <c r="BM125" s="103">
        <f t="shared" si="343"/>
        <v>9164.75</v>
      </c>
      <c r="BN125" s="103">
        <f t="shared" si="343"/>
        <v>-400573.27999999933</v>
      </c>
      <c r="BO125" s="103">
        <f t="shared" si="343"/>
        <v>-130618.34000000171</v>
      </c>
      <c r="BP125" s="212">
        <f t="shared" si="344"/>
        <v>-598729.1099999994</v>
      </c>
      <c r="BQ125" s="212">
        <f t="shared" si="344"/>
        <v>855161.55000000168</v>
      </c>
      <c r="BR125" s="212">
        <f t="shared" si="344"/>
        <v>-563512.90000000037</v>
      </c>
      <c r="BS125" s="212">
        <f t="shared" si="344"/>
        <v>-787203.08000000007</v>
      </c>
      <c r="BT125" s="212">
        <f t="shared" si="344"/>
        <v>452282.0700000003</v>
      </c>
      <c r="BU125" s="212">
        <f t="shared" si="344"/>
        <v>616989.61999999918</v>
      </c>
      <c r="BV125" s="212">
        <f t="shared" si="344"/>
        <v>712863.83000000007</v>
      </c>
      <c r="BW125" s="212">
        <f t="shared" si="344"/>
        <v>715699.46999999881</v>
      </c>
      <c r="BX125" s="212">
        <f t="shared" si="344"/>
        <v>1922423.0199999996</v>
      </c>
      <c r="BY125" s="212">
        <f t="shared" si="344"/>
        <v>-20063.109999999404</v>
      </c>
      <c r="BZ125" s="212">
        <f t="shared" si="345"/>
        <v>59545.639999998733</v>
      </c>
      <c r="CA125" s="275">
        <f t="shared" si="345"/>
        <v>1547733.0599999987</v>
      </c>
      <c r="CB125" s="275">
        <f t="shared" si="345"/>
        <v>278170.66000000015</v>
      </c>
      <c r="CC125" s="275">
        <f t="shared" si="345"/>
        <v>45971.709999999031</v>
      </c>
      <c r="CD125" s="275">
        <f t="shared" si="345"/>
        <v>1151245.0299999993</v>
      </c>
      <c r="CE125" s="314">
        <f t="shared" si="345"/>
        <v>379970.70999999903</v>
      </c>
      <c r="CF125" s="314">
        <f t="shared" si="345"/>
        <v>1105319.0700000003</v>
      </c>
      <c r="CG125" s="314">
        <f t="shared" si="345"/>
        <v>784262.13000000082</v>
      </c>
      <c r="CH125" s="314">
        <f t="shared" si="345"/>
        <v>-8768407.0099999998</v>
      </c>
      <c r="CI125" s="314">
        <f t="shared" si="345"/>
        <v>774306.47000000067</v>
      </c>
      <c r="CJ125" s="314">
        <f t="shared" si="346"/>
        <v>114139.6400000006</v>
      </c>
      <c r="CK125" s="314">
        <f t="shared" si="346"/>
        <v>-307033.10000000149</v>
      </c>
      <c r="CL125" s="314">
        <f t="shared" si="346"/>
        <v>2306459.7699999996</v>
      </c>
      <c r="CM125" s="314">
        <f t="shared" si="346"/>
        <v>240793.29000000097</v>
      </c>
      <c r="CN125" s="314">
        <f t="shared" si="346"/>
        <v>155725.28000000119</v>
      </c>
      <c r="CO125" s="314">
        <f t="shared" si="346"/>
        <v>493610.34000000171</v>
      </c>
      <c r="CP125" s="314">
        <f t="shared" si="346"/>
        <v>1296733.1500000022</v>
      </c>
      <c r="CQ125" s="314">
        <f t="shared" si="346"/>
        <v>2083887.7400000002</v>
      </c>
      <c r="CR125" s="314">
        <f t="shared" si="346"/>
        <v>2412795.3200000003</v>
      </c>
      <c r="CS125" s="314"/>
      <c r="CT125" s="350"/>
      <c r="CU125" s="67">
        <f>'MONTHLY SUMMARIES'!D89</f>
        <v>15241933.15</v>
      </c>
      <c r="CV125" s="62"/>
    </row>
    <row r="126" spans="1:100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/>
      <c r="BA126" s="301"/>
      <c r="BB126" s="301"/>
      <c r="BC126" s="301"/>
      <c r="BD126" s="301"/>
      <c r="BE126" s="301"/>
      <c r="BF126" s="301"/>
      <c r="BG126" s="301"/>
      <c r="BH126" s="301"/>
      <c r="BI126" s="37">
        <f t="shared" si="343"/>
        <v>509087.16999999806</v>
      </c>
      <c r="BJ126" s="103">
        <f t="shared" si="343"/>
        <v>63708.11999999918</v>
      </c>
      <c r="BK126" s="103">
        <f t="shared" si="343"/>
        <v>-1388465.7699999996</v>
      </c>
      <c r="BL126" s="103">
        <f t="shared" si="343"/>
        <v>-927148.98000000045</v>
      </c>
      <c r="BM126" s="103">
        <f t="shared" si="343"/>
        <v>-211631.58000000007</v>
      </c>
      <c r="BN126" s="103">
        <f t="shared" si="343"/>
        <v>-700037.35000000149</v>
      </c>
      <c r="BO126" s="103">
        <f t="shared" si="343"/>
        <v>-201119.70000000112</v>
      </c>
      <c r="BP126" s="212">
        <f t="shared" si="344"/>
        <v>-860846.6400000006</v>
      </c>
      <c r="BQ126" s="212">
        <f t="shared" si="344"/>
        <v>-211539.63000000082</v>
      </c>
      <c r="BR126" s="212">
        <f t="shared" si="344"/>
        <v>-273201.5700000003</v>
      </c>
      <c r="BS126" s="212">
        <f t="shared" si="344"/>
        <v>-1793994.0900000036</v>
      </c>
      <c r="BT126" s="212">
        <f t="shared" si="344"/>
        <v>523210.06000000052</v>
      </c>
      <c r="BU126" s="212">
        <f t="shared" si="344"/>
        <v>681571.53000000119</v>
      </c>
      <c r="BV126" s="212">
        <f t="shared" si="344"/>
        <v>789128.51999999955</v>
      </c>
      <c r="BW126" s="212">
        <f t="shared" si="344"/>
        <v>781240.42999999784</v>
      </c>
      <c r="BX126" s="212">
        <f t="shared" si="344"/>
        <v>2378462.1400000006</v>
      </c>
      <c r="BY126" s="212">
        <f t="shared" si="344"/>
        <v>-153055.1400000006</v>
      </c>
      <c r="BZ126" s="212">
        <f t="shared" si="345"/>
        <v>-475538.00999999978</v>
      </c>
      <c r="CA126" s="275">
        <f t="shared" si="345"/>
        <v>1403471.0600000005</v>
      </c>
      <c r="CB126" s="275">
        <f t="shared" si="345"/>
        <v>524299.84999999963</v>
      </c>
      <c r="CC126" s="275">
        <f t="shared" si="345"/>
        <v>361655.20999999903</v>
      </c>
      <c r="CD126" s="275">
        <f t="shared" si="345"/>
        <v>104170.58000000194</v>
      </c>
      <c r="CE126" s="314">
        <f t="shared" si="345"/>
        <v>93815.990000002086</v>
      </c>
      <c r="CF126" s="314">
        <f t="shared" si="345"/>
        <v>337017.58999999799</v>
      </c>
      <c r="CG126" s="314">
        <f t="shared" si="345"/>
        <v>160005.47000000067</v>
      </c>
      <c r="CH126" s="314">
        <f t="shared" si="345"/>
        <v>-11603214.299999999</v>
      </c>
      <c r="CI126" s="314">
        <f t="shared" si="345"/>
        <v>509526.77000000142</v>
      </c>
      <c r="CJ126" s="314">
        <f t="shared" si="346"/>
        <v>115534.34999999963</v>
      </c>
      <c r="CK126" s="314">
        <f t="shared" si="346"/>
        <v>-1210393.7699999996</v>
      </c>
      <c r="CL126" s="314">
        <f t="shared" si="346"/>
        <v>2285957.1899999995</v>
      </c>
      <c r="CM126" s="314">
        <f t="shared" si="346"/>
        <v>685092.31000000052</v>
      </c>
      <c r="CN126" s="314">
        <f t="shared" si="346"/>
        <v>-427009.66000000015</v>
      </c>
      <c r="CO126" s="314">
        <f t="shared" si="346"/>
        <v>1333000.9500000011</v>
      </c>
      <c r="CP126" s="314">
        <f t="shared" si="346"/>
        <v>2126531.3999999985</v>
      </c>
      <c r="CQ126" s="314">
        <f t="shared" si="346"/>
        <v>1628262.4799999986</v>
      </c>
      <c r="CR126" s="314">
        <f t="shared" si="346"/>
        <v>2551659.8200000003</v>
      </c>
      <c r="CS126" s="314"/>
      <c r="CT126" s="350"/>
      <c r="CU126" s="67">
        <f>'MONTHLY SUMMARIES'!D90</f>
        <v>17882710.169999998</v>
      </c>
      <c r="CV126" s="62"/>
    </row>
    <row r="127" spans="1:100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/>
      <c r="BA127" s="301"/>
      <c r="BB127" s="301"/>
      <c r="BC127" s="301"/>
      <c r="BD127" s="301"/>
      <c r="BE127" s="301"/>
      <c r="BF127" s="301"/>
      <c r="BG127" s="301"/>
      <c r="BH127" s="301"/>
      <c r="BI127" s="37">
        <f t="shared" si="343"/>
        <v>481423.00999999791</v>
      </c>
      <c r="BJ127" s="103">
        <f t="shared" si="343"/>
        <v>635788.9299999997</v>
      </c>
      <c r="BK127" s="103">
        <f t="shared" si="343"/>
        <v>-1605847.3500000052</v>
      </c>
      <c r="BL127" s="103">
        <f t="shared" si="343"/>
        <v>-1071233.7699999996</v>
      </c>
      <c r="BM127" s="103">
        <f t="shared" si="343"/>
        <v>1294182.2300000004</v>
      </c>
      <c r="BN127" s="103">
        <f t="shared" si="343"/>
        <v>-2526095.4199999981</v>
      </c>
      <c r="BO127" s="103">
        <f t="shared" si="343"/>
        <v>-857350.26000000164</v>
      </c>
      <c r="BP127" s="212">
        <f t="shared" si="344"/>
        <v>-2064862.1899999976</v>
      </c>
      <c r="BQ127" s="212">
        <f t="shared" si="344"/>
        <v>1260522.950000003</v>
      </c>
      <c r="BR127" s="212">
        <f t="shared" si="344"/>
        <v>-1088246.3300000019</v>
      </c>
      <c r="BS127" s="212">
        <f t="shared" si="344"/>
        <v>-3662000.299999997</v>
      </c>
      <c r="BT127" s="212">
        <f t="shared" si="344"/>
        <v>-524489.6099999994</v>
      </c>
      <c r="BU127" s="212">
        <f t="shared" si="344"/>
        <v>2855604.5599999987</v>
      </c>
      <c r="BV127" s="212">
        <f t="shared" si="344"/>
        <v>475700.89999999851</v>
      </c>
      <c r="BW127" s="212">
        <f t="shared" si="344"/>
        <v>1471149.2800000012</v>
      </c>
      <c r="BX127" s="212">
        <f t="shared" si="344"/>
        <v>2338314.3999999985</v>
      </c>
      <c r="BY127" s="212">
        <f t="shared" si="344"/>
        <v>-958237.08999999985</v>
      </c>
      <c r="BZ127" s="212">
        <f t="shared" si="345"/>
        <v>292849.16999999806</v>
      </c>
      <c r="CA127" s="275">
        <f t="shared" si="345"/>
        <v>3244243.8999999985</v>
      </c>
      <c r="CB127" s="275">
        <f t="shared" si="345"/>
        <v>-942917.01999999955</v>
      </c>
      <c r="CC127" s="275">
        <f t="shared" si="345"/>
        <v>1362272.1999999993</v>
      </c>
      <c r="CD127" s="275">
        <f t="shared" si="345"/>
        <v>-1051570.200000003</v>
      </c>
      <c r="CE127" s="314">
        <f t="shared" si="345"/>
        <v>1212833.2299999967</v>
      </c>
      <c r="CF127" s="314">
        <f t="shared" si="345"/>
        <v>1625930.1900000013</v>
      </c>
      <c r="CG127" s="314">
        <f t="shared" si="345"/>
        <v>-831636.49999999627</v>
      </c>
      <c r="CH127" s="314">
        <f t="shared" si="345"/>
        <v>-20053409.609999999</v>
      </c>
      <c r="CI127" s="314">
        <f t="shared" si="345"/>
        <v>1453298.8900000006</v>
      </c>
      <c r="CJ127" s="314">
        <f t="shared" si="346"/>
        <v>1851082.5500000007</v>
      </c>
      <c r="CK127" s="314">
        <f t="shared" si="346"/>
        <v>458332.55000000075</v>
      </c>
      <c r="CL127" s="314">
        <f t="shared" si="346"/>
        <v>2909810.9700000025</v>
      </c>
      <c r="CM127" s="314">
        <f t="shared" si="346"/>
        <v>1317665.2400000021</v>
      </c>
      <c r="CN127" s="314">
        <f t="shared" si="346"/>
        <v>-287630.16000000015</v>
      </c>
      <c r="CO127" s="314">
        <f t="shared" si="346"/>
        <v>2472122.2600000016</v>
      </c>
      <c r="CP127" s="314">
        <f t="shared" si="346"/>
        <v>4632759.5400000028</v>
      </c>
      <c r="CQ127" s="314">
        <f t="shared" si="346"/>
        <v>1039080.4100000001</v>
      </c>
      <c r="CR127" s="314">
        <f t="shared" si="346"/>
        <v>5207346.4399999976</v>
      </c>
      <c r="CS127" s="314"/>
      <c r="CT127" s="350"/>
      <c r="CU127" s="67">
        <f>'MONTHLY SUMMARIES'!D91</f>
        <v>28876934.779999997</v>
      </c>
      <c r="CV127" s="62"/>
    </row>
    <row r="128" spans="1:100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347">SUM(D123:D127)</f>
        <v>73236123.310000002</v>
      </c>
      <c r="E128" s="136">
        <f t="shared" si="347"/>
        <v>71548696.870000005</v>
      </c>
      <c r="F128" s="136">
        <f t="shared" si="347"/>
        <v>72649687.980000004</v>
      </c>
      <c r="G128" s="136">
        <f t="shared" si="347"/>
        <v>94275699.549999997</v>
      </c>
      <c r="H128" s="136">
        <f t="shared" si="347"/>
        <v>101618361.77000001</v>
      </c>
      <c r="I128" s="136">
        <f t="shared" si="347"/>
        <v>84105163.25</v>
      </c>
      <c r="J128" s="136">
        <f t="shared" si="347"/>
        <v>76127482.290000007</v>
      </c>
      <c r="K128" s="136">
        <f t="shared" si="347"/>
        <v>63858136.429999992</v>
      </c>
      <c r="L128" s="138">
        <f t="shared" si="347"/>
        <v>86271277.540000007</v>
      </c>
      <c r="M128" s="136">
        <f t="shared" si="347"/>
        <v>100042866.78999999</v>
      </c>
      <c r="N128" s="174">
        <f t="shared" si="347"/>
        <v>80959419.450000003</v>
      </c>
      <c r="O128" s="174">
        <f t="shared" si="347"/>
        <v>84832790.829999998</v>
      </c>
      <c r="P128" s="174">
        <f t="shared" si="347"/>
        <v>79602818.879999995</v>
      </c>
      <c r="Q128" s="174">
        <f t="shared" si="347"/>
        <v>70656117.129999995</v>
      </c>
      <c r="R128" s="174">
        <f t="shared" si="347"/>
        <v>78601095.820000008</v>
      </c>
      <c r="S128" s="174">
        <f t="shared" si="347"/>
        <v>103241094.03</v>
      </c>
      <c r="T128" s="174">
        <f t="shared" si="347"/>
        <v>107423747.48</v>
      </c>
      <c r="U128" s="174">
        <f t="shared" si="347"/>
        <v>87985491.800000012</v>
      </c>
      <c r="V128" s="174">
        <f t="shared" si="347"/>
        <v>74153825.600000009</v>
      </c>
      <c r="W128" s="174">
        <f t="shared" si="347"/>
        <v>68367386.75999999</v>
      </c>
      <c r="X128" s="138">
        <f t="shared" si="347"/>
        <v>90117013.789999992</v>
      </c>
      <c r="Y128" s="174">
        <f t="shared" si="347"/>
        <v>96938889.859999985</v>
      </c>
      <c r="Z128" s="243">
        <v>89346189.25</v>
      </c>
      <c r="AA128" s="174">
        <f t="shared" ref="AA128" si="348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/>
      <c r="BA128" s="302"/>
      <c r="BB128" s="302"/>
      <c r="BC128" s="302"/>
      <c r="BD128" s="302"/>
      <c r="BE128" s="302"/>
      <c r="BF128" s="302"/>
      <c r="BG128" s="302"/>
      <c r="BH128" s="302"/>
      <c r="BI128" s="137">
        <f t="shared" si="347"/>
        <v>-308550.13999999687</v>
      </c>
      <c r="BJ128" s="139">
        <f t="shared" ref="BJ128:BL128" si="349">SUM(BJ123:BJ127)</f>
        <v>6366695.5699999966</v>
      </c>
      <c r="BK128" s="139">
        <f t="shared" si="349"/>
        <v>-892579.74000000674</v>
      </c>
      <c r="BL128" s="139">
        <f t="shared" si="349"/>
        <v>5951407.839999998</v>
      </c>
      <c r="BM128" s="139">
        <f t="shared" ref="BM128:BN128" si="350">SUM(BM123:BM127)</f>
        <v>8965394.4799999967</v>
      </c>
      <c r="BN128" s="139">
        <f t="shared" si="350"/>
        <v>5805385.7099999916</v>
      </c>
      <c r="BO128" s="139">
        <f t="shared" ref="BO128" si="351">SUM(BO123:BO127)</f>
        <v>3880328.5499999961</v>
      </c>
      <c r="BP128" s="213">
        <f t="shared" ref="BP128:BV128" si="352">IF(BP127="N/A","N/A",SUM(BP123:BP127))</f>
        <v>-1973656.6899999976</v>
      </c>
      <c r="BQ128" s="213">
        <f t="shared" si="352"/>
        <v>4509250.330000001</v>
      </c>
      <c r="BR128" s="213">
        <f t="shared" si="352"/>
        <v>3845736.2499999991</v>
      </c>
      <c r="BS128" s="213">
        <f t="shared" si="352"/>
        <v>-3103976.929999995</v>
      </c>
      <c r="BT128" s="213">
        <f t="shared" si="352"/>
        <v>8386769.8000000007</v>
      </c>
      <c r="BU128" s="213">
        <f t="shared" si="352"/>
        <v>10009079.549999991</v>
      </c>
      <c r="BV128" s="213">
        <f t="shared" si="352"/>
        <v>-38887.280000000261</v>
      </c>
      <c r="BW128" s="213">
        <f t="shared" ref="BW128:BX128" si="353">IF(BW127="N/A","N/A",SUM(BW123:BW127))</f>
        <v>85523.069999999832</v>
      </c>
      <c r="BX128" s="213">
        <f t="shared" si="353"/>
        <v>11188495.670000002</v>
      </c>
      <c r="BY128" s="213">
        <f t="shared" ref="BY128:BZ128" si="354">IF(BY127="N/A","N/A",SUM(BY123:BY127))</f>
        <v>-5343108.6499999957</v>
      </c>
      <c r="BZ128" s="213">
        <f t="shared" si="354"/>
        <v>-8169290.7499999944</v>
      </c>
      <c r="CA128" s="276">
        <f t="shared" ref="CA128:CB128" si="355">IF(CA127="N/A","N/A",SUM(CA123:CA127))</f>
        <v>14644430.229999997</v>
      </c>
      <c r="CB128" s="276">
        <f t="shared" si="355"/>
        <v>-657887.62000000011</v>
      </c>
      <c r="CC128" s="276">
        <f t="shared" ref="CC128:CD128" si="356">IF(CC127="N/A","N/A",SUM(CC123:CC127))</f>
        <v>4303330.709999999</v>
      </c>
      <c r="CD128" s="276">
        <f t="shared" si="356"/>
        <v>657203.55000000354</v>
      </c>
      <c r="CE128" s="315">
        <f t="shared" ref="CE128" si="357">IF(CE127="N/A","N/A",SUM(CE123:CE127))</f>
        <v>2766895.5500000007</v>
      </c>
      <c r="CF128" s="315">
        <f t="shared" ref="CF128:CK128" si="358">IF(CF127="N/A","N/A",SUM(CF123:CF127))</f>
        <v>8257506.4599999962</v>
      </c>
      <c r="CG128" s="315">
        <f t="shared" si="358"/>
        <v>2939429.2000000142</v>
      </c>
      <c r="CH128" s="315">
        <f t="shared" si="358"/>
        <v>-74439668.199999988</v>
      </c>
      <c r="CI128" s="315">
        <f t="shared" si="358"/>
        <v>6159962.4700000025</v>
      </c>
      <c r="CJ128" s="315">
        <f t="shared" si="358"/>
        <v>2170917.0500000026</v>
      </c>
      <c r="CK128" s="315">
        <f t="shared" si="358"/>
        <v>-841346.04</v>
      </c>
      <c r="CL128" s="315">
        <f t="shared" ref="CL128" si="359">IF(CL127="N/A","N/A",SUM(CL123:CL127))</f>
        <v>24947381.870000001</v>
      </c>
      <c r="CM128" s="315">
        <f t="shared" ref="CM128" si="360">IF(CM127="N/A","N/A",SUM(CM123:CM127))</f>
        <v>3856035.299999998</v>
      </c>
      <c r="CN128" s="315">
        <f t="shared" ref="CN128" si="361">IF(CN127="N/A","N/A",SUM(CN123:CN127))</f>
        <v>1637899.0099999984</v>
      </c>
      <c r="CO128" s="315">
        <f t="shared" ref="CO128" si="362">IF(CO127="N/A","N/A",SUM(CO123:CO127))</f>
        <v>7859997.1800000006</v>
      </c>
      <c r="CP128" s="315">
        <f t="shared" ref="CP128" si="363">IF(CP127="N/A","N/A",SUM(CP123:CP127))</f>
        <v>17349664.209999993</v>
      </c>
      <c r="CQ128" s="315">
        <f t="shared" ref="CQ128:CS128" si="364">IF(CQ127="N/A","N/A",SUM(CQ123:CQ127))</f>
        <v>16299167.719999995</v>
      </c>
      <c r="CR128" s="315">
        <f t="shared" ref="CR128" si="365">IF(CR127="N/A","N/A",SUM(CR123:CR127))</f>
        <v>21676266.739999995</v>
      </c>
      <c r="CS128" s="315"/>
      <c r="CT128" s="351"/>
      <c r="CU128" s="184">
        <f t="shared" ref="CU128:CU146" si="366">SUM(CU123:CU127)</f>
        <v>127800238.52</v>
      </c>
      <c r="CV128" s="62"/>
    </row>
    <row r="129" spans="1:10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50"/>
      <c r="CU129" s="52"/>
      <c r="CV129" s="62"/>
    </row>
    <row r="130" spans="1:100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R130" si="367">O130-C130</f>
        <v>10809120.75999999</v>
      </c>
      <c r="BJ130" s="103">
        <f t="shared" si="367"/>
        <v>31870237.689999998</v>
      </c>
      <c r="BK130" s="103">
        <f t="shared" si="367"/>
        <v>24826738.439999998</v>
      </c>
      <c r="BL130" s="103">
        <f t="shared" si="367"/>
        <v>32879815.929999992</v>
      </c>
      <c r="BM130" s="103">
        <f t="shared" si="367"/>
        <v>37386345.930000007</v>
      </c>
      <c r="BN130" s="103">
        <f t="shared" si="367"/>
        <v>43415586.319999993</v>
      </c>
      <c r="BO130" s="103">
        <f t="shared" si="367"/>
        <v>26571855.329999998</v>
      </c>
      <c r="BP130" s="103">
        <f t="shared" si="367"/>
        <v>7376932.2900000066</v>
      </c>
      <c r="BQ130" s="103">
        <f t="shared" si="367"/>
        <v>51648227.019999996</v>
      </c>
      <c r="BR130" s="103">
        <f t="shared" si="367"/>
        <v>8601174.4799999893</v>
      </c>
      <c r="BS130" s="103">
        <f t="shared" si="367"/>
        <v>-3123533.1299999952</v>
      </c>
      <c r="BT130" s="103">
        <f t="shared" si="367"/>
        <v>14879947.659999996</v>
      </c>
      <c r="BU130" s="103">
        <f t="shared" si="367"/>
        <v>23018797.420000017</v>
      </c>
      <c r="BV130" s="103">
        <f t="shared" si="367"/>
        <v>-6057171.6899999976</v>
      </c>
      <c r="BW130" s="103">
        <f t="shared" si="367"/>
        <v>-8444605.5399999917</v>
      </c>
      <c r="BX130" s="103">
        <f t="shared" si="367"/>
        <v>10386832.140000015</v>
      </c>
      <c r="BY130" s="103">
        <f t="shared" si="367"/>
        <v>-15165716.819999993</v>
      </c>
      <c r="BZ130" s="103">
        <f t="shared" si="367"/>
        <v>-29888504.840000004</v>
      </c>
      <c r="CA130" s="277">
        <f t="shared" si="367"/>
        <v>23864493.210000008</v>
      </c>
      <c r="CB130" s="277">
        <f t="shared" si="367"/>
        <v>3354213</v>
      </c>
      <c r="CC130" s="277">
        <f t="shared" si="367"/>
        <v>-29198510.789999992</v>
      </c>
      <c r="CD130" s="277">
        <f t="shared" si="367"/>
        <v>13005578.530000001</v>
      </c>
      <c r="CE130" s="312">
        <f t="shared" si="367"/>
        <v>9777013</v>
      </c>
      <c r="CF130" s="312">
        <f t="shared" si="367"/>
        <v>22937616</v>
      </c>
      <c r="CG130" s="312">
        <f t="shared" si="367"/>
        <v>5009499.9499999881</v>
      </c>
      <c r="CH130" s="312">
        <f t="shared" si="367"/>
        <v>-2674309.25</v>
      </c>
      <c r="CI130" s="312">
        <f t="shared" si="367"/>
        <v>-2017423.3100000024</v>
      </c>
      <c r="CJ130" s="312">
        <f t="shared" si="367"/>
        <v>-1042129.3700000048</v>
      </c>
      <c r="CK130" s="312">
        <f t="shared" si="367"/>
        <v>-525804</v>
      </c>
      <c r="CL130" s="312">
        <f t="shared" si="367"/>
        <v>50208387.689999998</v>
      </c>
      <c r="CM130" s="312">
        <f t="shared" si="367"/>
        <v>-1027438</v>
      </c>
      <c r="CN130" s="312">
        <f t="shared" si="367"/>
        <v>-7900586</v>
      </c>
      <c r="CO130" s="312">
        <f t="shared" si="367"/>
        <v>-121392721</v>
      </c>
      <c r="CP130" s="312">
        <f t="shared" si="367"/>
        <v>-118818104</v>
      </c>
      <c r="CQ130" s="312">
        <f t="shared" si="367"/>
        <v>-145984406</v>
      </c>
      <c r="CR130" s="312">
        <f t="shared" si="367"/>
        <v>-146871497</v>
      </c>
      <c r="CS130" s="312"/>
      <c r="CT130" s="350"/>
      <c r="CU130" s="67">
        <f>'MONTHLY SUMMARIES'!D94</f>
        <v>224247307</v>
      </c>
    </row>
    <row r="131" spans="1:100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50"/>
      <c r="CU131" s="67">
        <f>GETPIVOTDATA("VALUE",'CSS ESCO pvt'!$I$3,"DATE_FILE",$CU$8,"COMPANY",$CU$6,"TRIM_CAT","Residential-GRID","TRIM_LINE",$A129)</f>
        <v>114882963</v>
      </c>
    </row>
    <row r="132" spans="1:100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50"/>
      <c r="CU132" s="81">
        <f>CU130-CU131</f>
        <v>109364344</v>
      </c>
    </row>
    <row r="133" spans="1:100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R133" si="368">O133-C133</f>
        <v>-1045523.1399999987</v>
      </c>
      <c r="BJ133" s="103">
        <f t="shared" si="368"/>
        <v>1415260.629999999</v>
      </c>
      <c r="BK133" s="103">
        <f t="shared" si="368"/>
        <v>1440837.2599999998</v>
      </c>
      <c r="BL133" s="103">
        <f t="shared" si="368"/>
        <v>1803305.2799999993</v>
      </c>
      <c r="BM133" s="103">
        <f t="shared" si="368"/>
        <v>2928186.5200000014</v>
      </c>
      <c r="BN133" s="103">
        <f t="shared" si="368"/>
        <v>2347205.4499999993</v>
      </c>
      <c r="BO133" s="103">
        <f t="shared" si="368"/>
        <v>1059703.6500000004</v>
      </c>
      <c r="BP133" s="103">
        <f t="shared" si="368"/>
        <v>-1036322.1199999992</v>
      </c>
      <c r="BQ133" s="103">
        <f t="shared" si="368"/>
        <v>2487099.790000001</v>
      </c>
      <c r="BR133" s="103">
        <f t="shared" si="368"/>
        <v>119182.11999999918</v>
      </c>
      <c r="BS133" s="103">
        <f t="shared" si="368"/>
        <v>-674362.1400000006</v>
      </c>
      <c r="BT133" s="103">
        <f t="shared" si="368"/>
        <v>2146021.5500000007</v>
      </c>
      <c r="BU133" s="103">
        <f t="shared" si="368"/>
        <v>4230662.3499999996</v>
      </c>
      <c r="BV133" s="103">
        <f t="shared" si="368"/>
        <v>834848.04000000097</v>
      </c>
      <c r="BW133" s="103">
        <f t="shared" si="368"/>
        <v>922345.59999999963</v>
      </c>
      <c r="BX133" s="103">
        <f t="shared" si="368"/>
        <v>2528639.4300000016</v>
      </c>
      <c r="BY133" s="103">
        <f t="shared" si="368"/>
        <v>-13809.13000000082</v>
      </c>
      <c r="BZ133" s="103">
        <f t="shared" si="368"/>
        <v>-1256364.4099999983</v>
      </c>
      <c r="CA133" s="277">
        <f t="shared" si="368"/>
        <v>2166001.8699999992</v>
      </c>
      <c r="CB133" s="277">
        <f t="shared" si="368"/>
        <v>745393</v>
      </c>
      <c r="CC133" s="277">
        <f t="shared" si="368"/>
        <v>-3592508.1300000008</v>
      </c>
      <c r="CD133" s="277">
        <f t="shared" si="368"/>
        <v>-579603.5</v>
      </c>
      <c r="CE133" s="312">
        <f t="shared" si="368"/>
        <v>-2705161</v>
      </c>
      <c r="CF133" s="312">
        <f t="shared" si="368"/>
        <v>-1416099</v>
      </c>
      <c r="CG133" s="312">
        <f t="shared" si="368"/>
        <v>-2501101.8200000003</v>
      </c>
      <c r="CH133" s="312">
        <f t="shared" si="368"/>
        <v>-1456214.83</v>
      </c>
      <c r="CI133" s="312">
        <f t="shared" si="368"/>
        <v>-1255772.8599999994</v>
      </c>
      <c r="CJ133" s="312">
        <f t="shared" si="368"/>
        <v>-1742735.8500000015</v>
      </c>
      <c r="CK133" s="312">
        <f t="shared" si="368"/>
        <v>-1191765</v>
      </c>
      <c r="CL133" s="312">
        <f t="shared" si="368"/>
        <v>3816488.5399999991</v>
      </c>
      <c r="CM133" s="312">
        <f t="shared" si="368"/>
        <v>523694</v>
      </c>
      <c r="CN133" s="312">
        <f t="shared" si="368"/>
        <v>179795</v>
      </c>
      <c r="CO133" s="312">
        <f t="shared" si="368"/>
        <v>-8248693</v>
      </c>
      <c r="CP133" s="312">
        <f t="shared" si="368"/>
        <v>-8060813</v>
      </c>
      <c r="CQ133" s="312">
        <f t="shared" si="368"/>
        <v>-8062710</v>
      </c>
      <c r="CR133" s="312">
        <f t="shared" si="368"/>
        <v>-9177092</v>
      </c>
      <c r="CS133" s="312"/>
      <c r="CT133" s="350"/>
      <c r="CU133" s="67">
        <f>'MONTHLY SUMMARIES'!D95</f>
        <v>25771422</v>
      </c>
    </row>
    <row r="134" spans="1:100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50"/>
      <c r="CU134" s="67">
        <f>GETPIVOTDATA("VALUE",'CSS ESCO pvt'!$I$3,"DATE_FILE",$CU$8,"COMPANY",$CU$6,"TRIM_CAT","Low Income Residential-GRID","TRIM_LINE",$A129)</f>
        <v>14150486</v>
      </c>
    </row>
    <row r="135" spans="1:100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50"/>
      <c r="CU135" s="81">
        <f>CU133-CU134</f>
        <v>11620936</v>
      </c>
    </row>
    <row r="136" spans="1:100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69">O136-C136</f>
        <v>-2113107.5299999937</v>
      </c>
      <c r="BJ136" s="103">
        <f t="shared" si="369"/>
        <v>-712448.8599999994</v>
      </c>
      <c r="BK136" s="103">
        <f t="shared" si="369"/>
        <v>-4413211.6099999957</v>
      </c>
      <c r="BL136" s="103">
        <f t="shared" si="369"/>
        <v>1013209.4800000004</v>
      </c>
      <c r="BM136" s="103">
        <f t="shared" si="369"/>
        <v>1704379.9499999955</v>
      </c>
      <c r="BN136" s="103">
        <f t="shared" si="369"/>
        <v>2082940.6700000018</v>
      </c>
      <c r="BO136" s="103">
        <f t="shared" si="369"/>
        <v>2461425.8200000003</v>
      </c>
      <c r="BP136" s="103">
        <f t="shared" si="369"/>
        <v>1563001.0700000003</v>
      </c>
      <c r="BQ136" s="103">
        <f t="shared" si="369"/>
        <v>8826213</v>
      </c>
      <c r="BR136" s="103">
        <f t="shared" si="369"/>
        <v>349479.38000000268</v>
      </c>
      <c r="BS136" s="103">
        <f t="shared" ref="BS136:CB138" si="370">Y136-M136</f>
        <v>-4101797.6599999964</v>
      </c>
      <c r="BT136" s="103">
        <f t="shared" si="370"/>
        <v>1573269.3699999973</v>
      </c>
      <c r="BU136" s="103">
        <f t="shared" si="370"/>
        <v>5724784.8899999931</v>
      </c>
      <c r="BV136" s="103">
        <f t="shared" si="370"/>
        <v>5623046.8500000015</v>
      </c>
      <c r="BW136" s="103">
        <f t="shared" si="370"/>
        <v>3403573.5999999978</v>
      </c>
      <c r="BX136" s="103">
        <f t="shared" si="370"/>
        <v>8902140</v>
      </c>
      <c r="BY136" s="103">
        <f t="shared" si="370"/>
        <v>12302437.020000003</v>
      </c>
      <c r="BZ136" s="103">
        <f t="shared" si="370"/>
        <v>1679112.3399999961</v>
      </c>
      <c r="CA136" s="277">
        <f t="shared" si="370"/>
        <v>6694110.6700000018</v>
      </c>
      <c r="CB136" s="277">
        <f t="shared" si="370"/>
        <v>1002632</v>
      </c>
      <c r="CC136" s="277">
        <f t="shared" ref="CC136:CL138" si="371">AI136-W136</f>
        <v>-2359527.3299999982</v>
      </c>
      <c r="CD136" s="277">
        <f t="shared" si="371"/>
        <v>10154073.969999999</v>
      </c>
      <c r="CE136" s="312">
        <f t="shared" si="371"/>
        <v>6393389</v>
      </c>
      <c r="CF136" s="312">
        <f t="shared" si="371"/>
        <v>9939039</v>
      </c>
      <c r="CG136" s="312">
        <f t="shared" si="371"/>
        <v>4578879.3400000036</v>
      </c>
      <c r="CH136" s="312">
        <f t="shared" si="371"/>
        <v>-5462.390000000596</v>
      </c>
      <c r="CI136" s="312">
        <f t="shared" si="371"/>
        <v>596367.6400000006</v>
      </c>
      <c r="CJ136" s="312">
        <f t="shared" si="371"/>
        <v>-1373950.1099999994</v>
      </c>
      <c r="CK136" s="312">
        <f t="shared" si="371"/>
        <v>-9472454</v>
      </c>
      <c r="CL136" s="312">
        <f t="shared" si="371"/>
        <v>10069625.060000002</v>
      </c>
      <c r="CM136" s="312">
        <f t="shared" ref="CM136:CR138" si="372">AS136-AG136</f>
        <v>4910560</v>
      </c>
      <c r="CN136" s="312">
        <f t="shared" si="372"/>
        <v>915</v>
      </c>
      <c r="CO136" s="312">
        <f t="shared" si="372"/>
        <v>-31991862</v>
      </c>
      <c r="CP136" s="312">
        <f t="shared" si="372"/>
        <v>-33427430</v>
      </c>
      <c r="CQ136" s="312">
        <f t="shared" si="372"/>
        <v>-33124514</v>
      </c>
      <c r="CR136" s="312">
        <f t="shared" si="372"/>
        <v>-38043557</v>
      </c>
      <c r="CS136" s="312"/>
      <c r="CT136" s="350"/>
      <c r="CU136" s="67">
        <f>'MONTHLY SUMMARIES'!D96</f>
        <v>71686336</v>
      </c>
    </row>
    <row r="137" spans="1:100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69"/>
        <v>167988.96000000089</v>
      </c>
      <c r="BJ137" s="103">
        <f t="shared" si="369"/>
        <v>-1382074.179999996</v>
      </c>
      <c r="BK137" s="103">
        <f t="shared" si="369"/>
        <v>-1259441.1400000006</v>
      </c>
      <c r="BL137" s="103">
        <f t="shared" si="369"/>
        <v>-1121726.9400000013</v>
      </c>
      <c r="BM137" s="103">
        <f t="shared" si="369"/>
        <v>9374375.5</v>
      </c>
      <c r="BN137" s="103">
        <f t="shared" si="369"/>
        <v>17513393.700000003</v>
      </c>
      <c r="BO137" s="103">
        <f t="shared" si="369"/>
        <v>7440414.1000000015</v>
      </c>
      <c r="BP137" s="103">
        <f t="shared" si="369"/>
        <v>4446557.1499999985</v>
      </c>
      <c r="BQ137" s="103">
        <f t="shared" si="369"/>
        <v>15981247.439999998</v>
      </c>
      <c r="BR137" s="103">
        <f t="shared" si="369"/>
        <v>2405643.0700000003</v>
      </c>
      <c r="BS137" s="103">
        <f t="shared" si="370"/>
        <v>-3882122</v>
      </c>
      <c r="BT137" s="103">
        <f t="shared" si="370"/>
        <v>3734873.7899999991</v>
      </c>
      <c r="BU137" s="103">
        <f t="shared" si="370"/>
        <v>3085032.2599999979</v>
      </c>
      <c r="BV137" s="103">
        <f t="shared" si="370"/>
        <v>10119125.09</v>
      </c>
      <c r="BW137" s="103">
        <f t="shared" si="370"/>
        <v>3660760.2900000028</v>
      </c>
      <c r="BX137" s="103">
        <f t="shared" si="370"/>
        <v>12032015.770000003</v>
      </c>
      <c r="BY137" s="103">
        <f t="shared" si="370"/>
        <v>-4805971.82</v>
      </c>
      <c r="BZ137" s="103">
        <f t="shared" si="370"/>
        <v>-13283927.020000003</v>
      </c>
      <c r="CA137" s="277">
        <f t="shared" si="370"/>
        <v>-1617507.4699999988</v>
      </c>
      <c r="CB137" s="277">
        <f t="shared" si="370"/>
        <v>136263</v>
      </c>
      <c r="CC137" s="277">
        <f t="shared" si="371"/>
        <v>-6308426.4699999988</v>
      </c>
      <c r="CD137" s="277">
        <f t="shared" si="371"/>
        <v>1639532.8800000027</v>
      </c>
      <c r="CE137" s="312">
        <f t="shared" si="371"/>
        <v>4970864</v>
      </c>
      <c r="CF137" s="312">
        <f t="shared" si="371"/>
        <v>6273802</v>
      </c>
      <c r="CG137" s="312">
        <f t="shared" si="371"/>
        <v>6745119.7199999988</v>
      </c>
      <c r="CH137" s="312">
        <f t="shared" si="371"/>
        <v>-1272781.6000000015</v>
      </c>
      <c r="CI137" s="312">
        <f t="shared" si="371"/>
        <v>1366282.549999997</v>
      </c>
      <c r="CJ137" s="312">
        <f t="shared" si="371"/>
        <v>-1219237.5600000024</v>
      </c>
      <c r="CK137" s="312">
        <f t="shared" si="371"/>
        <v>-1596849</v>
      </c>
      <c r="CL137" s="312">
        <f t="shared" si="371"/>
        <v>10104580.5</v>
      </c>
      <c r="CM137" s="312">
        <f t="shared" si="372"/>
        <v>11932138</v>
      </c>
      <c r="CN137" s="312">
        <f t="shared" si="372"/>
        <v>4339979</v>
      </c>
      <c r="CO137" s="312">
        <f t="shared" si="372"/>
        <v>-33321076</v>
      </c>
      <c r="CP137" s="312">
        <f t="shared" si="372"/>
        <v>-28239552</v>
      </c>
      <c r="CQ137" s="312">
        <f t="shared" si="372"/>
        <v>-34299440</v>
      </c>
      <c r="CR137" s="312">
        <f t="shared" si="372"/>
        <v>-37153389</v>
      </c>
      <c r="CS137" s="312"/>
      <c r="CT137" s="350"/>
      <c r="CU137" s="67">
        <f>'MONTHLY SUMMARIES'!D97</f>
        <v>57324687</v>
      </c>
    </row>
    <row r="138" spans="1:100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69"/>
        <v>-248804.3900000006</v>
      </c>
      <c r="BJ138" s="103">
        <f t="shared" si="369"/>
        <v>-409879.26999999583</v>
      </c>
      <c r="BK138" s="103">
        <f t="shared" si="369"/>
        <v>-1032634.8399999961</v>
      </c>
      <c r="BL138" s="103">
        <f t="shared" si="369"/>
        <v>-410933.1400000006</v>
      </c>
      <c r="BM138" s="103">
        <f t="shared" si="369"/>
        <v>816662.85000000149</v>
      </c>
      <c r="BN138" s="103">
        <f t="shared" si="369"/>
        <v>1510380.8999999985</v>
      </c>
      <c r="BO138" s="103">
        <f t="shared" si="369"/>
        <v>1661730.7800000012</v>
      </c>
      <c r="BP138" s="103">
        <f t="shared" si="369"/>
        <v>7598838.6400000006</v>
      </c>
      <c r="BQ138" s="103">
        <f t="shared" si="369"/>
        <v>13242869</v>
      </c>
      <c r="BR138" s="103">
        <f t="shared" si="369"/>
        <v>-2532710.4099999964</v>
      </c>
      <c r="BS138" s="103">
        <f t="shared" si="370"/>
        <v>-4807288.3299999982</v>
      </c>
      <c r="BT138" s="103">
        <f t="shared" si="370"/>
        <v>4220106.5099999979</v>
      </c>
      <c r="BU138" s="103">
        <f t="shared" si="370"/>
        <v>8513833.7200000063</v>
      </c>
      <c r="BV138" s="103">
        <f t="shared" si="370"/>
        <v>4742702.9899999946</v>
      </c>
      <c r="BW138" s="103">
        <f t="shared" si="370"/>
        <v>4372204.5299999937</v>
      </c>
      <c r="BX138" s="103">
        <f t="shared" si="370"/>
        <v>7640367.5700000003</v>
      </c>
      <c r="BY138" s="103">
        <f t="shared" si="370"/>
        <v>3457591.7899999991</v>
      </c>
      <c r="BZ138" s="103">
        <f t="shared" si="370"/>
        <v>1119469.9200000018</v>
      </c>
      <c r="CA138" s="277">
        <f t="shared" si="370"/>
        <v>8269410.3999999985</v>
      </c>
      <c r="CB138" s="277">
        <f t="shared" si="370"/>
        <v>-4707204</v>
      </c>
      <c r="CC138" s="277">
        <f t="shared" si="371"/>
        <v>-1724001.6000000015</v>
      </c>
      <c r="CD138" s="277">
        <f t="shared" si="371"/>
        <v>5729737.6199999973</v>
      </c>
      <c r="CE138" s="312">
        <f t="shared" si="371"/>
        <v>6113445</v>
      </c>
      <c r="CF138" s="312">
        <f t="shared" si="371"/>
        <v>7456227</v>
      </c>
      <c r="CG138" s="312">
        <f t="shared" si="371"/>
        <v>4102301.1599999964</v>
      </c>
      <c r="CH138" s="312">
        <f t="shared" si="371"/>
        <v>1134560.6700000018</v>
      </c>
      <c r="CI138" s="312">
        <f t="shared" si="371"/>
        <v>-2644407.2299999967</v>
      </c>
      <c r="CJ138" s="312">
        <f t="shared" si="371"/>
        <v>2469752.700000003</v>
      </c>
      <c r="CK138" s="312">
        <f t="shared" si="371"/>
        <v>-1323833</v>
      </c>
      <c r="CL138" s="312">
        <f t="shared" si="371"/>
        <v>13687036.869999997</v>
      </c>
      <c r="CM138" s="312">
        <f t="shared" si="372"/>
        <v>10788984</v>
      </c>
      <c r="CN138" s="312">
        <f t="shared" si="372"/>
        <v>-5604514</v>
      </c>
      <c r="CO138" s="312">
        <f t="shared" si="372"/>
        <v>-53413185</v>
      </c>
      <c r="CP138" s="312">
        <f t="shared" si="372"/>
        <v>-49124869</v>
      </c>
      <c r="CQ138" s="312">
        <f t="shared" si="372"/>
        <v>-55475781</v>
      </c>
      <c r="CR138" s="312">
        <f t="shared" si="372"/>
        <v>-57799886</v>
      </c>
      <c r="CS138" s="312"/>
      <c r="CT138" s="350"/>
      <c r="CU138" s="67">
        <f>'MONTHLY SUMMARIES'!D98</f>
        <v>76256909</v>
      </c>
    </row>
    <row r="139" spans="1:100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73">SUM(D130:D138)</f>
        <v>249238610.11000001</v>
      </c>
      <c r="E139" s="131">
        <f t="shared" si="373"/>
        <v>237427962.62</v>
      </c>
      <c r="F139" s="131">
        <f t="shared" si="373"/>
        <v>232973059.66999999</v>
      </c>
      <c r="G139" s="131">
        <f t="shared" si="373"/>
        <v>299227283.20999998</v>
      </c>
      <c r="H139" s="131">
        <f t="shared" si="373"/>
        <v>316138531.31</v>
      </c>
      <c r="I139" s="131">
        <f t="shared" si="373"/>
        <v>274331308.63999999</v>
      </c>
      <c r="J139" s="131">
        <f t="shared" si="373"/>
        <v>254028670.96999997</v>
      </c>
      <c r="K139" s="131">
        <f t="shared" si="373"/>
        <v>221340782.06999999</v>
      </c>
      <c r="L139" s="132">
        <f t="shared" si="373"/>
        <v>294220958.86000001</v>
      </c>
      <c r="M139" s="131">
        <f t="shared" si="373"/>
        <v>348997183.25999993</v>
      </c>
      <c r="N139" s="131">
        <f t="shared" si="373"/>
        <v>288980455.12</v>
      </c>
      <c r="O139" s="131">
        <f t="shared" si="373"/>
        <v>295342052.00999999</v>
      </c>
      <c r="P139" s="131">
        <f t="shared" si="373"/>
        <v>280019706.12</v>
      </c>
      <c r="Q139" s="131">
        <f t="shared" si="373"/>
        <v>256990250.72999996</v>
      </c>
      <c r="R139" s="131">
        <f t="shared" si="373"/>
        <v>267136730.27999997</v>
      </c>
      <c r="S139" s="131">
        <f t="shared" si="373"/>
        <v>351437233.95999998</v>
      </c>
      <c r="T139" s="131">
        <f t="shared" si="373"/>
        <v>383008038.34999996</v>
      </c>
      <c r="U139" s="131">
        <f t="shared" si="373"/>
        <v>313526438.31999999</v>
      </c>
      <c r="V139" s="131">
        <f t="shared" si="373"/>
        <v>273977678</v>
      </c>
      <c r="W139" s="131">
        <f>SUM(W130+W133+W136+W137+W138)</f>
        <v>313526438.31999999</v>
      </c>
      <c r="X139" s="132">
        <f t="shared" ref="X139:AA139" si="374">SUM(X130+X133+X136+X137+X138)</f>
        <v>303163727.5</v>
      </c>
      <c r="Y139" s="131">
        <f t="shared" si="374"/>
        <v>332408080</v>
      </c>
      <c r="Z139" s="131">
        <v>315534674</v>
      </c>
      <c r="AA139" s="131">
        <f t="shared" si="374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7569674.6599999983</v>
      </c>
      <c r="BJ139" s="133">
        <f t="shared" ref="BJ139:BL139" si="375">SUM(BJ130:BJ138)</f>
        <v>30781096.010000005</v>
      </c>
      <c r="BK139" s="133">
        <f t="shared" si="375"/>
        <v>19562288.110000003</v>
      </c>
      <c r="BL139" s="133">
        <f t="shared" si="375"/>
        <v>34163670.609999999</v>
      </c>
      <c r="BM139" s="133">
        <f t="shared" ref="BM139:BN139" si="376">SUM(BM130:BM138)</f>
        <v>52209950.750000007</v>
      </c>
      <c r="BN139" s="133">
        <f t="shared" si="376"/>
        <v>66869507.039999999</v>
      </c>
      <c r="BO139" s="133">
        <f t="shared" ref="BO139:BP139" si="377">SUM(BO130:BO138)</f>
        <v>39195129.68</v>
      </c>
      <c r="BP139" s="133">
        <f t="shared" si="377"/>
        <v>19949007.030000009</v>
      </c>
      <c r="BQ139" s="133">
        <f t="shared" ref="BQ139:BR139" si="378">SUM(BQ130:BQ138)</f>
        <v>92185656.25</v>
      </c>
      <c r="BR139" s="133">
        <f t="shared" si="378"/>
        <v>8942768.639999995</v>
      </c>
      <c r="BS139" s="133">
        <f t="shared" ref="BS139:BT139" si="379">SUM(BS130:BS138)</f>
        <v>-16589103.25999999</v>
      </c>
      <c r="BT139" s="133">
        <f t="shared" si="379"/>
        <v>26554218.879999992</v>
      </c>
      <c r="BU139" s="133">
        <f t="shared" ref="BU139:BV139" si="380">SUM(BU130:BU138)</f>
        <v>44573110.640000015</v>
      </c>
      <c r="BV139" s="133">
        <f t="shared" si="380"/>
        <v>15262551.279999999</v>
      </c>
      <c r="BW139" s="133">
        <f t="shared" ref="BW139:BX139" si="381">SUM(BW130:BW138)</f>
        <v>3914278.4800000023</v>
      </c>
      <c r="BX139" s="133">
        <f t="shared" si="381"/>
        <v>41489994.910000019</v>
      </c>
      <c r="BY139" s="133">
        <f t="shared" ref="BY139:BZ139" si="382">SUM(BY130:BY138)</f>
        <v>-4225468.9599999916</v>
      </c>
      <c r="BZ139" s="133">
        <f t="shared" si="382"/>
        <v>-41630214.010000005</v>
      </c>
      <c r="CA139" s="274">
        <f t="shared" ref="CA139:CB139" si="383">SUM(CA130:CA138)</f>
        <v>39376508.680000007</v>
      </c>
      <c r="CB139" s="274">
        <f t="shared" si="383"/>
        <v>531297</v>
      </c>
      <c r="CC139" s="274">
        <f t="shared" ref="CC139:CE139" si="384">SUM(CC130:CC138)</f>
        <v>-43182974.319999993</v>
      </c>
      <c r="CD139" s="274">
        <f t="shared" si="384"/>
        <v>29949319.5</v>
      </c>
      <c r="CE139" s="326">
        <f t="shared" si="384"/>
        <v>24549550</v>
      </c>
      <c r="CF139" s="326">
        <f t="shared" ref="CF139:CG139" si="385">SUM(CF130:CF138)</f>
        <v>45190585</v>
      </c>
      <c r="CG139" s="326">
        <f t="shared" si="385"/>
        <v>17934698.349999987</v>
      </c>
      <c r="CH139" s="326">
        <f t="shared" ref="CH139:CI139" si="386">SUM(CH130:CH138)</f>
        <v>-4274207.4000000004</v>
      </c>
      <c r="CI139" s="326">
        <f t="shared" si="386"/>
        <v>-3954953.2100000009</v>
      </c>
      <c r="CJ139" s="326">
        <f t="shared" ref="CJ139" si="387">SUM(CJ130:CJ138)</f>
        <v>-2908300.1900000051</v>
      </c>
      <c r="CK139" s="326">
        <f t="shared" ref="CK139" si="388">SUM(CK130:CK138)</f>
        <v>-14110705</v>
      </c>
      <c r="CL139" s="326">
        <f t="shared" ref="CL139" si="389">SUM(CL130:CL138)</f>
        <v>87886118.659999996</v>
      </c>
      <c r="CM139" s="326">
        <f t="shared" ref="CM139" si="390">SUM(CM130:CM138)</f>
        <v>27127938</v>
      </c>
      <c r="CN139" s="326">
        <f t="shared" ref="CN139" si="391">SUM(CN130:CN138)</f>
        <v>-8984411</v>
      </c>
      <c r="CO139" s="326">
        <f t="shared" ref="CO139" si="392">SUM(CO130:CO138)</f>
        <v>-248367537</v>
      </c>
      <c r="CP139" s="366">
        <f t="shared" ref="CP139" si="393">SUM(CP130:CP138)</f>
        <v>-237670768</v>
      </c>
      <c r="CQ139" s="366">
        <f t="shared" ref="CQ139:CS139" si="394">SUM(CQ130:CQ138)</f>
        <v>-276946851</v>
      </c>
      <c r="CR139" s="366">
        <f t="shared" ref="CR139" si="395">SUM(CR130:CR138)</f>
        <v>-289045421</v>
      </c>
      <c r="CS139" s="366"/>
      <c r="CT139" s="351"/>
      <c r="CU139" s="263">
        <f>CU130+CU133+CU136+CU137+CU138</f>
        <v>455286661</v>
      </c>
    </row>
    <row r="140" spans="1:100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50"/>
      <c r="CU140" s="98"/>
    </row>
    <row r="141" spans="1:100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396">O141-C141</f>
        <v>7304785.5700000226</v>
      </c>
      <c r="BJ141" s="103">
        <f t="shared" si="396"/>
        <v>-1262985.200000003</v>
      </c>
      <c r="BK141" s="103">
        <f t="shared" si="396"/>
        <v>13392070.049999997</v>
      </c>
      <c r="BL141" s="103">
        <f t="shared" si="396"/>
        <v>25582131.879999995</v>
      </c>
      <c r="BM141" s="103">
        <f t="shared" si="396"/>
        <v>27742059.420000002</v>
      </c>
      <c r="BN141" s="103">
        <f t="shared" si="396"/>
        <v>20904673.159999996</v>
      </c>
      <c r="BO141" s="103">
        <f t="shared" si="396"/>
        <v>20936462.359999985</v>
      </c>
      <c r="BP141" s="103">
        <f t="shared" si="396"/>
        <v>5924119.7699999958</v>
      </c>
      <c r="BQ141" s="103">
        <f t="shared" si="396"/>
        <v>68649265.899999991</v>
      </c>
      <c r="BR141" s="103">
        <f t="shared" si="396"/>
        <v>-3263615.4299999923</v>
      </c>
      <c r="BS141" s="103">
        <f t="shared" ref="BS141:CB145" si="397">Y141-M141</f>
        <v>-8262563.8300000131</v>
      </c>
      <c r="BT141" s="103">
        <f t="shared" si="397"/>
        <v>463288.13999998569</v>
      </c>
      <c r="BU141" s="103">
        <f t="shared" si="397"/>
        <v>32768399</v>
      </c>
      <c r="BV141" s="103">
        <f t="shared" si="397"/>
        <v>7767552.9599999934</v>
      </c>
      <c r="BW141" s="103">
        <f t="shared" si="397"/>
        <v>-714601.44999998808</v>
      </c>
      <c r="BX141" s="103">
        <f t="shared" si="397"/>
        <v>4935708.2800000012</v>
      </c>
      <c r="BY141" s="103">
        <f t="shared" si="397"/>
        <v>7615665.9699999988</v>
      </c>
      <c r="BZ141" s="103">
        <f t="shared" si="397"/>
        <v>-4685552</v>
      </c>
      <c r="CA141" s="277">
        <f t="shared" si="397"/>
        <v>3207778.5800000131</v>
      </c>
      <c r="CB141" s="277">
        <f t="shared" si="397"/>
        <v>17970381</v>
      </c>
      <c r="CC141" s="277">
        <f t="shared" ref="CC141:CL145" si="398">AI141-W141</f>
        <v>-38037970.419999987</v>
      </c>
      <c r="CD141" s="277">
        <f t="shared" si="398"/>
        <v>4744752.1299999952</v>
      </c>
      <c r="CE141" s="312">
        <f t="shared" si="398"/>
        <v>18145733</v>
      </c>
      <c r="CF141" s="312">
        <f t="shared" si="398"/>
        <v>27873387</v>
      </c>
      <c r="CG141" s="312">
        <f t="shared" si="398"/>
        <v>9698751.0099999905</v>
      </c>
      <c r="CH141" s="312">
        <f t="shared" si="398"/>
        <v>8176891.0800000131</v>
      </c>
      <c r="CI141" s="312">
        <f t="shared" si="398"/>
        <v>-3250375.6800000072</v>
      </c>
      <c r="CJ141" s="312">
        <f t="shared" si="398"/>
        <v>3027454.8100000024</v>
      </c>
      <c r="CK141" s="312">
        <f t="shared" si="398"/>
        <v>-12789261</v>
      </c>
      <c r="CL141" s="312">
        <f t="shared" si="398"/>
        <v>24132001.819999993</v>
      </c>
      <c r="CM141" s="312">
        <f t="shared" ref="CM141:CR145" si="399">AS141-AG141</f>
        <v>22108683</v>
      </c>
      <c r="CN141" s="312">
        <f t="shared" si="399"/>
        <v>-1650397</v>
      </c>
      <c r="CO141" s="312">
        <f t="shared" si="399"/>
        <v>-117315596</v>
      </c>
      <c r="CP141" s="312">
        <f t="shared" si="399"/>
        <v>-82670127</v>
      </c>
      <c r="CQ141" s="312">
        <f t="shared" si="399"/>
        <v>-131471901</v>
      </c>
      <c r="CR141" s="312">
        <f t="shared" si="399"/>
        <v>-143286183</v>
      </c>
      <c r="CS141" s="312"/>
      <c r="CT141" s="350"/>
      <c r="CU141" s="67">
        <f>'MONTHLY SUMMARIES'!D101</f>
        <v>213809127</v>
      </c>
    </row>
    <row r="142" spans="1:100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396"/>
        <v>-499191.16000000015</v>
      </c>
      <c r="BJ142" s="103">
        <f t="shared" si="396"/>
        <v>-587514.72999999858</v>
      </c>
      <c r="BK142" s="103">
        <f t="shared" si="396"/>
        <v>-166836.13000000082</v>
      </c>
      <c r="BL142" s="103">
        <f t="shared" si="396"/>
        <v>1262237.4900000002</v>
      </c>
      <c r="BM142" s="103">
        <f t="shared" si="396"/>
        <v>2090069.8000000007</v>
      </c>
      <c r="BN142" s="103">
        <f t="shared" si="396"/>
        <v>2860348.2899999991</v>
      </c>
      <c r="BO142" s="103">
        <f t="shared" si="396"/>
        <v>1684739.2199999988</v>
      </c>
      <c r="BP142" s="103">
        <f t="shared" si="396"/>
        <v>-1392048</v>
      </c>
      <c r="BQ142" s="103">
        <f t="shared" si="396"/>
        <v>4495883.3399999989</v>
      </c>
      <c r="BR142" s="103">
        <f t="shared" si="396"/>
        <v>-150314.83000000007</v>
      </c>
      <c r="BS142" s="103">
        <f t="shared" si="397"/>
        <v>-491769.16999999993</v>
      </c>
      <c r="BT142" s="103">
        <f t="shared" si="397"/>
        <v>128863.21000000089</v>
      </c>
      <c r="BU142" s="103">
        <f t="shared" si="397"/>
        <v>3829548.83</v>
      </c>
      <c r="BV142" s="103">
        <f t="shared" si="397"/>
        <v>1339312.5499999989</v>
      </c>
      <c r="BW142" s="103">
        <f t="shared" si="397"/>
        <v>773816.12000000104</v>
      </c>
      <c r="BX142" s="103">
        <f t="shared" si="397"/>
        <v>1301847.9000000004</v>
      </c>
      <c r="BY142" s="103">
        <f t="shared" si="397"/>
        <v>1494475.4100000001</v>
      </c>
      <c r="BZ142" s="103">
        <f t="shared" si="397"/>
        <v>1500720.75</v>
      </c>
      <c r="CA142" s="277">
        <f t="shared" si="397"/>
        <v>1286635.7100000009</v>
      </c>
      <c r="CB142" s="277">
        <f t="shared" si="397"/>
        <v>1724966</v>
      </c>
      <c r="CC142" s="277">
        <f t="shared" si="398"/>
        <v>21123147.710000001</v>
      </c>
      <c r="CD142" s="277">
        <f t="shared" si="398"/>
        <v>2259725.5299999993</v>
      </c>
      <c r="CE142" s="312">
        <f t="shared" si="398"/>
        <v>422833</v>
      </c>
      <c r="CF142" s="312">
        <f t="shared" si="398"/>
        <v>-1955384</v>
      </c>
      <c r="CG142" s="312">
        <f t="shared" si="398"/>
        <v>-3381172.08</v>
      </c>
      <c r="CH142" s="312">
        <f t="shared" si="398"/>
        <v>-1112353.2699999996</v>
      </c>
      <c r="CI142" s="312">
        <f t="shared" si="398"/>
        <v>-477254.99000000022</v>
      </c>
      <c r="CJ142" s="312">
        <f t="shared" si="398"/>
        <v>-49923.220000000671</v>
      </c>
      <c r="CK142" s="312">
        <f t="shared" si="398"/>
        <v>-2788948</v>
      </c>
      <c r="CL142" s="312">
        <f t="shared" si="398"/>
        <v>4187966</v>
      </c>
      <c r="CM142" s="312">
        <f t="shared" si="399"/>
        <v>1597928</v>
      </c>
      <c r="CN142" s="312">
        <f t="shared" si="399"/>
        <v>2222397</v>
      </c>
      <c r="CO142" s="312">
        <f t="shared" si="399"/>
        <v>-32615049</v>
      </c>
      <c r="CP142" s="312">
        <f t="shared" si="399"/>
        <v>-7672915</v>
      </c>
      <c r="CQ142" s="312">
        <f t="shared" si="399"/>
        <v>-8995356</v>
      </c>
      <c r="CR142" s="312">
        <f t="shared" si="399"/>
        <v>-6574326</v>
      </c>
      <c r="CS142" s="312"/>
      <c r="CT142" s="350"/>
      <c r="CU142" s="67">
        <f>'MONTHLY SUMMARIES'!D102</f>
        <v>18066402</v>
      </c>
    </row>
    <row r="143" spans="1:100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396"/>
        <v>1197728.7800000012</v>
      </c>
      <c r="BJ143" s="103">
        <f t="shared" si="396"/>
        <v>-6202359.7100000009</v>
      </c>
      <c r="BK143" s="103">
        <f t="shared" si="396"/>
        <v>-5425646.6399999969</v>
      </c>
      <c r="BL143" s="103">
        <f t="shared" si="396"/>
        <v>1096287.9699999988</v>
      </c>
      <c r="BM143" s="103">
        <f t="shared" si="396"/>
        <v>806036.84999999776</v>
      </c>
      <c r="BN143" s="103">
        <f t="shared" si="396"/>
        <v>-1838885.3999999985</v>
      </c>
      <c r="BO143" s="103">
        <f t="shared" si="396"/>
        <v>2037770.200000003</v>
      </c>
      <c r="BP143" s="103">
        <f t="shared" si="396"/>
        <v>-2765822.7800000012</v>
      </c>
      <c r="BQ143" s="103">
        <f t="shared" si="396"/>
        <v>11195097.379999999</v>
      </c>
      <c r="BR143" s="103">
        <f t="shared" si="396"/>
        <v>-2402695.9400000013</v>
      </c>
      <c r="BS143" s="103">
        <f t="shared" si="397"/>
        <v>-7716743.5300000012</v>
      </c>
      <c r="BT143" s="103">
        <f t="shared" si="397"/>
        <v>-1718666.7100000009</v>
      </c>
      <c r="BU143" s="103">
        <f t="shared" si="397"/>
        <v>7156396.6699999943</v>
      </c>
      <c r="BV143" s="103">
        <f t="shared" si="397"/>
        <v>6360925.700000003</v>
      </c>
      <c r="BW143" s="103">
        <f t="shared" si="397"/>
        <v>2093102.1099999957</v>
      </c>
      <c r="BX143" s="103">
        <f t="shared" si="397"/>
        <v>3301272.620000001</v>
      </c>
      <c r="BY143" s="103">
        <f t="shared" si="397"/>
        <v>3255514.870000001</v>
      </c>
      <c r="BZ143" s="103">
        <f t="shared" si="397"/>
        <v>6316232.4600000009</v>
      </c>
      <c r="CA143" s="277">
        <f t="shared" si="397"/>
        <v>1577893.3900000006</v>
      </c>
      <c r="CB143" s="277">
        <f t="shared" si="397"/>
        <v>4191111</v>
      </c>
      <c r="CC143" s="277">
        <f t="shared" si="398"/>
        <v>-2398520.6099999994</v>
      </c>
      <c r="CD143" s="277">
        <f t="shared" si="398"/>
        <v>4847777.6900000013</v>
      </c>
      <c r="CE143" s="312">
        <f t="shared" si="398"/>
        <v>5624961</v>
      </c>
      <c r="CF143" s="312">
        <f t="shared" si="398"/>
        <v>10120820</v>
      </c>
      <c r="CG143" s="312">
        <f t="shared" si="398"/>
        <v>4940638.5600000024</v>
      </c>
      <c r="CH143" s="312">
        <f t="shared" si="398"/>
        <v>5186703.3299999982</v>
      </c>
      <c r="CI143" s="312">
        <f t="shared" si="398"/>
        <v>2195101.950000003</v>
      </c>
      <c r="CJ143" s="312">
        <f t="shared" si="398"/>
        <v>3515060.3900000006</v>
      </c>
      <c r="CK143" s="312">
        <f t="shared" si="398"/>
        <v>727604</v>
      </c>
      <c r="CL143" s="312">
        <f t="shared" si="398"/>
        <v>4432755.5099999979</v>
      </c>
      <c r="CM143" s="312">
        <f t="shared" si="399"/>
        <v>5321589</v>
      </c>
      <c r="CN143" s="312">
        <f t="shared" si="399"/>
        <v>4290992</v>
      </c>
      <c r="CO143" s="312">
        <f t="shared" si="399"/>
        <v>-30743257</v>
      </c>
      <c r="CP143" s="312">
        <f t="shared" si="399"/>
        <v>-22235279</v>
      </c>
      <c r="CQ143" s="312">
        <f t="shared" si="399"/>
        <v>-29312265</v>
      </c>
      <c r="CR143" s="312">
        <f t="shared" si="399"/>
        <v>-35995846</v>
      </c>
      <c r="CS143" s="312"/>
      <c r="CT143" s="350"/>
      <c r="CU143" s="67">
        <f>'MONTHLY SUMMARIES'!D103</f>
        <v>58648829</v>
      </c>
    </row>
    <row r="144" spans="1:100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396"/>
        <v>1632392.3899999969</v>
      </c>
      <c r="BJ144" s="103">
        <f t="shared" si="396"/>
        <v>-7127008.6100000031</v>
      </c>
      <c r="BK144" s="103">
        <f t="shared" si="396"/>
        <v>-4745543.0999999978</v>
      </c>
      <c r="BL144" s="103">
        <f t="shared" si="396"/>
        <v>1496247.5</v>
      </c>
      <c r="BM144" s="103">
        <f t="shared" si="396"/>
        <v>-326733.84999999776</v>
      </c>
      <c r="BN144" s="103">
        <f t="shared" si="396"/>
        <v>-1270925.7700000033</v>
      </c>
      <c r="BO144" s="103">
        <f t="shared" si="396"/>
        <v>3918794.1699999981</v>
      </c>
      <c r="BP144" s="103">
        <f t="shared" si="396"/>
        <v>-2840902.5</v>
      </c>
      <c r="BQ144" s="103">
        <f t="shared" si="396"/>
        <v>11489698.989999998</v>
      </c>
      <c r="BR144" s="103">
        <f t="shared" si="396"/>
        <v>-1750365.0899999999</v>
      </c>
      <c r="BS144" s="103">
        <f t="shared" si="397"/>
        <v>-8318348.299999997</v>
      </c>
      <c r="BT144" s="103">
        <f t="shared" si="397"/>
        <v>-2180495.5700000003</v>
      </c>
      <c r="BU144" s="103">
        <f t="shared" si="397"/>
        <v>6262546.2100000009</v>
      </c>
      <c r="BV144" s="103">
        <f t="shared" si="397"/>
        <v>6552398.4800000004</v>
      </c>
      <c r="BW144" s="103">
        <f t="shared" si="397"/>
        <v>2560607.1400000006</v>
      </c>
      <c r="BX144" s="103">
        <f t="shared" si="397"/>
        <v>3134861.16</v>
      </c>
      <c r="BY144" s="103">
        <f t="shared" si="397"/>
        <v>2866399.3999999985</v>
      </c>
      <c r="BZ144" s="103">
        <f t="shared" si="397"/>
        <v>7097034.3500000015</v>
      </c>
      <c r="CA144" s="277">
        <f t="shared" si="397"/>
        <v>-1146064.799999997</v>
      </c>
      <c r="CB144" s="277">
        <f t="shared" si="397"/>
        <v>-3553</v>
      </c>
      <c r="CC144" s="277">
        <f t="shared" si="398"/>
        <v>-2591381.799999997</v>
      </c>
      <c r="CD144" s="277">
        <f t="shared" si="398"/>
        <v>4608285.3900000006</v>
      </c>
      <c r="CE144" s="312">
        <f t="shared" si="398"/>
        <v>4138702</v>
      </c>
      <c r="CF144" s="312">
        <f t="shared" si="398"/>
        <v>9066107</v>
      </c>
      <c r="CG144" s="312">
        <f t="shared" si="398"/>
        <v>3458459.1700000018</v>
      </c>
      <c r="CH144" s="312">
        <f t="shared" si="398"/>
        <v>3736556.2100000009</v>
      </c>
      <c r="CI144" s="312">
        <f t="shared" si="398"/>
        <v>-379458.30000000075</v>
      </c>
      <c r="CJ144" s="312">
        <f t="shared" si="398"/>
        <v>459396.01000000164</v>
      </c>
      <c r="CK144" s="312">
        <f t="shared" si="398"/>
        <v>-752331</v>
      </c>
      <c r="CL144" s="312">
        <f t="shared" si="398"/>
        <v>-290826.78000000119</v>
      </c>
      <c r="CM144" s="312">
        <f t="shared" si="399"/>
        <v>4944899</v>
      </c>
      <c r="CN144" s="312">
        <f t="shared" si="399"/>
        <v>9714841</v>
      </c>
      <c r="CO144" s="312">
        <f t="shared" si="399"/>
        <v>-29182050</v>
      </c>
      <c r="CP144" s="312">
        <f t="shared" si="399"/>
        <v>-22759475</v>
      </c>
      <c r="CQ144" s="312">
        <f t="shared" si="399"/>
        <v>-25709041</v>
      </c>
      <c r="CR144" s="312">
        <f t="shared" si="399"/>
        <v>-32701486</v>
      </c>
      <c r="CS144" s="312"/>
      <c r="CT144" s="350"/>
      <c r="CU144" s="67">
        <f>'MONTHLY SUMMARIES'!D104</f>
        <v>46325350</v>
      </c>
    </row>
    <row r="145" spans="1:100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396"/>
        <v>5023590.4599999934</v>
      </c>
      <c r="BJ145" s="103">
        <f t="shared" si="396"/>
        <v>-6095494.2100000009</v>
      </c>
      <c r="BK145" s="103">
        <f t="shared" si="396"/>
        <v>-8731059.7600000054</v>
      </c>
      <c r="BL145" s="103">
        <f t="shared" si="396"/>
        <v>2501587.3999999985</v>
      </c>
      <c r="BM145" s="103">
        <f t="shared" si="396"/>
        <v>528410.71000000089</v>
      </c>
      <c r="BN145" s="103">
        <f t="shared" si="396"/>
        <v>-1452428.4600000009</v>
      </c>
      <c r="BO145" s="103">
        <f t="shared" si="396"/>
        <v>5185155.2400000021</v>
      </c>
      <c r="BP145" s="103">
        <f t="shared" si="396"/>
        <v>-5965713.8599999994</v>
      </c>
      <c r="BQ145" s="103">
        <f t="shared" si="396"/>
        <v>13617807.550000004</v>
      </c>
      <c r="BR145" s="103">
        <f t="shared" si="396"/>
        <v>131513.78999999911</v>
      </c>
      <c r="BS145" s="103">
        <f t="shared" si="397"/>
        <v>-10449932.829999998</v>
      </c>
      <c r="BT145" s="103">
        <f t="shared" si="397"/>
        <v>-852772.8900000006</v>
      </c>
      <c r="BU145" s="103">
        <f t="shared" si="397"/>
        <v>11725130.440000005</v>
      </c>
      <c r="BV145" s="103">
        <f t="shared" si="397"/>
        <v>9700391.9299999997</v>
      </c>
      <c r="BW145" s="103">
        <f t="shared" si="397"/>
        <v>4041155.5100000054</v>
      </c>
      <c r="BX145" s="103">
        <f t="shared" si="397"/>
        <v>5895815.1799999997</v>
      </c>
      <c r="BY145" s="103">
        <f t="shared" si="397"/>
        <v>-386110.42000000179</v>
      </c>
      <c r="BZ145" s="103">
        <f t="shared" si="397"/>
        <v>9504834.7700000033</v>
      </c>
      <c r="CA145" s="277">
        <f t="shared" si="397"/>
        <v>-1776503.2100000009</v>
      </c>
      <c r="CB145" s="277">
        <f t="shared" si="397"/>
        <v>-1938225</v>
      </c>
      <c r="CC145" s="277">
        <f t="shared" si="398"/>
        <v>2514883.7899999991</v>
      </c>
      <c r="CD145" s="277">
        <f t="shared" si="398"/>
        <v>4656869.4399999976</v>
      </c>
      <c r="CE145" s="312">
        <f t="shared" si="398"/>
        <v>3433726</v>
      </c>
      <c r="CF145" s="312">
        <f t="shared" si="398"/>
        <v>11381019</v>
      </c>
      <c r="CG145" s="312">
        <f t="shared" si="398"/>
        <v>1452014.3999999985</v>
      </c>
      <c r="CH145" s="312">
        <f t="shared" si="398"/>
        <v>5891189.9200000018</v>
      </c>
      <c r="CI145" s="312">
        <f t="shared" si="398"/>
        <v>-609175.45000000298</v>
      </c>
      <c r="CJ145" s="312">
        <f t="shared" si="398"/>
        <v>153250.32999999821</v>
      </c>
      <c r="CK145" s="312">
        <f t="shared" si="398"/>
        <v>-601852</v>
      </c>
      <c r="CL145" s="312">
        <f t="shared" si="398"/>
        <v>895966.61999999732</v>
      </c>
      <c r="CM145" s="312">
        <f t="shared" si="399"/>
        <v>1484318</v>
      </c>
      <c r="CN145" s="312">
        <f t="shared" si="399"/>
        <v>16642471</v>
      </c>
      <c r="CO145" s="312">
        <f t="shared" si="399"/>
        <v>-54243256</v>
      </c>
      <c r="CP145" s="312">
        <f t="shared" si="399"/>
        <v>-38843618</v>
      </c>
      <c r="CQ145" s="312">
        <f t="shared" si="399"/>
        <v>-41518605</v>
      </c>
      <c r="CR145" s="312">
        <f t="shared" si="399"/>
        <v>-52169708</v>
      </c>
      <c r="CS145" s="312"/>
      <c r="CT145" s="350"/>
      <c r="CU145" s="67">
        <f>'MONTHLY SUMMARIES'!D105</f>
        <v>68510376</v>
      </c>
    </row>
    <row r="146" spans="1:100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00">SUM(D141:D145)</f>
        <v>256548632.56999999</v>
      </c>
      <c r="E146" s="136">
        <f t="shared" si="400"/>
        <v>257575399.62</v>
      </c>
      <c r="F146" s="137">
        <f t="shared" si="400"/>
        <v>202823383.29999998</v>
      </c>
      <c r="G146" s="136">
        <f t="shared" si="400"/>
        <v>249230008.84</v>
      </c>
      <c r="H146" s="136">
        <f t="shared" si="400"/>
        <v>292352661.68000001</v>
      </c>
      <c r="I146" s="136">
        <f t="shared" si="400"/>
        <v>277454446.13999999</v>
      </c>
      <c r="J146" s="136">
        <f t="shared" si="400"/>
        <v>264414814.37</v>
      </c>
      <c r="K146" s="136">
        <f t="shared" si="400"/>
        <v>201769614.16999999</v>
      </c>
      <c r="L146" s="138">
        <f t="shared" si="400"/>
        <v>246194002.31999999</v>
      </c>
      <c r="M146" s="136">
        <f t="shared" si="400"/>
        <v>293775176.65999997</v>
      </c>
      <c r="N146" s="136">
        <f t="shared" si="400"/>
        <v>271248573.81999999</v>
      </c>
      <c r="O146" s="136">
        <f t="shared" si="400"/>
        <v>278475579.79000002</v>
      </c>
      <c r="P146" s="136">
        <f t="shared" si="400"/>
        <v>235273270.11000001</v>
      </c>
      <c r="Q146" s="136">
        <f t="shared" si="400"/>
        <v>251898384.03999999</v>
      </c>
      <c r="R146" s="136">
        <f t="shared" si="400"/>
        <v>234761875.54000002</v>
      </c>
      <c r="S146" s="136">
        <f t="shared" si="400"/>
        <v>280069851.76999998</v>
      </c>
      <c r="T146" s="136">
        <f t="shared" si="400"/>
        <v>311555443.5</v>
      </c>
      <c r="U146" s="136">
        <f t="shared" si="400"/>
        <v>311217367.32999998</v>
      </c>
      <c r="V146" s="136">
        <f t="shared" si="400"/>
        <v>257374447</v>
      </c>
      <c r="W146" s="136">
        <f t="shared" si="400"/>
        <v>311217367.32999998</v>
      </c>
      <c r="X146" s="138">
        <f t="shared" si="400"/>
        <v>238758524.81999999</v>
      </c>
      <c r="Y146" s="136">
        <v>258535819</v>
      </c>
      <c r="Z146" s="242">
        <v>267088790</v>
      </c>
      <c r="AA146" s="136">
        <f t="shared" ref="AA146" si="401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47"/>
        <v>14659306.040000014</v>
      </c>
      <c r="BJ146" s="139">
        <f t="shared" ref="BJ146:BL146" si="402">SUM(BJ141:BJ145)</f>
        <v>-21275362.460000008</v>
      </c>
      <c r="BK146" s="139">
        <f t="shared" si="402"/>
        <v>-5677015.5800000038</v>
      </c>
      <c r="BL146" s="139">
        <f t="shared" si="402"/>
        <v>31938492.239999995</v>
      </c>
      <c r="BM146" s="139">
        <f t="shared" ref="BM146:BN146" si="403">SUM(BM141:BM145)</f>
        <v>30839842.930000003</v>
      </c>
      <c r="BN146" s="139">
        <f t="shared" si="403"/>
        <v>19202781.819999993</v>
      </c>
      <c r="BO146" s="139">
        <f t="shared" ref="BO146:BP146" si="404">SUM(BO141:BO145)</f>
        <v>33762921.189999983</v>
      </c>
      <c r="BP146" s="139">
        <f t="shared" si="404"/>
        <v>-7040367.3700000048</v>
      </c>
      <c r="BQ146" s="139">
        <f t="shared" ref="BQ146:BR146" si="405">SUM(BQ141:BQ145)</f>
        <v>109447753.16</v>
      </c>
      <c r="BR146" s="139">
        <f t="shared" si="405"/>
        <v>-7435477.4999999944</v>
      </c>
      <c r="BS146" s="139">
        <f t="shared" ref="BS146:BT146" si="406">SUM(BS141:BS145)</f>
        <v>-35239357.660000011</v>
      </c>
      <c r="BT146" s="139">
        <f t="shared" si="406"/>
        <v>-4159783.8200000152</v>
      </c>
      <c r="BU146" s="139">
        <f t="shared" ref="BU146:BV146" si="407">SUM(BU141:BU145)</f>
        <v>61742021.149999999</v>
      </c>
      <c r="BV146" s="139">
        <f t="shared" si="407"/>
        <v>31720581.619999997</v>
      </c>
      <c r="BW146" s="139">
        <f t="shared" ref="BW146:BX146" si="408">SUM(BW141:BW145)</f>
        <v>8754079.4300000146</v>
      </c>
      <c r="BX146" s="139">
        <f t="shared" si="408"/>
        <v>18569505.140000001</v>
      </c>
      <c r="BY146" s="139">
        <f t="shared" ref="BY146:BZ146" si="409">SUM(BY141:BY145)</f>
        <v>14845945.229999997</v>
      </c>
      <c r="BZ146" s="139">
        <f t="shared" si="409"/>
        <v>19733270.330000006</v>
      </c>
      <c r="CA146" s="278">
        <f t="shared" ref="CA146:CB146" si="410">SUM(CA141:CA145)</f>
        <v>3149739.6700000167</v>
      </c>
      <c r="CB146" s="278">
        <f t="shared" si="410"/>
        <v>21944680</v>
      </c>
      <c r="CC146" s="278">
        <f t="shared" ref="CC146:CE146" si="411">SUM(CC141:CC145)</f>
        <v>-19389841.329999983</v>
      </c>
      <c r="CD146" s="278">
        <f t="shared" si="411"/>
        <v>21117410.179999992</v>
      </c>
      <c r="CE146" s="313">
        <f t="shared" si="411"/>
        <v>31765955</v>
      </c>
      <c r="CF146" s="313">
        <f t="shared" ref="CF146:CG146" si="412">SUM(CF141:CF145)</f>
        <v>56485949</v>
      </c>
      <c r="CG146" s="313">
        <f t="shared" si="412"/>
        <v>16168691.059999993</v>
      </c>
      <c r="CH146" s="313">
        <f t="shared" ref="CH146:CI146" si="413">SUM(CH141:CH145)</f>
        <v>21878987.270000014</v>
      </c>
      <c r="CI146" s="313">
        <f t="shared" si="413"/>
        <v>-2521162.4700000081</v>
      </c>
      <c r="CJ146" s="313">
        <f t="shared" ref="CJ146" si="414">SUM(CJ141:CJ145)</f>
        <v>7105238.3200000022</v>
      </c>
      <c r="CK146" s="313">
        <f t="shared" ref="CK146" si="415">SUM(CK141:CK145)</f>
        <v>-16204788</v>
      </c>
      <c r="CL146" s="313">
        <f t="shared" ref="CL146" si="416">SUM(CL141:CL145)</f>
        <v>33357863.169999987</v>
      </c>
      <c r="CM146" s="313">
        <f t="shared" ref="CM146" si="417">SUM(CM141:CM145)</f>
        <v>35457417</v>
      </c>
      <c r="CN146" s="313">
        <f t="shared" ref="CN146" si="418">SUM(CN141:CN145)</f>
        <v>31220304</v>
      </c>
      <c r="CO146" s="313">
        <f t="shared" ref="CO146" si="419">SUM(CO141:CO145)</f>
        <v>-264099208</v>
      </c>
      <c r="CP146" s="313">
        <f t="shared" ref="CP146" si="420">SUM(CP141:CP145)</f>
        <v>-174181414</v>
      </c>
      <c r="CQ146" s="313">
        <f t="shared" ref="CQ146:CS146" si="421">SUM(CQ141:CQ145)</f>
        <v>-237007168</v>
      </c>
      <c r="CR146" s="313">
        <f t="shared" ref="CR146" si="422">SUM(CR141:CR145)</f>
        <v>-270727549</v>
      </c>
      <c r="CS146" s="313"/>
      <c r="CT146" s="351"/>
      <c r="CU146" s="47">
        <f t="shared" si="366"/>
        <v>405360084</v>
      </c>
      <c r="CV146" s="40"/>
    </row>
    <row r="147" spans="1:10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48"/>
      <c r="CU147" s="93"/>
      <c r="CV147" s="40"/>
    </row>
    <row r="148" spans="1:100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23">O148-C148</f>
        <v>128071</v>
      </c>
      <c r="BJ148" s="108">
        <f t="shared" si="423"/>
        <v>29081</v>
      </c>
      <c r="BK148" s="108">
        <f t="shared" si="423"/>
        <v>32426</v>
      </c>
      <c r="BL148" s="108">
        <f t="shared" si="423"/>
        <v>153993</v>
      </c>
      <c r="BM148" s="108">
        <f t="shared" si="423"/>
        <v>30679</v>
      </c>
      <c r="BN148" s="108">
        <f t="shared" si="423"/>
        <v>20337</v>
      </c>
      <c r="BO148" s="108">
        <f t="shared" si="423"/>
        <v>48979</v>
      </c>
      <c r="BP148" s="108">
        <f t="shared" si="423"/>
        <v>-29498</v>
      </c>
      <c r="BQ148" s="108">
        <f t="shared" si="423"/>
        <v>76265</v>
      </c>
      <c r="BR148" s="108">
        <f t="shared" si="423"/>
        <v>-50902</v>
      </c>
      <c r="BS148" s="108">
        <f t="shared" ref="BS148:CB152" si="424">Y148-M148</f>
        <v>-97784</v>
      </c>
      <c r="BT148" s="108">
        <f t="shared" si="424"/>
        <v>-37234</v>
      </c>
      <c r="BU148" s="108">
        <f t="shared" si="424"/>
        <v>68559</v>
      </c>
      <c r="BV148" s="108">
        <f t="shared" si="424"/>
        <v>-2191</v>
      </c>
      <c r="BW148" s="108">
        <f t="shared" si="424"/>
        <v>-17348</v>
      </c>
      <c r="BX148" s="108">
        <f t="shared" si="424"/>
        <v>22681</v>
      </c>
      <c r="BY148" s="108">
        <f t="shared" si="424"/>
        <v>-6263</v>
      </c>
      <c r="BZ148" s="108">
        <f t="shared" si="424"/>
        <v>41278</v>
      </c>
      <c r="CA148" s="279">
        <f t="shared" si="424"/>
        <v>3020</v>
      </c>
      <c r="CB148" s="279">
        <f t="shared" si="424"/>
        <v>-11008</v>
      </c>
      <c r="CC148" s="279">
        <f t="shared" ref="CC148:CL152" si="425">AI148-W148</f>
        <v>54973</v>
      </c>
      <c r="CD148" s="279">
        <f t="shared" si="425"/>
        <v>-2434</v>
      </c>
      <c r="CE148" s="309">
        <f t="shared" si="425"/>
        <v>97823</v>
      </c>
      <c r="CF148" s="309">
        <f t="shared" si="425"/>
        <v>90106</v>
      </c>
      <c r="CG148" s="309">
        <f t="shared" si="425"/>
        <v>20828</v>
      </c>
      <c r="CH148" s="309">
        <f t="shared" si="425"/>
        <v>21675</v>
      </c>
      <c r="CI148" s="309">
        <f t="shared" si="425"/>
        <v>-2820</v>
      </c>
      <c r="CJ148" s="309">
        <f t="shared" si="425"/>
        <v>-1666</v>
      </c>
      <c r="CK148" s="309">
        <f t="shared" si="425"/>
        <v>-12568</v>
      </c>
      <c r="CL148" s="309">
        <f t="shared" si="425"/>
        <v>53490</v>
      </c>
      <c r="CM148" s="309">
        <f t="shared" ref="CM148:CR152" si="426">AS148-AG148</f>
        <v>15214</v>
      </c>
      <c r="CN148" s="309">
        <f t="shared" si="426"/>
        <v>-17249</v>
      </c>
      <c r="CO148" s="309">
        <f t="shared" si="426"/>
        <v>-916986</v>
      </c>
      <c r="CP148" s="309">
        <f t="shared" si="426"/>
        <v>-714949</v>
      </c>
      <c r="CQ148" s="309">
        <f t="shared" si="426"/>
        <v>-863280</v>
      </c>
      <c r="CR148" s="309">
        <f t="shared" si="426"/>
        <v>-840591</v>
      </c>
      <c r="CS148" s="309"/>
      <c r="CT148" s="348"/>
      <c r="CU148" s="67">
        <f>'MONTHLY SUMMARIES'!D108</f>
        <v>1037385</v>
      </c>
      <c r="CV148" s="40"/>
    </row>
    <row r="149" spans="1:100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23"/>
        <v>10272</v>
      </c>
      <c r="BJ149" s="108">
        <f t="shared" si="423"/>
        <v>4643</v>
      </c>
      <c r="BK149" s="108">
        <f t="shared" si="423"/>
        <v>3429</v>
      </c>
      <c r="BL149" s="108">
        <f t="shared" si="423"/>
        <v>15652</v>
      </c>
      <c r="BM149" s="108">
        <f t="shared" si="423"/>
        <v>11156</v>
      </c>
      <c r="BN149" s="108">
        <f t="shared" si="423"/>
        <v>23402</v>
      </c>
      <c r="BO149" s="108">
        <f t="shared" si="423"/>
        <v>20527</v>
      </c>
      <c r="BP149" s="108">
        <f t="shared" si="423"/>
        <v>-1559</v>
      </c>
      <c r="BQ149" s="108">
        <f t="shared" si="423"/>
        <v>27891</v>
      </c>
      <c r="BR149" s="108">
        <f t="shared" si="423"/>
        <v>6718</v>
      </c>
      <c r="BS149" s="108">
        <f t="shared" si="424"/>
        <v>4267</v>
      </c>
      <c r="BT149" s="108">
        <f t="shared" si="424"/>
        <v>8897</v>
      </c>
      <c r="BU149" s="108">
        <f t="shared" si="424"/>
        <v>28624</v>
      </c>
      <c r="BV149" s="108">
        <f t="shared" si="424"/>
        <v>14558</v>
      </c>
      <c r="BW149" s="108">
        <f t="shared" si="424"/>
        <v>19842</v>
      </c>
      <c r="BX149" s="108">
        <f t="shared" si="424"/>
        <v>25566</v>
      </c>
      <c r="BY149" s="108">
        <f t="shared" si="424"/>
        <v>17247</v>
      </c>
      <c r="BZ149" s="108">
        <f t="shared" si="424"/>
        <v>27061</v>
      </c>
      <c r="CA149" s="279">
        <f t="shared" si="424"/>
        <v>22846</v>
      </c>
      <c r="CB149" s="279">
        <f t="shared" si="424"/>
        <v>14659</v>
      </c>
      <c r="CC149" s="279">
        <f t="shared" si="425"/>
        <v>58485</v>
      </c>
      <c r="CD149" s="279">
        <f t="shared" si="425"/>
        <v>39567</v>
      </c>
      <c r="CE149" s="309">
        <f t="shared" si="425"/>
        <v>26087</v>
      </c>
      <c r="CF149" s="309">
        <f t="shared" si="425"/>
        <v>20629</v>
      </c>
      <c r="CG149" s="309">
        <f t="shared" si="425"/>
        <v>9150</v>
      </c>
      <c r="CH149" s="309">
        <f t="shared" si="425"/>
        <v>10775</v>
      </c>
      <c r="CI149" s="309">
        <f t="shared" si="425"/>
        <v>3017</v>
      </c>
      <c r="CJ149" s="309">
        <f t="shared" si="425"/>
        <v>23239</v>
      </c>
      <c r="CK149" s="309">
        <f t="shared" si="425"/>
        <v>-7283</v>
      </c>
      <c r="CL149" s="309">
        <f t="shared" si="425"/>
        <v>11352</v>
      </c>
      <c r="CM149" s="309">
        <f t="shared" si="426"/>
        <v>3011</v>
      </c>
      <c r="CN149" s="309">
        <f t="shared" si="426"/>
        <v>13722</v>
      </c>
      <c r="CO149" s="309">
        <f t="shared" si="426"/>
        <v>-174438</v>
      </c>
      <c r="CP149" s="309">
        <f t="shared" si="426"/>
        <v>-117175</v>
      </c>
      <c r="CQ149" s="309">
        <f t="shared" si="426"/>
        <v>-115800</v>
      </c>
      <c r="CR149" s="309">
        <f t="shared" si="426"/>
        <v>-110972</v>
      </c>
      <c r="CS149" s="309"/>
      <c r="CT149" s="348"/>
      <c r="CU149" s="67">
        <f>'MONTHLY SUMMARIES'!D109</f>
        <v>166266</v>
      </c>
      <c r="CV149" s="40"/>
    </row>
    <row r="150" spans="1:100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23"/>
        <v>18273</v>
      </c>
      <c r="BJ150" s="108">
        <f t="shared" si="423"/>
        <v>-5777</v>
      </c>
      <c r="BK150" s="108">
        <f t="shared" si="423"/>
        <v>-15217</v>
      </c>
      <c r="BL150" s="108">
        <f t="shared" si="423"/>
        <v>21469</v>
      </c>
      <c r="BM150" s="108">
        <f t="shared" si="423"/>
        <v>10988</v>
      </c>
      <c r="BN150" s="108">
        <f t="shared" si="423"/>
        <v>5414</v>
      </c>
      <c r="BO150" s="108">
        <f t="shared" si="423"/>
        <v>44673</v>
      </c>
      <c r="BP150" s="108">
        <f t="shared" si="423"/>
        <v>-284</v>
      </c>
      <c r="BQ150" s="108">
        <f t="shared" si="423"/>
        <v>46222</v>
      </c>
      <c r="BR150" s="108">
        <f t="shared" si="423"/>
        <v>7681</v>
      </c>
      <c r="BS150" s="108">
        <f t="shared" si="424"/>
        <v>-41269</v>
      </c>
      <c r="BT150" s="108">
        <f t="shared" si="424"/>
        <v>-4994</v>
      </c>
      <c r="BU150" s="108">
        <f t="shared" si="424"/>
        <v>32178</v>
      </c>
      <c r="BV150" s="108">
        <f t="shared" si="424"/>
        <v>19771</v>
      </c>
      <c r="BW150" s="108">
        <f t="shared" si="424"/>
        <v>563</v>
      </c>
      <c r="BX150" s="108">
        <f t="shared" si="424"/>
        <v>6900</v>
      </c>
      <c r="BY150" s="108">
        <f t="shared" si="424"/>
        <v>-3740</v>
      </c>
      <c r="BZ150" s="108">
        <f t="shared" si="424"/>
        <v>12549</v>
      </c>
      <c r="CA150" s="279">
        <f t="shared" si="424"/>
        <v>-36374</v>
      </c>
      <c r="CB150" s="279">
        <f t="shared" si="424"/>
        <v>-15193</v>
      </c>
      <c r="CC150" s="279">
        <f t="shared" si="425"/>
        <v>-24647</v>
      </c>
      <c r="CD150" s="279">
        <f t="shared" si="425"/>
        <v>-7404</v>
      </c>
      <c r="CE150" s="309">
        <f t="shared" si="425"/>
        <v>16947</v>
      </c>
      <c r="CF150" s="309">
        <f t="shared" si="425"/>
        <v>14124</v>
      </c>
      <c r="CG150" s="309">
        <f t="shared" si="425"/>
        <v>-7224</v>
      </c>
      <c r="CH150" s="309">
        <f t="shared" si="425"/>
        <v>-1236</v>
      </c>
      <c r="CI150" s="309">
        <f t="shared" si="425"/>
        <v>2512</v>
      </c>
      <c r="CJ150" s="309">
        <f t="shared" si="425"/>
        <v>2214</v>
      </c>
      <c r="CK150" s="309">
        <f t="shared" si="425"/>
        <v>-4065</v>
      </c>
      <c r="CL150" s="309">
        <f t="shared" si="425"/>
        <v>5368</v>
      </c>
      <c r="CM150" s="309">
        <f t="shared" si="426"/>
        <v>3101</v>
      </c>
      <c r="CN150" s="309">
        <f t="shared" si="426"/>
        <v>10726</v>
      </c>
      <c r="CO150" s="309">
        <f t="shared" si="426"/>
        <v>-154022</v>
      </c>
      <c r="CP150" s="309">
        <f t="shared" si="426"/>
        <v>-121338</v>
      </c>
      <c r="CQ150" s="309">
        <f t="shared" si="426"/>
        <v>-171356</v>
      </c>
      <c r="CR150" s="309">
        <f t="shared" si="426"/>
        <v>-147996</v>
      </c>
      <c r="CS150" s="309"/>
      <c r="CT150" s="348"/>
      <c r="CU150" s="67">
        <f>'MONTHLY SUMMARIES'!D110</f>
        <v>187173</v>
      </c>
      <c r="CV150" s="40"/>
    </row>
    <row r="151" spans="1:100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23"/>
        <v>1761</v>
      </c>
      <c r="BJ151" s="108">
        <f t="shared" si="423"/>
        <v>-1976</v>
      </c>
      <c r="BK151" s="108">
        <f t="shared" si="423"/>
        <v>-1393</v>
      </c>
      <c r="BL151" s="108">
        <f t="shared" si="423"/>
        <v>1707</v>
      </c>
      <c r="BM151" s="108">
        <f t="shared" si="423"/>
        <v>807</v>
      </c>
      <c r="BN151" s="108">
        <f t="shared" si="423"/>
        <v>211</v>
      </c>
      <c r="BO151" s="108">
        <f t="shared" si="423"/>
        <v>3791</v>
      </c>
      <c r="BP151" s="108">
        <f t="shared" si="423"/>
        <v>-974</v>
      </c>
      <c r="BQ151" s="108">
        <f t="shared" si="423"/>
        <v>4488</v>
      </c>
      <c r="BR151" s="108">
        <f t="shared" si="423"/>
        <v>1063</v>
      </c>
      <c r="BS151" s="108">
        <f t="shared" si="424"/>
        <v>-3983</v>
      </c>
      <c r="BT151" s="108">
        <f t="shared" si="424"/>
        <v>77</v>
      </c>
      <c r="BU151" s="108">
        <f t="shared" si="424"/>
        <v>2273</v>
      </c>
      <c r="BV151" s="108">
        <f t="shared" si="424"/>
        <v>3302</v>
      </c>
      <c r="BW151" s="108">
        <f t="shared" si="424"/>
        <v>380</v>
      </c>
      <c r="BX151" s="108">
        <f t="shared" si="424"/>
        <v>1696</v>
      </c>
      <c r="BY151" s="108">
        <f t="shared" si="424"/>
        <v>608</v>
      </c>
      <c r="BZ151" s="108">
        <f t="shared" si="424"/>
        <v>2483</v>
      </c>
      <c r="CA151" s="279">
        <f t="shared" si="424"/>
        <v>-1464</v>
      </c>
      <c r="CB151" s="279">
        <f t="shared" si="424"/>
        <v>-430</v>
      </c>
      <c r="CC151" s="279">
        <f t="shared" si="425"/>
        <v>-1769</v>
      </c>
      <c r="CD151" s="279">
        <f t="shared" si="425"/>
        <v>1606</v>
      </c>
      <c r="CE151" s="309">
        <f t="shared" si="425"/>
        <v>2445</v>
      </c>
      <c r="CF151" s="309">
        <f t="shared" si="425"/>
        <v>2999</v>
      </c>
      <c r="CG151" s="309">
        <f t="shared" si="425"/>
        <v>1533</v>
      </c>
      <c r="CH151" s="309">
        <f t="shared" si="425"/>
        <v>2119</v>
      </c>
      <c r="CI151" s="309">
        <f t="shared" si="425"/>
        <v>853</v>
      </c>
      <c r="CJ151" s="309">
        <f t="shared" si="425"/>
        <v>2698</v>
      </c>
      <c r="CK151" s="309">
        <f t="shared" si="425"/>
        <v>182</v>
      </c>
      <c r="CL151" s="309">
        <f t="shared" si="425"/>
        <v>351</v>
      </c>
      <c r="CM151" s="309">
        <f t="shared" si="426"/>
        <v>1871</v>
      </c>
      <c r="CN151" s="309">
        <f t="shared" si="426"/>
        <v>1662</v>
      </c>
      <c r="CO151" s="309">
        <f t="shared" si="426"/>
        <v>-15591</v>
      </c>
      <c r="CP151" s="309">
        <f t="shared" si="426"/>
        <v>-14612</v>
      </c>
      <c r="CQ151" s="309">
        <f t="shared" si="426"/>
        <v>-17117</v>
      </c>
      <c r="CR151" s="309">
        <f t="shared" si="426"/>
        <v>-14348</v>
      </c>
      <c r="CS151" s="309"/>
      <c r="CT151" s="348"/>
      <c r="CU151" s="67">
        <f>'MONTHLY SUMMARIES'!D111</f>
        <v>24260</v>
      </c>
      <c r="CV151" s="40"/>
    </row>
    <row r="152" spans="1:100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23"/>
        <v>403</v>
      </c>
      <c r="BJ152" s="108">
        <f t="shared" si="423"/>
        <v>-406</v>
      </c>
      <c r="BK152" s="108">
        <f t="shared" si="423"/>
        <v>-344</v>
      </c>
      <c r="BL152" s="108">
        <f t="shared" si="423"/>
        <v>675</v>
      </c>
      <c r="BM152" s="108">
        <f t="shared" si="423"/>
        <v>317</v>
      </c>
      <c r="BN152" s="108">
        <f t="shared" si="423"/>
        <v>291</v>
      </c>
      <c r="BO152" s="108">
        <f t="shared" si="423"/>
        <v>1094</v>
      </c>
      <c r="BP152" s="108">
        <f t="shared" si="423"/>
        <v>-16</v>
      </c>
      <c r="BQ152" s="108">
        <f t="shared" si="423"/>
        <v>1275</v>
      </c>
      <c r="BR152" s="108">
        <f t="shared" si="423"/>
        <v>208</v>
      </c>
      <c r="BS152" s="108">
        <f t="shared" si="424"/>
        <v>-905</v>
      </c>
      <c r="BT152" s="108">
        <f t="shared" si="424"/>
        <v>134</v>
      </c>
      <c r="BU152" s="108">
        <f t="shared" si="424"/>
        <v>791</v>
      </c>
      <c r="BV152" s="108">
        <f t="shared" si="424"/>
        <v>1136</v>
      </c>
      <c r="BW152" s="108">
        <f t="shared" si="424"/>
        <v>593</v>
      </c>
      <c r="BX152" s="108">
        <f t="shared" si="424"/>
        <v>980</v>
      </c>
      <c r="BY152" s="108">
        <f t="shared" si="424"/>
        <v>689</v>
      </c>
      <c r="BZ152" s="108">
        <f t="shared" si="424"/>
        <v>975</v>
      </c>
      <c r="CA152" s="279">
        <f t="shared" si="424"/>
        <v>427</v>
      </c>
      <c r="CB152" s="279">
        <f t="shared" si="424"/>
        <v>-281</v>
      </c>
      <c r="CC152" s="279">
        <f t="shared" si="425"/>
        <v>93</v>
      </c>
      <c r="CD152" s="279">
        <f t="shared" si="425"/>
        <v>667</v>
      </c>
      <c r="CE152" s="309">
        <f t="shared" si="425"/>
        <v>1404</v>
      </c>
      <c r="CF152" s="309">
        <f t="shared" si="425"/>
        <v>1700</v>
      </c>
      <c r="CG152" s="309">
        <f t="shared" si="425"/>
        <v>1467</v>
      </c>
      <c r="CH152" s="309">
        <f t="shared" si="425"/>
        <v>1163</v>
      </c>
      <c r="CI152" s="309">
        <f t="shared" si="425"/>
        <v>647</v>
      </c>
      <c r="CJ152" s="309">
        <f t="shared" si="425"/>
        <v>1150</v>
      </c>
      <c r="CK152" s="309">
        <f t="shared" si="425"/>
        <v>452</v>
      </c>
      <c r="CL152" s="309">
        <f t="shared" si="425"/>
        <v>782</v>
      </c>
      <c r="CM152" s="309">
        <f t="shared" si="426"/>
        <v>1086</v>
      </c>
      <c r="CN152" s="309">
        <f t="shared" si="426"/>
        <v>1146</v>
      </c>
      <c r="CO152" s="309">
        <f t="shared" si="426"/>
        <v>-5609</v>
      </c>
      <c r="CP152" s="309">
        <f t="shared" si="426"/>
        <v>-5047</v>
      </c>
      <c r="CQ152" s="309">
        <f t="shared" si="426"/>
        <v>-5650</v>
      </c>
      <c r="CR152" s="309">
        <f t="shared" si="426"/>
        <v>-4849</v>
      </c>
      <c r="CS152" s="309"/>
      <c r="CT152" s="348"/>
      <c r="CU152" s="67">
        <f>'MONTHLY SUMMARIES'!D112</f>
        <v>9208</v>
      </c>
      <c r="CV152" s="40"/>
    </row>
    <row r="153" spans="1:100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27">SUM(D148:D152)</f>
        <v>1172966</v>
      </c>
      <c r="E153" s="72">
        <f t="shared" si="427"/>
        <v>1224046</v>
      </c>
      <c r="F153" s="74">
        <f t="shared" si="427"/>
        <v>1084061</v>
      </c>
      <c r="G153" s="72">
        <f t="shared" si="427"/>
        <v>1252801</v>
      </c>
      <c r="H153" s="72">
        <f t="shared" si="427"/>
        <v>1221010</v>
      </c>
      <c r="I153" s="72">
        <f t="shared" si="427"/>
        <v>1181124</v>
      </c>
      <c r="J153" s="72">
        <f t="shared" si="427"/>
        <v>1308798</v>
      </c>
      <c r="K153" s="72">
        <f t="shared" si="427"/>
        <v>1144047</v>
      </c>
      <c r="L153" s="73">
        <f t="shared" si="427"/>
        <v>1311936</v>
      </c>
      <c r="M153" s="72">
        <f t="shared" si="427"/>
        <v>1371036</v>
      </c>
      <c r="N153" s="72">
        <f t="shared" si="427"/>
        <v>1214717</v>
      </c>
      <c r="O153" s="72">
        <f t="shared" si="427"/>
        <v>1294854</v>
      </c>
      <c r="P153" s="72">
        <f t="shared" si="427"/>
        <v>1198531</v>
      </c>
      <c r="Q153" s="72">
        <f t="shared" si="427"/>
        <v>1242947</v>
      </c>
      <c r="R153" s="72">
        <f t="shared" si="427"/>
        <v>1277557</v>
      </c>
      <c r="S153" s="72">
        <f t="shared" si="427"/>
        <v>1306748</v>
      </c>
      <c r="T153" s="72">
        <f t="shared" si="427"/>
        <v>1270665</v>
      </c>
      <c r="U153" s="72">
        <f t="shared" si="427"/>
        <v>1300188</v>
      </c>
      <c r="V153" s="72">
        <f t="shared" si="427"/>
        <v>1276467</v>
      </c>
      <c r="W153" s="72">
        <f t="shared" si="427"/>
        <v>1300188</v>
      </c>
      <c r="X153" s="73">
        <f t="shared" si="427"/>
        <v>1276704</v>
      </c>
      <c r="Y153" s="72">
        <v>1231362</v>
      </c>
      <c r="Z153" s="190">
        <v>1181597</v>
      </c>
      <c r="AA153" s="72">
        <f t="shared" ref="AA153" si="428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27"/>
        <v>158780</v>
      </c>
      <c r="BJ153" s="75">
        <f t="shared" ref="BJ153:BL153" si="429">SUM(BJ148:BJ152)</f>
        <v>25565</v>
      </c>
      <c r="BK153" s="75">
        <f t="shared" si="429"/>
        <v>18901</v>
      </c>
      <c r="BL153" s="75">
        <f t="shared" si="429"/>
        <v>193496</v>
      </c>
      <c r="BM153" s="75">
        <f t="shared" ref="BM153:BN153" si="430">SUM(BM148:BM152)</f>
        <v>53947</v>
      </c>
      <c r="BN153" s="75">
        <f t="shared" si="430"/>
        <v>49655</v>
      </c>
      <c r="BO153" s="75">
        <f t="shared" ref="BO153:BP153" si="431">SUM(BO148:BO152)</f>
        <v>119064</v>
      </c>
      <c r="BP153" s="75">
        <f t="shared" si="431"/>
        <v>-32331</v>
      </c>
      <c r="BQ153" s="75">
        <f t="shared" ref="BQ153:BR153" si="432">SUM(BQ148:BQ152)</f>
        <v>156141</v>
      </c>
      <c r="BR153" s="75">
        <f t="shared" si="432"/>
        <v>-35232</v>
      </c>
      <c r="BS153" s="75">
        <f t="shared" ref="BS153:BT153" si="433">SUM(BS148:BS152)</f>
        <v>-139674</v>
      </c>
      <c r="BT153" s="75">
        <f t="shared" si="433"/>
        <v>-33120</v>
      </c>
      <c r="BU153" s="75">
        <f t="shared" ref="BU153:BV153" si="434">SUM(BU148:BU152)</f>
        <v>132425</v>
      </c>
      <c r="BV153" s="75">
        <f t="shared" si="434"/>
        <v>36576</v>
      </c>
      <c r="BW153" s="75">
        <f t="shared" ref="BW153:BX153" si="435">SUM(BW148:BW152)</f>
        <v>4030</v>
      </c>
      <c r="BX153" s="75">
        <f t="shared" si="435"/>
        <v>57823</v>
      </c>
      <c r="BY153" s="75">
        <f t="shared" ref="BY153:BZ153" si="436">SUM(BY148:BY152)</f>
        <v>8541</v>
      </c>
      <c r="BZ153" s="75">
        <f t="shared" si="436"/>
        <v>84346</v>
      </c>
      <c r="CA153" s="265">
        <f t="shared" ref="CA153:CB153" si="437">SUM(CA148:CA152)</f>
        <v>-11545</v>
      </c>
      <c r="CB153" s="265">
        <f t="shared" si="437"/>
        <v>-12253</v>
      </c>
      <c r="CC153" s="265">
        <f t="shared" ref="CC153:CE153" si="438">SUM(CC148:CC152)</f>
        <v>87135</v>
      </c>
      <c r="CD153" s="265">
        <f t="shared" si="438"/>
        <v>32002</v>
      </c>
      <c r="CE153" s="328">
        <f t="shared" si="438"/>
        <v>144706</v>
      </c>
      <c r="CF153" s="328">
        <f t="shared" ref="CF153:CG153" si="439">SUM(CF148:CF152)</f>
        <v>129558</v>
      </c>
      <c r="CG153" s="328">
        <f t="shared" si="439"/>
        <v>25754</v>
      </c>
      <c r="CH153" s="328">
        <f t="shared" ref="CH153:CI153" si="440">SUM(CH148:CH152)</f>
        <v>34496</v>
      </c>
      <c r="CI153" s="328">
        <f t="shared" si="440"/>
        <v>4209</v>
      </c>
      <c r="CJ153" s="328">
        <f t="shared" ref="CJ153" si="441">SUM(CJ148:CJ152)</f>
        <v>27635</v>
      </c>
      <c r="CK153" s="328">
        <f t="shared" ref="CK153" si="442">SUM(CK148:CK152)</f>
        <v>-23282</v>
      </c>
      <c r="CL153" s="328">
        <f t="shared" ref="CL153" si="443">SUM(CL148:CL152)</f>
        <v>71343</v>
      </c>
      <c r="CM153" s="328">
        <f t="shared" ref="CM153" si="444">SUM(CM148:CM152)</f>
        <v>24283</v>
      </c>
      <c r="CN153" s="328">
        <f t="shared" ref="CN153" si="445">SUM(CN148:CN152)</f>
        <v>10007</v>
      </c>
      <c r="CO153" s="328">
        <f t="shared" ref="CO153" si="446">SUM(CO148:CO152)</f>
        <v>-1266646</v>
      </c>
      <c r="CP153" s="367">
        <f t="shared" ref="CP153" si="447">SUM(CP148:CP152)</f>
        <v>-973121</v>
      </c>
      <c r="CQ153" s="367">
        <f t="shared" ref="CQ153:CS153" si="448">SUM(CQ148:CQ152)</f>
        <v>-1173203</v>
      </c>
      <c r="CR153" s="367">
        <f t="shared" ref="CR153" si="449">SUM(CR148:CR152)</f>
        <v>-1118756</v>
      </c>
      <c r="CS153" s="367"/>
      <c r="CT153" s="349"/>
      <c r="CU153" s="74">
        <f t="shared" ref="CU153:CU160" si="450">SUM(CU148:CU152)</f>
        <v>1424292</v>
      </c>
      <c r="CV153" s="40"/>
    </row>
    <row r="154" spans="1:10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50"/>
      <c r="CU154" s="98"/>
    </row>
    <row r="155" spans="1:100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451">+E130-E141</f>
        <v>-12654691.670000002</v>
      </c>
      <c r="F155" s="101">
        <f t="shared" si="451"/>
        <v>5998218.2699999958</v>
      </c>
      <c r="G155" s="101">
        <f t="shared" si="451"/>
        <v>30574700.279999986</v>
      </c>
      <c r="H155" s="101">
        <f t="shared" si="451"/>
        <v>8382171.8100000024</v>
      </c>
      <c r="I155" s="101">
        <f t="shared" si="451"/>
        <v>-15251156.600000009</v>
      </c>
      <c r="J155" s="101">
        <f t="shared" si="451"/>
        <v>-14317745.520000011</v>
      </c>
      <c r="K155" s="101">
        <f t="shared" si="451"/>
        <v>7385275.25</v>
      </c>
      <c r="L155" s="102">
        <f t="shared" si="451"/>
        <v>18817319.690000013</v>
      </c>
      <c r="M155" s="101">
        <f t="shared" si="451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452">+P130-P141</f>
        <v>15776301.980000004</v>
      </c>
      <c r="Q155" s="101">
        <f t="shared" si="452"/>
        <v>-1220023.2800000012</v>
      </c>
      <c r="R155" s="101">
        <f t="shared" si="452"/>
        <v>13295902.319999993</v>
      </c>
      <c r="S155" s="101">
        <f t="shared" ref="S155:T155" si="453">+S130-S141</f>
        <v>40218986.789999992</v>
      </c>
      <c r="T155" s="101">
        <f t="shared" si="453"/>
        <v>30893084.969999999</v>
      </c>
      <c r="U155" s="101">
        <f t="shared" ref="U155:V155" si="454">+U130-U141</f>
        <v>-9615763.6299999952</v>
      </c>
      <c r="V155" s="101">
        <f t="shared" si="454"/>
        <v>-12864933</v>
      </c>
      <c r="W155" s="101">
        <f t="shared" ref="W155:AA155" si="455">+W130-W141</f>
        <v>-9615763.6299999952</v>
      </c>
      <c r="X155" s="102">
        <f t="shared" si="455"/>
        <v>30682109.599999994</v>
      </c>
      <c r="Y155" s="101">
        <f t="shared" si="455"/>
        <v>32689910</v>
      </c>
      <c r="Z155" s="101">
        <v>16206063</v>
      </c>
      <c r="AA155" s="101">
        <f t="shared" si="455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56">O155-C155</f>
        <v>3504335.1899999678</v>
      </c>
      <c r="BJ155" s="103">
        <f t="shared" si="456"/>
        <v>33133222.890000001</v>
      </c>
      <c r="BK155" s="103">
        <f t="shared" si="456"/>
        <v>11434668.390000001</v>
      </c>
      <c r="BL155" s="103">
        <f t="shared" si="456"/>
        <v>7297684.049999997</v>
      </c>
      <c r="BM155" s="103">
        <f t="shared" si="456"/>
        <v>9644286.5100000054</v>
      </c>
      <c r="BN155" s="103">
        <f t="shared" si="456"/>
        <v>22510913.159999996</v>
      </c>
      <c r="BO155" s="103">
        <f t="shared" si="456"/>
        <v>5635392.9700000137</v>
      </c>
      <c r="BP155" s="103">
        <f t="shared" si="456"/>
        <v>1452812.5200000107</v>
      </c>
      <c r="BQ155" s="103">
        <f t="shared" si="456"/>
        <v>-17001038.879999995</v>
      </c>
      <c r="BR155" s="103">
        <f t="shared" si="456"/>
        <v>11864789.909999982</v>
      </c>
      <c r="BS155" s="103">
        <f t="shared" ref="BS155:CB159" si="457">Y155-M155</f>
        <v>5139030.7000000179</v>
      </c>
      <c r="BT155" s="103">
        <f t="shared" si="457"/>
        <v>14416659.520000011</v>
      </c>
      <c r="BU155" s="103">
        <f t="shared" si="457"/>
        <v>-9749601.5799999833</v>
      </c>
      <c r="BV155" s="103">
        <f t="shared" si="457"/>
        <v>-13824724.649999991</v>
      </c>
      <c r="BW155" s="103">
        <f t="shared" si="457"/>
        <v>-7730004.0900000036</v>
      </c>
      <c r="BX155" s="103">
        <f t="shared" si="457"/>
        <v>5451123.8600000143</v>
      </c>
      <c r="BY155" s="103">
        <f t="shared" si="457"/>
        <v>-22781382.789999992</v>
      </c>
      <c r="BZ155" s="103">
        <f t="shared" si="457"/>
        <v>-25202952.840000004</v>
      </c>
      <c r="CA155" s="277">
        <f t="shared" si="457"/>
        <v>20656714.629999995</v>
      </c>
      <c r="CB155" s="277">
        <f t="shared" si="457"/>
        <v>-14616168</v>
      </c>
      <c r="CC155" s="277">
        <f t="shared" ref="CC155:CL159" si="458">AI155-W155</f>
        <v>8839459.6299999952</v>
      </c>
      <c r="CD155" s="277">
        <f t="shared" si="458"/>
        <v>8260826.400000006</v>
      </c>
      <c r="CE155" s="312">
        <f t="shared" si="458"/>
        <v>-8368720</v>
      </c>
      <c r="CF155" s="312">
        <f t="shared" si="458"/>
        <v>-4935771</v>
      </c>
      <c r="CG155" s="312">
        <f t="shared" si="458"/>
        <v>-4689251.0600000024</v>
      </c>
      <c r="CH155" s="312">
        <f t="shared" si="458"/>
        <v>-10851200.330000013</v>
      </c>
      <c r="CI155" s="312">
        <f t="shared" si="458"/>
        <v>1232952.3700000048</v>
      </c>
      <c r="CJ155" s="312">
        <f t="shared" si="458"/>
        <v>-4069584.1800000072</v>
      </c>
      <c r="CK155" s="312">
        <f t="shared" si="458"/>
        <v>12263457</v>
      </c>
      <c r="CL155" s="312">
        <f t="shared" si="458"/>
        <v>26076385.870000005</v>
      </c>
      <c r="CM155" s="312">
        <f t="shared" ref="CM155:CR159" si="459">AS155-AG155</f>
        <v>-23136121</v>
      </c>
      <c r="CN155" s="312">
        <f t="shared" si="459"/>
        <v>-6250189</v>
      </c>
      <c r="CO155" s="312">
        <f t="shared" si="459"/>
        <v>-4077125</v>
      </c>
      <c r="CP155" s="312">
        <f t="shared" si="459"/>
        <v>-36147977</v>
      </c>
      <c r="CQ155" s="312">
        <f t="shared" si="459"/>
        <v>-14512505</v>
      </c>
      <c r="CR155" s="312">
        <f t="shared" si="459"/>
        <v>-3585314</v>
      </c>
      <c r="CS155" s="312"/>
      <c r="CT155" s="350"/>
      <c r="CU155" s="37">
        <f>'MONTHLY SUMMARIES'!D115</f>
        <v>10438180</v>
      </c>
    </row>
    <row r="156" spans="1:100" s="40" customFormat="1" x14ac:dyDescent="0.3">
      <c r="A156" s="150"/>
      <c r="B156" s="41" t="s">
        <v>38</v>
      </c>
      <c r="C156" s="100">
        <f t="shared" ref="C156:D156" si="460">+C133-C142</f>
        <v>2427747.1999999993</v>
      </c>
      <c r="D156" s="101">
        <f t="shared" si="460"/>
        <v>164118.71000000089</v>
      </c>
      <c r="E156" s="101">
        <f t="shared" ref="E156:R156" si="461">+E133-E142</f>
        <v>-967800</v>
      </c>
      <c r="F156" s="101">
        <f t="shared" si="461"/>
        <v>679415.31000000052</v>
      </c>
      <c r="G156" s="101">
        <f t="shared" si="461"/>
        <v>2709482.8200000003</v>
      </c>
      <c r="H156" s="101">
        <f t="shared" si="461"/>
        <v>2882016.459999999</v>
      </c>
      <c r="I156" s="101">
        <f t="shared" si="461"/>
        <v>852526.41000000015</v>
      </c>
      <c r="J156" s="101">
        <f t="shared" si="461"/>
        <v>566315.11999999918</v>
      </c>
      <c r="K156" s="101">
        <f t="shared" si="461"/>
        <v>2236274.3899999997</v>
      </c>
      <c r="L156" s="102">
        <f t="shared" si="461"/>
        <v>4532366.08</v>
      </c>
      <c r="M156" s="101">
        <f t="shared" si="461"/>
        <v>4904981.9700000007</v>
      </c>
      <c r="N156" s="101">
        <f t="shared" si="461"/>
        <v>2244727.66</v>
      </c>
      <c r="O156" s="101">
        <f t="shared" si="461"/>
        <v>1881415.2200000007</v>
      </c>
      <c r="P156" s="101">
        <f t="shared" si="461"/>
        <v>2166894.0699999984</v>
      </c>
      <c r="Q156" s="101">
        <f t="shared" si="461"/>
        <v>639873.3900000006</v>
      </c>
      <c r="R156" s="101">
        <f t="shared" si="461"/>
        <v>1220483.0999999996</v>
      </c>
      <c r="S156" s="101">
        <f t="shared" ref="S156:T156" si="462">+S133-S142</f>
        <v>3547599.540000001</v>
      </c>
      <c r="T156" s="101">
        <f t="shared" si="462"/>
        <v>2368873.6199999992</v>
      </c>
      <c r="U156" s="101">
        <f t="shared" ref="U156:V156" si="463">+U133-U142</f>
        <v>227490.84000000171</v>
      </c>
      <c r="V156" s="101">
        <f t="shared" si="463"/>
        <v>922041</v>
      </c>
      <c r="W156" s="101">
        <f t="shared" ref="W156:AA156" si="464">+W133-W142</f>
        <v>227490.84000000171</v>
      </c>
      <c r="X156" s="102">
        <f t="shared" si="464"/>
        <v>4801863.0299999993</v>
      </c>
      <c r="Y156" s="101">
        <f t="shared" si="464"/>
        <v>4722389</v>
      </c>
      <c r="Z156" s="101">
        <v>4261886</v>
      </c>
      <c r="AA156" s="101">
        <f t="shared" si="464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56"/>
        <v>-546331.97999999858</v>
      </c>
      <c r="BJ156" s="103">
        <f t="shared" si="456"/>
        <v>2002775.3599999975</v>
      </c>
      <c r="BK156" s="103">
        <f t="shared" si="456"/>
        <v>1607673.3900000006</v>
      </c>
      <c r="BL156" s="103">
        <f t="shared" si="456"/>
        <v>541067.78999999911</v>
      </c>
      <c r="BM156" s="103">
        <f t="shared" si="456"/>
        <v>838116.72000000067</v>
      </c>
      <c r="BN156" s="103">
        <f t="shared" si="456"/>
        <v>-513142.83999999985</v>
      </c>
      <c r="BO156" s="103">
        <f t="shared" si="456"/>
        <v>-625035.56999999844</v>
      </c>
      <c r="BP156" s="103">
        <f t="shared" si="456"/>
        <v>355725.88000000082</v>
      </c>
      <c r="BQ156" s="103">
        <f t="shared" si="456"/>
        <v>-2008783.549999998</v>
      </c>
      <c r="BR156" s="103">
        <f t="shared" si="456"/>
        <v>269496.94999999925</v>
      </c>
      <c r="BS156" s="103">
        <f t="shared" si="457"/>
        <v>-182592.97000000067</v>
      </c>
      <c r="BT156" s="103">
        <f t="shared" si="457"/>
        <v>2017158.3399999999</v>
      </c>
      <c r="BU156" s="103">
        <f t="shared" si="457"/>
        <v>401113.51999999955</v>
      </c>
      <c r="BV156" s="103">
        <f t="shared" si="457"/>
        <v>-504464.50999999791</v>
      </c>
      <c r="BW156" s="103">
        <f t="shared" si="457"/>
        <v>148529.47999999858</v>
      </c>
      <c r="BX156" s="103">
        <f t="shared" si="457"/>
        <v>1226791.5300000012</v>
      </c>
      <c r="BY156" s="103">
        <f t="shared" si="457"/>
        <v>-1508284.540000001</v>
      </c>
      <c r="BZ156" s="103">
        <f t="shared" si="457"/>
        <v>-2757085.1599999983</v>
      </c>
      <c r="CA156" s="277">
        <f t="shared" si="457"/>
        <v>879366.15999999829</v>
      </c>
      <c r="CB156" s="277">
        <f t="shared" si="457"/>
        <v>-979573</v>
      </c>
      <c r="CC156" s="277">
        <f t="shared" si="458"/>
        <v>-24715655.840000004</v>
      </c>
      <c r="CD156" s="277">
        <f t="shared" si="458"/>
        <v>-2839329.0299999993</v>
      </c>
      <c r="CE156" s="312">
        <f t="shared" si="458"/>
        <v>-3127994</v>
      </c>
      <c r="CF156" s="312">
        <f t="shared" si="458"/>
        <v>539285</v>
      </c>
      <c r="CG156" s="312">
        <f t="shared" si="458"/>
        <v>880070.25999999978</v>
      </c>
      <c r="CH156" s="312">
        <f t="shared" si="458"/>
        <v>-343861.56000000052</v>
      </c>
      <c r="CI156" s="312">
        <f t="shared" si="458"/>
        <v>-778517.86999999918</v>
      </c>
      <c r="CJ156" s="312">
        <f t="shared" si="458"/>
        <v>-1692812.6300000008</v>
      </c>
      <c r="CK156" s="312">
        <f t="shared" si="458"/>
        <v>1597183</v>
      </c>
      <c r="CL156" s="312">
        <f t="shared" si="458"/>
        <v>-371477.46000000089</v>
      </c>
      <c r="CM156" s="312">
        <f t="shared" si="459"/>
        <v>-1074234</v>
      </c>
      <c r="CN156" s="312">
        <f t="shared" si="459"/>
        <v>-2042602</v>
      </c>
      <c r="CO156" s="312">
        <f t="shared" si="459"/>
        <v>24366356</v>
      </c>
      <c r="CP156" s="312">
        <f t="shared" si="459"/>
        <v>-387898</v>
      </c>
      <c r="CQ156" s="312">
        <f t="shared" si="459"/>
        <v>932646</v>
      </c>
      <c r="CR156" s="312">
        <f t="shared" si="459"/>
        <v>-2602766</v>
      </c>
      <c r="CS156" s="312"/>
      <c r="CT156" s="350"/>
      <c r="CU156" s="37">
        <f>'MONTHLY SUMMARIES'!D116</f>
        <v>7705020</v>
      </c>
    </row>
    <row r="157" spans="1:100" s="40" customFormat="1" x14ac:dyDescent="0.3">
      <c r="A157" s="150"/>
      <c r="B157" s="41" t="s">
        <v>39</v>
      </c>
      <c r="C157" s="100">
        <f t="shared" ref="C157:D157" si="465">+C136-C143</f>
        <v>5433281.3099999949</v>
      </c>
      <c r="D157" s="101">
        <f t="shared" si="465"/>
        <v>83378.719999998808</v>
      </c>
      <c r="E157" s="101">
        <f t="shared" ref="E157:R157" si="466">+E136-E143</f>
        <v>-1529261.2100000009</v>
      </c>
      <c r="F157" s="101">
        <f t="shared" si="466"/>
        <v>3661322.6099999994</v>
      </c>
      <c r="G157" s="101">
        <f t="shared" si="466"/>
        <v>5444509.75</v>
      </c>
      <c r="H157" s="101">
        <f t="shared" si="466"/>
        <v>1933151.5</v>
      </c>
      <c r="I157" s="101">
        <f t="shared" si="466"/>
        <v>-114787.89999999851</v>
      </c>
      <c r="J157" s="101">
        <f t="shared" si="466"/>
        <v>-1447661.8500000015</v>
      </c>
      <c r="K157" s="101">
        <f t="shared" si="466"/>
        <v>2677752.0999999978</v>
      </c>
      <c r="L157" s="102">
        <f t="shared" si="466"/>
        <v>5036492.3999999985</v>
      </c>
      <c r="M157" s="101">
        <f t="shared" si="466"/>
        <v>4791859.1299999952</v>
      </c>
      <c r="N157" s="101">
        <f t="shared" si="466"/>
        <v>2805372.9200000018</v>
      </c>
      <c r="O157" s="101">
        <f t="shared" si="466"/>
        <v>2122445</v>
      </c>
      <c r="P157" s="101">
        <f t="shared" si="466"/>
        <v>5573289.5700000003</v>
      </c>
      <c r="Q157" s="101">
        <f t="shared" si="466"/>
        <v>-516826.1799999997</v>
      </c>
      <c r="R157" s="101">
        <f t="shared" si="466"/>
        <v>3578244.120000001</v>
      </c>
      <c r="S157" s="101">
        <f t="shared" ref="S157:T157" si="467">+S136-S143</f>
        <v>6342852.8499999978</v>
      </c>
      <c r="T157" s="101">
        <f t="shared" si="467"/>
        <v>5854977.5700000003</v>
      </c>
      <c r="U157" s="101">
        <f t="shared" ref="U157:V157" si="468">+U136-U143</f>
        <v>308867.71999999881</v>
      </c>
      <c r="V157" s="101">
        <f t="shared" si="468"/>
        <v>2881162</v>
      </c>
      <c r="W157" s="101">
        <f t="shared" ref="W157:AA157" si="469">+W136-W143</f>
        <v>308867.71999999881</v>
      </c>
      <c r="X157" s="102">
        <f t="shared" si="469"/>
        <v>7788667.7200000025</v>
      </c>
      <c r="Y157" s="101">
        <f t="shared" si="469"/>
        <v>8406805</v>
      </c>
      <c r="Z157" s="101">
        <v>6097309</v>
      </c>
      <c r="AA157" s="101">
        <f t="shared" si="469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56"/>
        <v>-3310836.3099999949</v>
      </c>
      <c r="BJ157" s="103">
        <f t="shared" si="456"/>
        <v>5489910.8500000015</v>
      </c>
      <c r="BK157" s="103">
        <f t="shared" si="456"/>
        <v>1012435.0300000012</v>
      </c>
      <c r="BL157" s="103">
        <f t="shared" si="456"/>
        <v>-83078.489999998361</v>
      </c>
      <c r="BM157" s="103">
        <f t="shared" si="456"/>
        <v>898343.09999999776</v>
      </c>
      <c r="BN157" s="103">
        <f t="shared" si="456"/>
        <v>3921826.0700000003</v>
      </c>
      <c r="BO157" s="103">
        <f t="shared" si="456"/>
        <v>423655.61999999732</v>
      </c>
      <c r="BP157" s="103">
        <f t="shared" si="456"/>
        <v>4328823.8500000015</v>
      </c>
      <c r="BQ157" s="103">
        <f t="shared" si="456"/>
        <v>-2368884.379999999</v>
      </c>
      <c r="BR157" s="103">
        <f t="shared" si="456"/>
        <v>2752175.320000004</v>
      </c>
      <c r="BS157" s="103">
        <f t="shared" si="457"/>
        <v>3614945.8700000048</v>
      </c>
      <c r="BT157" s="103">
        <f t="shared" si="457"/>
        <v>3291936.0799999982</v>
      </c>
      <c r="BU157" s="103">
        <f t="shared" si="457"/>
        <v>-1431611.7800000012</v>
      </c>
      <c r="BV157" s="103">
        <f t="shared" si="457"/>
        <v>-737878.85000000149</v>
      </c>
      <c r="BW157" s="103">
        <f t="shared" si="457"/>
        <v>1310471.4900000021</v>
      </c>
      <c r="BX157" s="103">
        <f t="shared" si="457"/>
        <v>5600867.379999999</v>
      </c>
      <c r="BY157" s="103">
        <f t="shared" si="457"/>
        <v>9046922.1500000022</v>
      </c>
      <c r="BZ157" s="103">
        <f t="shared" si="457"/>
        <v>-4637120.1200000048</v>
      </c>
      <c r="CA157" s="277">
        <f t="shared" si="457"/>
        <v>5116217.2800000012</v>
      </c>
      <c r="CB157" s="277">
        <f t="shared" si="457"/>
        <v>-3188479</v>
      </c>
      <c r="CC157" s="277">
        <f t="shared" si="458"/>
        <v>38993.280000001192</v>
      </c>
      <c r="CD157" s="277">
        <f t="shared" si="458"/>
        <v>5306296.2799999975</v>
      </c>
      <c r="CE157" s="312">
        <f t="shared" si="458"/>
        <v>768428</v>
      </c>
      <c r="CF157" s="312">
        <f t="shared" si="458"/>
        <v>-181781</v>
      </c>
      <c r="CG157" s="312">
        <f t="shared" si="458"/>
        <v>-361759.21999999881</v>
      </c>
      <c r="CH157" s="312">
        <f t="shared" si="458"/>
        <v>-5192165.7199999988</v>
      </c>
      <c r="CI157" s="312">
        <f t="shared" si="458"/>
        <v>-1598734.3100000024</v>
      </c>
      <c r="CJ157" s="312">
        <f t="shared" si="458"/>
        <v>-4889010.5</v>
      </c>
      <c r="CK157" s="312">
        <f t="shared" si="458"/>
        <v>-10200058</v>
      </c>
      <c r="CL157" s="312">
        <f t="shared" si="458"/>
        <v>5636869.5500000045</v>
      </c>
      <c r="CM157" s="312">
        <f t="shared" si="459"/>
        <v>-411029</v>
      </c>
      <c r="CN157" s="312">
        <f t="shared" si="459"/>
        <v>-4290077</v>
      </c>
      <c r="CO157" s="312">
        <f t="shared" si="459"/>
        <v>-1248605</v>
      </c>
      <c r="CP157" s="312">
        <f t="shared" si="459"/>
        <v>-11192151</v>
      </c>
      <c r="CQ157" s="312">
        <f t="shared" si="459"/>
        <v>-3812249</v>
      </c>
      <c r="CR157" s="312">
        <f t="shared" si="459"/>
        <v>-2047711</v>
      </c>
      <c r="CS157" s="312"/>
      <c r="CT157" s="350"/>
      <c r="CU157" s="37">
        <f>'MONTHLY SUMMARIES'!D117</f>
        <v>13037507</v>
      </c>
    </row>
    <row r="158" spans="1:100" s="40" customFormat="1" x14ac:dyDescent="0.3">
      <c r="A158" s="150"/>
      <c r="B158" s="41" t="s">
        <v>40</v>
      </c>
      <c r="C158" s="100">
        <f t="shared" ref="C158:D158" si="470">+C137-C144</f>
        <v>5397136.8300000019</v>
      </c>
      <c r="D158" s="101">
        <f t="shared" si="470"/>
        <v>1769066.7699999958</v>
      </c>
      <c r="E158" s="101">
        <f t="shared" ref="E158:R158" si="471">+E137-E144</f>
        <v>-1303454.9599999972</v>
      </c>
      <c r="F158" s="101">
        <f t="shared" si="471"/>
        <v>6390058.4000000022</v>
      </c>
      <c r="G158" s="101">
        <f t="shared" si="471"/>
        <v>5017220.870000001</v>
      </c>
      <c r="H158" s="101">
        <f t="shared" si="471"/>
        <v>3385276.6199999973</v>
      </c>
      <c r="I158" s="101">
        <f t="shared" si="471"/>
        <v>3659843.7399999984</v>
      </c>
      <c r="J158" s="101">
        <f t="shared" si="471"/>
        <v>-40717.64999999851</v>
      </c>
      <c r="K158" s="101">
        <f t="shared" si="471"/>
        <v>2689915.2200000025</v>
      </c>
      <c r="L158" s="102">
        <f t="shared" si="471"/>
        <v>5753907.3499999978</v>
      </c>
      <c r="M158" s="101">
        <f t="shared" si="471"/>
        <v>6502277.700000003</v>
      </c>
      <c r="N158" s="101">
        <f t="shared" si="471"/>
        <v>4661635.6400000006</v>
      </c>
      <c r="O158" s="101">
        <f t="shared" si="471"/>
        <v>3932733.400000006</v>
      </c>
      <c r="P158" s="101">
        <f t="shared" si="471"/>
        <v>7514001.200000003</v>
      </c>
      <c r="Q158" s="101">
        <f t="shared" si="471"/>
        <v>2182647</v>
      </c>
      <c r="R158" s="101">
        <f t="shared" si="471"/>
        <v>3772083.9600000009</v>
      </c>
      <c r="S158" s="101">
        <f t="shared" ref="S158:T158" si="472">+S137-S144</f>
        <v>14718330.219999999</v>
      </c>
      <c r="T158" s="101">
        <f t="shared" si="472"/>
        <v>22169596.090000004</v>
      </c>
      <c r="U158" s="101">
        <f t="shared" ref="U158:V158" si="473">+U137-U144</f>
        <v>7181463.6700000018</v>
      </c>
      <c r="V158" s="101">
        <f t="shared" si="473"/>
        <v>7246742</v>
      </c>
      <c r="W158" s="101">
        <f t="shared" ref="W158:AA158" si="474">+W137-W144</f>
        <v>7181463.6700000018</v>
      </c>
      <c r="X158" s="102">
        <f t="shared" si="474"/>
        <v>9909915.5099999979</v>
      </c>
      <c r="Y158" s="101">
        <f t="shared" si="474"/>
        <v>10938504</v>
      </c>
      <c r="Z158" s="101">
        <v>10577005</v>
      </c>
      <c r="AA158" s="101">
        <f t="shared" si="474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56"/>
        <v>-1464403.429999996</v>
      </c>
      <c r="BJ158" s="103">
        <f t="shared" si="456"/>
        <v>5744934.4300000072</v>
      </c>
      <c r="BK158" s="103">
        <f t="shared" si="456"/>
        <v>3486101.9599999972</v>
      </c>
      <c r="BL158" s="103">
        <f t="shared" si="456"/>
        <v>-2617974.4400000013</v>
      </c>
      <c r="BM158" s="103">
        <f t="shared" si="456"/>
        <v>9701109.3499999978</v>
      </c>
      <c r="BN158" s="103">
        <f t="shared" si="456"/>
        <v>18784319.470000006</v>
      </c>
      <c r="BO158" s="103">
        <f t="shared" si="456"/>
        <v>3521619.9300000034</v>
      </c>
      <c r="BP158" s="103">
        <f t="shared" si="456"/>
        <v>7287459.6499999985</v>
      </c>
      <c r="BQ158" s="103">
        <f t="shared" si="456"/>
        <v>4491548.4499999993</v>
      </c>
      <c r="BR158" s="103">
        <f t="shared" si="456"/>
        <v>4156008.16</v>
      </c>
      <c r="BS158" s="103">
        <f t="shared" si="457"/>
        <v>4436226.299999997</v>
      </c>
      <c r="BT158" s="103">
        <f t="shared" si="457"/>
        <v>5915369.3599999994</v>
      </c>
      <c r="BU158" s="103">
        <f t="shared" si="457"/>
        <v>-3177513.950000003</v>
      </c>
      <c r="BV158" s="103">
        <f t="shared" si="457"/>
        <v>3566726.6099999994</v>
      </c>
      <c r="BW158" s="103">
        <f t="shared" si="457"/>
        <v>1100153.1500000022</v>
      </c>
      <c r="BX158" s="103">
        <f t="shared" si="457"/>
        <v>8897154.6100000031</v>
      </c>
      <c r="BY158" s="103">
        <f t="shared" si="457"/>
        <v>-7672371.2199999988</v>
      </c>
      <c r="BZ158" s="103">
        <f t="shared" si="457"/>
        <v>-20380961.370000005</v>
      </c>
      <c r="CA158" s="277">
        <f t="shared" si="457"/>
        <v>-471442.67000000179</v>
      </c>
      <c r="CB158" s="277">
        <f t="shared" si="457"/>
        <v>139816</v>
      </c>
      <c r="CC158" s="277">
        <f t="shared" si="458"/>
        <v>-3717044.6700000018</v>
      </c>
      <c r="CD158" s="277">
        <f t="shared" si="458"/>
        <v>-2968752.5099999979</v>
      </c>
      <c r="CE158" s="312">
        <f t="shared" si="458"/>
        <v>832162</v>
      </c>
      <c r="CF158" s="312">
        <f t="shared" si="458"/>
        <v>-2792305</v>
      </c>
      <c r="CG158" s="312">
        <f t="shared" si="458"/>
        <v>3286660.549999997</v>
      </c>
      <c r="CH158" s="312">
        <f t="shared" si="458"/>
        <v>-5009337.8100000024</v>
      </c>
      <c r="CI158" s="312">
        <f t="shared" si="458"/>
        <v>1745740.8499999978</v>
      </c>
      <c r="CJ158" s="312">
        <f t="shared" si="458"/>
        <v>-1678633.570000004</v>
      </c>
      <c r="CK158" s="312">
        <f t="shared" si="458"/>
        <v>-844518</v>
      </c>
      <c r="CL158" s="312">
        <f t="shared" si="458"/>
        <v>10395407.280000001</v>
      </c>
      <c r="CM158" s="312">
        <f t="shared" si="459"/>
        <v>6987239</v>
      </c>
      <c r="CN158" s="312">
        <f t="shared" si="459"/>
        <v>-5374862</v>
      </c>
      <c r="CO158" s="312">
        <f t="shared" si="459"/>
        <v>-4139026</v>
      </c>
      <c r="CP158" s="312">
        <f t="shared" si="459"/>
        <v>-5480077</v>
      </c>
      <c r="CQ158" s="312">
        <f t="shared" si="459"/>
        <v>-8590399</v>
      </c>
      <c r="CR158" s="312">
        <f t="shared" si="459"/>
        <v>-4451903</v>
      </c>
      <c r="CS158" s="312"/>
      <c r="CT158" s="350"/>
      <c r="CU158" s="37">
        <f>'MONTHLY SUMMARIES'!D118</f>
        <v>10999337</v>
      </c>
    </row>
    <row r="159" spans="1:100" s="40" customFormat="1" x14ac:dyDescent="0.3">
      <c r="A159" s="150"/>
      <c r="B159" s="41" t="s">
        <v>41</v>
      </c>
      <c r="C159" s="100">
        <f t="shared" ref="C159:D159" si="475">+C138-C145</f>
        <v>9826169.8099999949</v>
      </c>
      <c r="D159" s="101">
        <f t="shared" si="475"/>
        <v>8030334.25</v>
      </c>
      <c r="E159" s="101">
        <f t="shared" ref="E159:R159" si="476">+E138-E145</f>
        <v>-3692229.1600000039</v>
      </c>
      <c r="F159" s="101">
        <f t="shared" si="476"/>
        <v>13420661.779999994</v>
      </c>
      <c r="G159" s="101">
        <f t="shared" si="476"/>
        <v>6251360.6499999985</v>
      </c>
      <c r="H159" s="101">
        <f t="shared" si="476"/>
        <v>7203253.2400000021</v>
      </c>
      <c r="I159" s="101">
        <f t="shared" si="476"/>
        <v>7730436.8500000015</v>
      </c>
      <c r="J159" s="101">
        <f t="shared" si="476"/>
        <v>4853666.5</v>
      </c>
      <c r="K159" s="101">
        <f t="shared" si="476"/>
        <v>4581950.9400000051</v>
      </c>
      <c r="L159" s="102">
        <f t="shared" si="476"/>
        <v>13886871.019999996</v>
      </c>
      <c r="M159" s="101">
        <f t="shared" si="476"/>
        <v>11472008.5</v>
      </c>
      <c r="N159" s="101">
        <f t="shared" si="476"/>
        <v>6230741.6000000015</v>
      </c>
      <c r="O159" s="101">
        <f t="shared" si="476"/>
        <v>4553774.9600000009</v>
      </c>
      <c r="P159" s="101">
        <f t="shared" si="476"/>
        <v>13715949.190000005</v>
      </c>
      <c r="Q159" s="101">
        <f t="shared" si="476"/>
        <v>4006195.7600000054</v>
      </c>
      <c r="R159" s="101">
        <f t="shared" si="476"/>
        <v>10508141.239999995</v>
      </c>
      <c r="S159" s="101">
        <f t="shared" ref="S159:T159" si="477">+S138-S145</f>
        <v>6539612.7899999991</v>
      </c>
      <c r="T159" s="101">
        <f t="shared" si="477"/>
        <v>10166062.600000001</v>
      </c>
      <c r="U159" s="101">
        <f t="shared" ref="U159:V159" si="478">+U138-U145</f>
        <v>4207012.3900000006</v>
      </c>
      <c r="V159" s="101">
        <f t="shared" si="478"/>
        <v>18418219</v>
      </c>
      <c r="W159" s="101">
        <f t="shared" ref="W159:AA159" si="479">+W138-W145</f>
        <v>4207012.3900000006</v>
      </c>
      <c r="X159" s="102">
        <f t="shared" si="479"/>
        <v>11222646.82</v>
      </c>
      <c r="Y159" s="101">
        <f t="shared" si="479"/>
        <v>17114653</v>
      </c>
      <c r="Z159" s="101">
        <v>11303621</v>
      </c>
      <c r="AA159" s="101">
        <f t="shared" si="479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56"/>
        <v>-5272394.849999994</v>
      </c>
      <c r="BJ159" s="103">
        <f t="shared" si="456"/>
        <v>5685614.9400000051</v>
      </c>
      <c r="BK159" s="103">
        <f t="shared" si="456"/>
        <v>7698424.9200000092</v>
      </c>
      <c r="BL159" s="103">
        <f t="shared" si="456"/>
        <v>-2912520.5399999991</v>
      </c>
      <c r="BM159" s="103">
        <f t="shared" si="456"/>
        <v>288252.1400000006</v>
      </c>
      <c r="BN159" s="103">
        <f t="shared" si="456"/>
        <v>2962809.3599999994</v>
      </c>
      <c r="BO159" s="103">
        <f t="shared" si="456"/>
        <v>-3523424.4600000009</v>
      </c>
      <c r="BP159" s="103">
        <f t="shared" si="456"/>
        <v>13564552.5</v>
      </c>
      <c r="BQ159" s="103">
        <f t="shared" si="456"/>
        <v>-374938.55000000447</v>
      </c>
      <c r="BR159" s="103">
        <f t="shared" si="456"/>
        <v>-2664224.1999999955</v>
      </c>
      <c r="BS159" s="103">
        <f t="shared" si="457"/>
        <v>5642644.5</v>
      </c>
      <c r="BT159" s="103">
        <f t="shared" si="457"/>
        <v>5072879.3999999985</v>
      </c>
      <c r="BU159" s="103">
        <f t="shared" si="457"/>
        <v>-3211296.7199999988</v>
      </c>
      <c r="BV159" s="103">
        <f t="shared" si="457"/>
        <v>-4957688.9400000051</v>
      </c>
      <c r="BW159" s="103">
        <f t="shared" si="457"/>
        <v>331049.01999998838</v>
      </c>
      <c r="BX159" s="103">
        <f t="shared" si="457"/>
        <v>1744552.3900000006</v>
      </c>
      <c r="BY159" s="103">
        <f t="shared" si="457"/>
        <v>3843702.2100000009</v>
      </c>
      <c r="BZ159" s="103">
        <f t="shared" si="457"/>
        <v>-8385364.8500000015</v>
      </c>
      <c r="CA159" s="277">
        <f t="shared" si="457"/>
        <v>10045913.609999999</v>
      </c>
      <c r="CB159" s="277">
        <f t="shared" si="457"/>
        <v>-2768979</v>
      </c>
      <c r="CC159" s="277">
        <f t="shared" si="458"/>
        <v>-4238885.3900000006</v>
      </c>
      <c r="CD159" s="277">
        <f t="shared" si="458"/>
        <v>1072868.1799999997</v>
      </c>
      <c r="CE159" s="312">
        <f t="shared" si="458"/>
        <v>2679719</v>
      </c>
      <c r="CF159" s="312">
        <f t="shared" si="458"/>
        <v>-3924792</v>
      </c>
      <c r="CG159" s="312">
        <f t="shared" si="458"/>
        <v>2650286.7599999979</v>
      </c>
      <c r="CH159" s="312">
        <f t="shared" si="458"/>
        <v>-4756629.25</v>
      </c>
      <c r="CI159" s="312">
        <f t="shared" si="458"/>
        <v>-2035231.7799999937</v>
      </c>
      <c r="CJ159" s="312">
        <f t="shared" si="458"/>
        <v>2316502.3700000048</v>
      </c>
      <c r="CK159" s="312">
        <f t="shared" si="458"/>
        <v>-721981</v>
      </c>
      <c r="CL159" s="312">
        <f t="shared" si="458"/>
        <v>12791070.25</v>
      </c>
      <c r="CM159" s="312">
        <f t="shared" si="459"/>
        <v>9304666</v>
      </c>
      <c r="CN159" s="312">
        <f t="shared" si="459"/>
        <v>-22246985</v>
      </c>
      <c r="CO159" s="312">
        <f t="shared" si="459"/>
        <v>830071</v>
      </c>
      <c r="CP159" s="312">
        <f t="shared" si="459"/>
        <v>-10281251</v>
      </c>
      <c r="CQ159" s="312">
        <f t="shared" si="459"/>
        <v>-13957176</v>
      </c>
      <c r="CR159" s="312">
        <f t="shared" si="459"/>
        <v>-5630178</v>
      </c>
      <c r="CS159" s="312"/>
      <c r="CT159" s="350"/>
      <c r="CU159" s="37">
        <f>'MONTHLY SUMMARIES'!D119</f>
        <v>7746533</v>
      </c>
    </row>
    <row r="160" spans="1:100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480">SUM(D155:D159)</f>
        <v>-7310022.4600000009</v>
      </c>
      <c r="E160" s="131">
        <f t="shared" si="480"/>
        <v>-20147437.000000004</v>
      </c>
      <c r="F160" s="38">
        <f t="shared" si="480"/>
        <v>30149676.36999999</v>
      </c>
      <c r="G160" s="131">
        <f t="shared" si="480"/>
        <v>49997274.369999982</v>
      </c>
      <c r="H160" s="131">
        <f t="shared" si="480"/>
        <v>23785869.630000003</v>
      </c>
      <c r="I160" s="131">
        <f t="shared" si="480"/>
        <v>-3123137.5000000075</v>
      </c>
      <c r="J160" s="131">
        <f t="shared" si="480"/>
        <v>-10386143.400000012</v>
      </c>
      <c r="K160" s="131">
        <f t="shared" si="480"/>
        <v>19571167.900000006</v>
      </c>
      <c r="L160" s="132">
        <f t="shared" si="480"/>
        <v>48026956.540000007</v>
      </c>
      <c r="M160" s="131">
        <f t="shared" si="480"/>
        <v>55222006.599999979</v>
      </c>
      <c r="N160" s="38">
        <f t="shared" si="480"/>
        <v>17731881.299999993</v>
      </c>
      <c r="O160" s="38">
        <f t="shared" si="480"/>
        <v>16866472.219999991</v>
      </c>
      <c r="P160" s="38">
        <f t="shared" si="480"/>
        <v>44746436.010000013</v>
      </c>
      <c r="Q160" s="38">
        <f t="shared" si="480"/>
        <v>5091866.6900000051</v>
      </c>
      <c r="R160" s="38">
        <f t="shared" si="480"/>
        <v>32374854.739999987</v>
      </c>
      <c r="S160" s="38">
        <f t="shared" ref="S160:T160" si="481">SUM(S155:S159)</f>
        <v>71367382.189999998</v>
      </c>
      <c r="T160" s="38">
        <f t="shared" si="481"/>
        <v>71452594.849999994</v>
      </c>
      <c r="U160" s="38">
        <f t="shared" ref="U160:V160" si="482">SUM(U155:U159)</f>
        <v>2309070.9900000077</v>
      </c>
      <c r="V160" s="38">
        <f t="shared" si="482"/>
        <v>16603231</v>
      </c>
      <c r="W160" s="38">
        <f t="shared" ref="W160" si="483">SUM(W155:W159)</f>
        <v>2309070.9900000077</v>
      </c>
      <c r="X160" s="132">
        <f t="shared" ref="X160:AA160" si="484">SUM(X155:X159)</f>
        <v>64405202.679999992</v>
      </c>
      <c r="Y160" s="38">
        <f t="shared" si="484"/>
        <v>73872261</v>
      </c>
      <c r="Z160" s="38">
        <v>48445884</v>
      </c>
      <c r="AA160" s="38">
        <f t="shared" si="484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27"/>
        <v>-7089631.3800000157</v>
      </c>
      <c r="BJ160" s="133">
        <f t="shared" ref="BJ160:BL160" si="485">SUM(BJ155:BJ159)</f>
        <v>52056458.470000014</v>
      </c>
      <c r="BK160" s="133">
        <f t="shared" si="485"/>
        <v>25239303.690000009</v>
      </c>
      <c r="BL160" s="133">
        <f t="shared" si="485"/>
        <v>2225178.3699999973</v>
      </c>
      <c r="BM160" s="133">
        <f t="shared" ref="BM160:BN160" si="486">SUM(BM155:BM159)</f>
        <v>21370107.82</v>
      </c>
      <c r="BN160" s="133">
        <f t="shared" si="486"/>
        <v>47666725.219999999</v>
      </c>
      <c r="BO160" s="133">
        <f t="shared" ref="BO160:BP160" si="487">SUM(BO155:BO159)</f>
        <v>5432208.4900000151</v>
      </c>
      <c r="BP160" s="133">
        <f t="shared" si="487"/>
        <v>26989374.400000013</v>
      </c>
      <c r="BQ160" s="133">
        <f t="shared" ref="BQ160:BR160" si="488">SUM(BQ155:BQ159)</f>
        <v>-17262096.909999996</v>
      </c>
      <c r="BR160" s="133">
        <f t="shared" si="488"/>
        <v>16378246.139999989</v>
      </c>
      <c r="BS160" s="133">
        <f t="shared" ref="BS160:BT160" si="489">SUM(BS155:BS159)</f>
        <v>18650254.400000021</v>
      </c>
      <c r="BT160" s="133">
        <f t="shared" si="489"/>
        <v>30714002.700000007</v>
      </c>
      <c r="BU160" s="133">
        <f t="shared" ref="BU160:BV160" si="490">SUM(BU155:BU159)</f>
        <v>-17168910.509999987</v>
      </c>
      <c r="BV160" s="133">
        <f t="shared" si="490"/>
        <v>-16458030.339999996</v>
      </c>
      <c r="BW160" s="133">
        <f t="shared" ref="BW160:BX160" si="491">SUM(BW155:BW159)</f>
        <v>-4839800.9500000123</v>
      </c>
      <c r="BX160" s="133">
        <f t="shared" si="491"/>
        <v>22920489.770000018</v>
      </c>
      <c r="BY160" s="133">
        <f t="shared" ref="BY160:BZ160" si="492">SUM(BY155:BY159)</f>
        <v>-19071414.189999986</v>
      </c>
      <c r="BZ160" s="133">
        <f t="shared" si="492"/>
        <v>-61363484.340000011</v>
      </c>
      <c r="CA160" s="274">
        <f t="shared" ref="CA160:CB160" si="493">SUM(CA155:CA159)</f>
        <v>36226769.00999999</v>
      </c>
      <c r="CB160" s="274">
        <f t="shared" si="493"/>
        <v>-21413383</v>
      </c>
      <c r="CC160" s="274">
        <f t="shared" ref="CC160:CE160" si="494">SUM(CC155:CC159)</f>
        <v>-23793132.99000001</v>
      </c>
      <c r="CD160" s="274">
        <f t="shared" si="494"/>
        <v>8831909.3200000059</v>
      </c>
      <c r="CE160" s="326">
        <f t="shared" si="494"/>
        <v>-7216405</v>
      </c>
      <c r="CF160" s="326">
        <f t="shared" ref="CF160:CG160" si="495">SUM(CF155:CF159)</f>
        <v>-11295364</v>
      </c>
      <c r="CG160" s="326">
        <f t="shared" si="495"/>
        <v>1766007.2899999935</v>
      </c>
      <c r="CH160" s="326">
        <f t="shared" ref="CH160:CI160" si="496">SUM(CH155:CH159)</f>
        <v>-26153194.670000017</v>
      </c>
      <c r="CI160" s="326">
        <f t="shared" si="496"/>
        <v>-1433790.7399999928</v>
      </c>
      <c r="CJ160" s="326">
        <f t="shared" ref="CJ160" si="497">SUM(CJ155:CJ159)</f>
        <v>-10013538.510000007</v>
      </c>
      <c r="CK160" s="326">
        <f t="shared" ref="CK160" si="498">SUM(CK155:CK159)</f>
        <v>2094083</v>
      </c>
      <c r="CL160" s="326">
        <f t="shared" ref="CL160" si="499">SUM(CL155:CL159)</f>
        <v>54528255.49000001</v>
      </c>
      <c r="CM160" s="326">
        <f t="shared" ref="CM160" si="500">SUM(CM155:CM159)</f>
        <v>-8329479</v>
      </c>
      <c r="CN160" s="326">
        <f t="shared" ref="CN160" si="501">SUM(CN155:CN159)</f>
        <v>-40204715</v>
      </c>
      <c r="CO160" s="326">
        <f t="shared" ref="CO160" si="502">SUM(CO155:CO159)</f>
        <v>15731671</v>
      </c>
      <c r="CP160" s="366">
        <f t="shared" ref="CP160" si="503">SUM(CP155:CP159)</f>
        <v>-63489354</v>
      </c>
      <c r="CQ160" s="366">
        <f t="shared" ref="CQ160:CS160" si="504">SUM(CQ155:CQ159)</f>
        <v>-39939683</v>
      </c>
      <c r="CR160" s="366">
        <f t="shared" ref="CR160" si="505">SUM(CR155:CR159)</f>
        <v>-18317872</v>
      </c>
      <c r="CS160" s="366"/>
      <c r="CT160" s="351"/>
      <c r="CU160" s="38">
        <f t="shared" si="450"/>
        <v>49926577</v>
      </c>
    </row>
    <row r="161" spans="1:9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48"/>
      <c r="CU161" s="81"/>
    </row>
    <row r="162" spans="1:99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R162" si="506">O162-C162</f>
        <v>-553</v>
      </c>
      <c r="BJ162" s="111">
        <f t="shared" si="506"/>
        <v>-786</v>
      </c>
      <c r="BK162" s="111">
        <f t="shared" si="506"/>
        <v>-1273</v>
      </c>
      <c r="BL162" s="111">
        <f t="shared" si="506"/>
        <v>-1438</v>
      </c>
      <c r="BM162" s="111">
        <f t="shared" si="506"/>
        <v>-1497</v>
      </c>
      <c r="BN162" s="111">
        <f t="shared" si="506"/>
        <v>-1460</v>
      </c>
      <c r="BO162" s="111">
        <f t="shared" si="506"/>
        <v>-1359</v>
      </c>
      <c r="BP162" s="111">
        <f t="shared" si="506"/>
        <v>-890</v>
      </c>
      <c r="BQ162" s="111">
        <f t="shared" si="506"/>
        <v>-958</v>
      </c>
      <c r="BR162" s="111">
        <f t="shared" si="506"/>
        <v>-884</v>
      </c>
      <c r="BS162" s="111">
        <f t="shared" si="506"/>
        <v>-451</v>
      </c>
      <c r="BT162" s="111">
        <f t="shared" si="506"/>
        <v>-504</v>
      </c>
      <c r="BU162" s="111">
        <f t="shared" si="506"/>
        <v>-481</v>
      </c>
      <c r="BV162" s="111">
        <f t="shared" si="506"/>
        <v>783</v>
      </c>
      <c r="BW162" s="111">
        <f t="shared" si="506"/>
        <v>914</v>
      </c>
      <c r="BX162" s="111">
        <f t="shared" si="506"/>
        <v>1015</v>
      </c>
      <c r="BY162" s="111">
        <f t="shared" si="506"/>
        <v>1377</v>
      </c>
      <c r="BZ162" s="111">
        <f t="shared" si="506"/>
        <v>1330</v>
      </c>
      <c r="CA162" s="280">
        <f t="shared" si="506"/>
        <v>1814</v>
      </c>
      <c r="CB162" s="280">
        <f t="shared" si="506"/>
        <v>2724</v>
      </c>
      <c r="CC162" s="280">
        <f t="shared" si="506"/>
        <v>4176</v>
      </c>
      <c r="CD162" s="280">
        <f t="shared" si="506"/>
        <v>2532</v>
      </c>
      <c r="CE162" s="309">
        <f t="shared" si="506"/>
        <v>3108</v>
      </c>
      <c r="CF162" s="309">
        <f t="shared" si="506"/>
        <v>3696</v>
      </c>
      <c r="CG162" s="309">
        <f t="shared" si="506"/>
        <v>3529</v>
      </c>
      <c r="CH162" s="309">
        <f t="shared" si="506"/>
        <v>720</v>
      </c>
      <c r="CI162" s="309">
        <f t="shared" si="506"/>
        <v>541</v>
      </c>
      <c r="CJ162" s="309">
        <f t="shared" si="506"/>
        <v>238</v>
      </c>
      <c r="CK162" s="309">
        <f t="shared" si="506"/>
        <v>257</v>
      </c>
      <c r="CL162" s="309">
        <f t="shared" si="506"/>
        <v>325</v>
      </c>
      <c r="CM162" s="309">
        <f t="shared" si="506"/>
        <v>-552</v>
      </c>
      <c r="CN162" s="309">
        <f t="shared" si="506"/>
        <v>-2106</v>
      </c>
      <c r="CO162" s="309">
        <f t="shared" si="506"/>
        <v>-3404</v>
      </c>
      <c r="CP162" s="309">
        <f t="shared" si="506"/>
        <v>-777</v>
      </c>
      <c r="CQ162" s="309">
        <f t="shared" si="506"/>
        <v>-2566</v>
      </c>
      <c r="CR162" s="309">
        <f t="shared" si="506"/>
        <v>-2899</v>
      </c>
      <c r="CS162" s="309"/>
      <c r="CT162" s="348"/>
      <c r="CU162" s="36">
        <f>'MONTHLY SUMMARIES'!D122</f>
        <v>1640</v>
      </c>
    </row>
    <row r="163" spans="1:99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48"/>
      <c r="CU163" s="67">
        <f>GETPIVOTDATA("VALUE",'CSS ESCO pvt'!$I$3,"DATE_FILE",$CU$8,"COMPANY",$CU$6,"TRIM_CAT","Residential-GRID","TRIM_LINE",$A161)</f>
        <v>887</v>
      </c>
    </row>
    <row r="164" spans="1:99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48"/>
      <c r="CU164" s="81">
        <f>CU162-CU163</f>
        <v>753</v>
      </c>
    </row>
    <row r="165" spans="1:99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R165" si="507">O165-C165</f>
        <v>1774</v>
      </c>
      <c r="BJ165" s="111">
        <f t="shared" si="507"/>
        <v>811</v>
      </c>
      <c r="BK165" s="111">
        <f t="shared" si="507"/>
        <v>-931</v>
      </c>
      <c r="BL165" s="111">
        <f t="shared" si="507"/>
        <v>-1733</v>
      </c>
      <c r="BM165" s="111">
        <f t="shared" si="507"/>
        <v>-1837</v>
      </c>
      <c r="BN165" s="111">
        <f t="shared" si="507"/>
        <v>-2184</v>
      </c>
      <c r="BO165" s="111">
        <f t="shared" si="507"/>
        <v>-2407</v>
      </c>
      <c r="BP165" s="111">
        <f t="shared" si="507"/>
        <v>-1589</v>
      </c>
      <c r="BQ165" s="111">
        <f t="shared" si="507"/>
        <v>-427</v>
      </c>
      <c r="BR165" s="111">
        <f t="shared" si="507"/>
        <v>472</v>
      </c>
      <c r="BS165" s="111">
        <f t="shared" si="507"/>
        <v>1222</v>
      </c>
      <c r="BT165" s="111">
        <f t="shared" si="507"/>
        <v>2485</v>
      </c>
      <c r="BU165" s="111">
        <f t="shared" si="507"/>
        <v>3230</v>
      </c>
      <c r="BV165" s="111">
        <f t="shared" si="507"/>
        <v>19000</v>
      </c>
      <c r="BW165" s="111">
        <f t="shared" si="507"/>
        <v>21736</v>
      </c>
      <c r="BX165" s="111">
        <f t="shared" si="507"/>
        <v>23337</v>
      </c>
      <c r="BY165" s="111">
        <f t="shared" si="507"/>
        <v>18526</v>
      </c>
      <c r="BZ165" s="111">
        <f t="shared" si="507"/>
        <v>19085</v>
      </c>
      <c r="CA165" s="280">
        <f t="shared" si="507"/>
        <v>19399</v>
      </c>
      <c r="CB165" s="280">
        <f t="shared" si="507"/>
        <v>17550</v>
      </c>
      <c r="CC165" s="280">
        <f t="shared" si="507"/>
        <v>14695</v>
      </c>
      <c r="CD165" s="280">
        <f t="shared" si="507"/>
        <v>14238</v>
      </c>
      <c r="CE165" s="309">
        <f t="shared" si="507"/>
        <v>12030</v>
      </c>
      <c r="CF165" s="309">
        <f t="shared" si="507"/>
        <v>10038</v>
      </c>
      <c r="CG165" s="309">
        <f t="shared" si="507"/>
        <v>8968</v>
      </c>
      <c r="CH165" s="309">
        <f t="shared" si="507"/>
        <v>-7740</v>
      </c>
      <c r="CI165" s="309">
        <f t="shared" si="507"/>
        <v>-8780</v>
      </c>
      <c r="CJ165" s="309">
        <f t="shared" si="507"/>
        <v>-10284</v>
      </c>
      <c r="CK165" s="309">
        <f t="shared" si="507"/>
        <v>-7025</v>
      </c>
      <c r="CL165" s="309">
        <f t="shared" si="507"/>
        <v>-8468</v>
      </c>
      <c r="CM165" s="309">
        <f t="shared" si="507"/>
        <v>-9738</v>
      </c>
      <c r="CN165" s="309">
        <f t="shared" si="507"/>
        <v>-8272</v>
      </c>
      <c r="CO165" s="309">
        <f t="shared" si="507"/>
        <v>-6892</v>
      </c>
      <c r="CP165" s="309">
        <f t="shared" si="507"/>
        <v>-8524</v>
      </c>
      <c r="CQ165" s="309">
        <f t="shared" si="507"/>
        <v>-5678</v>
      </c>
      <c r="CR165" s="309">
        <f t="shared" si="507"/>
        <v>-4396</v>
      </c>
      <c r="CS165" s="309"/>
      <c r="CT165" s="348"/>
      <c r="CU165" s="36">
        <f>'MONTHLY SUMMARIES'!D123</f>
        <v>15937</v>
      </c>
    </row>
    <row r="166" spans="1:99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48"/>
      <c r="CU166" s="67">
        <f>GETPIVOTDATA("VALUE",'CSS ESCO pvt'!$I$3,"DATE_FILE",$CU$8,"COMPANY",$CU$6,"TRIM_CAT","Low Income Residential-GRID","TRIM_LINE",$A161)</f>
        <v>7828</v>
      </c>
    </row>
    <row r="167" spans="1:99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48"/>
      <c r="CU167" s="81">
        <f>CU165-CU166</f>
        <v>8109</v>
      </c>
    </row>
    <row r="168" spans="1:9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08">O168-C168</f>
        <v>0</v>
      </c>
      <c r="BJ168" s="111">
        <f t="shared" si="508"/>
        <v>0</v>
      </c>
      <c r="BK168" s="111">
        <f t="shared" si="508"/>
        <v>0</v>
      </c>
      <c r="BL168" s="111">
        <f t="shared" si="508"/>
        <v>0</v>
      </c>
      <c r="BM168" s="111">
        <f t="shared" si="508"/>
        <v>0</v>
      </c>
      <c r="BN168" s="111">
        <f t="shared" si="508"/>
        <v>0</v>
      </c>
      <c r="BO168" s="111">
        <f t="shared" si="508"/>
        <v>0</v>
      </c>
      <c r="BP168" s="111">
        <f t="shared" si="508"/>
        <v>0</v>
      </c>
      <c r="BQ168" s="111">
        <f t="shared" si="508"/>
        <v>0</v>
      </c>
      <c r="BR168" s="111">
        <f t="shared" si="508"/>
        <v>0</v>
      </c>
      <c r="BS168" s="111">
        <f t="shared" ref="BS168:CB170" si="509">Y168-M168</f>
        <v>0</v>
      </c>
      <c r="BT168" s="111">
        <f t="shared" si="509"/>
        <v>0</v>
      </c>
      <c r="BU168" s="111">
        <f t="shared" si="509"/>
        <v>0</v>
      </c>
      <c r="BV168" s="111">
        <f t="shared" si="509"/>
        <v>0</v>
      </c>
      <c r="BW168" s="111">
        <f t="shared" si="509"/>
        <v>0</v>
      </c>
      <c r="BX168" s="111">
        <f t="shared" si="509"/>
        <v>1</v>
      </c>
      <c r="BY168" s="111">
        <f t="shared" si="509"/>
        <v>0</v>
      </c>
      <c r="BZ168" s="111">
        <f t="shared" si="509"/>
        <v>0</v>
      </c>
      <c r="CA168" s="280">
        <f t="shared" si="509"/>
        <v>0</v>
      </c>
      <c r="CB168" s="280">
        <f t="shared" si="509"/>
        <v>0</v>
      </c>
      <c r="CC168" s="280">
        <f t="shared" ref="CC168:CL170" si="510">AI168-W168</f>
        <v>0</v>
      </c>
      <c r="CD168" s="280">
        <f t="shared" si="510"/>
        <v>0</v>
      </c>
      <c r="CE168" s="309">
        <f t="shared" si="510"/>
        <v>0</v>
      </c>
      <c r="CF168" s="309">
        <f t="shared" si="510"/>
        <v>0</v>
      </c>
      <c r="CG168" s="309">
        <f t="shared" si="510"/>
        <v>0</v>
      </c>
      <c r="CH168" s="309">
        <f t="shared" si="510"/>
        <v>0</v>
      </c>
      <c r="CI168" s="309">
        <f t="shared" si="510"/>
        <v>0</v>
      </c>
      <c r="CJ168" s="309">
        <f t="shared" si="510"/>
        <v>-1</v>
      </c>
      <c r="CK168" s="309">
        <f t="shared" si="510"/>
        <v>0</v>
      </c>
      <c r="CL168" s="309">
        <f t="shared" si="510"/>
        <v>0</v>
      </c>
      <c r="CM168" s="309">
        <f t="shared" ref="CM168:CR170" si="511">AS168-AG168</f>
        <v>1</v>
      </c>
      <c r="CN168" s="309">
        <f t="shared" si="511"/>
        <v>2</v>
      </c>
      <c r="CO168" s="309">
        <f t="shared" si="511"/>
        <v>2</v>
      </c>
      <c r="CP168" s="309">
        <f t="shared" si="511"/>
        <v>2</v>
      </c>
      <c r="CQ168" s="309">
        <f t="shared" si="511"/>
        <v>2</v>
      </c>
      <c r="CR168" s="309">
        <f t="shared" si="511"/>
        <v>1</v>
      </c>
      <c r="CS168" s="309"/>
      <c r="CT168" s="348"/>
      <c r="CU168" s="36">
        <f>'MONTHLY SUMMARIES'!D124</f>
        <v>1</v>
      </c>
    </row>
    <row r="169" spans="1:9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08"/>
        <v>0</v>
      </c>
      <c r="BJ169" s="111">
        <f t="shared" si="508"/>
        <v>0</v>
      </c>
      <c r="BK169" s="111">
        <f t="shared" si="508"/>
        <v>0</v>
      </c>
      <c r="BL169" s="111">
        <f t="shared" si="508"/>
        <v>0</v>
      </c>
      <c r="BM169" s="111">
        <f t="shared" si="508"/>
        <v>0</v>
      </c>
      <c r="BN169" s="111">
        <f t="shared" si="508"/>
        <v>0</v>
      </c>
      <c r="BO169" s="111">
        <f t="shared" si="508"/>
        <v>0</v>
      </c>
      <c r="BP169" s="111">
        <f t="shared" si="508"/>
        <v>0</v>
      </c>
      <c r="BQ169" s="111">
        <f t="shared" si="508"/>
        <v>0</v>
      </c>
      <c r="BR169" s="111">
        <f t="shared" si="508"/>
        <v>0</v>
      </c>
      <c r="BS169" s="111">
        <f t="shared" si="509"/>
        <v>0</v>
      </c>
      <c r="BT169" s="111">
        <f t="shared" si="509"/>
        <v>0</v>
      </c>
      <c r="BU169" s="111">
        <f t="shared" si="509"/>
        <v>0</v>
      </c>
      <c r="BV169" s="111">
        <f t="shared" si="509"/>
        <v>0</v>
      </c>
      <c r="BW169" s="111">
        <f t="shared" si="509"/>
        <v>0</v>
      </c>
      <c r="BX169" s="111">
        <f t="shared" si="509"/>
        <v>0</v>
      </c>
      <c r="BY169" s="111">
        <f t="shared" si="509"/>
        <v>0</v>
      </c>
      <c r="BZ169" s="111">
        <f t="shared" si="509"/>
        <v>0</v>
      </c>
      <c r="CA169" s="280">
        <f t="shared" si="509"/>
        <v>0</v>
      </c>
      <c r="CB169" s="280">
        <f t="shared" si="509"/>
        <v>0</v>
      </c>
      <c r="CC169" s="280">
        <f t="shared" si="510"/>
        <v>0</v>
      </c>
      <c r="CD169" s="280">
        <f t="shared" si="510"/>
        <v>0</v>
      </c>
      <c r="CE169" s="309">
        <f t="shared" si="510"/>
        <v>0</v>
      </c>
      <c r="CF169" s="309">
        <f t="shared" si="510"/>
        <v>0</v>
      </c>
      <c r="CG169" s="309">
        <f t="shared" si="510"/>
        <v>0</v>
      </c>
      <c r="CH169" s="309">
        <f t="shared" si="510"/>
        <v>0</v>
      </c>
      <c r="CI169" s="309">
        <f t="shared" si="510"/>
        <v>0</v>
      </c>
      <c r="CJ169" s="309">
        <f t="shared" si="510"/>
        <v>0</v>
      </c>
      <c r="CK169" s="309">
        <f t="shared" si="510"/>
        <v>0</v>
      </c>
      <c r="CL169" s="309">
        <f t="shared" si="510"/>
        <v>0</v>
      </c>
      <c r="CM169" s="309">
        <f t="shared" si="511"/>
        <v>0</v>
      </c>
      <c r="CN169" s="309">
        <f t="shared" si="511"/>
        <v>0</v>
      </c>
      <c r="CO169" s="309">
        <f t="shared" si="511"/>
        <v>0</v>
      </c>
      <c r="CP169" s="309">
        <f t="shared" si="511"/>
        <v>0</v>
      </c>
      <c r="CQ169" s="309">
        <f t="shared" si="511"/>
        <v>0</v>
      </c>
      <c r="CR169" s="309">
        <f t="shared" si="511"/>
        <v>0</v>
      </c>
      <c r="CS169" s="309"/>
      <c r="CT169" s="348"/>
      <c r="CU169" s="36">
        <f>'MONTHLY SUMMARIES'!D125</f>
        <v>0</v>
      </c>
    </row>
    <row r="170" spans="1:9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08"/>
        <v>0</v>
      </c>
      <c r="BJ170" s="111">
        <f t="shared" si="508"/>
        <v>0</v>
      </c>
      <c r="BK170" s="111">
        <f t="shared" si="508"/>
        <v>0</v>
      </c>
      <c r="BL170" s="111">
        <f t="shared" si="508"/>
        <v>0</v>
      </c>
      <c r="BM170" s="111">
        <f t="shared" si="508"/>
        <v>0</v>
      </c>
      <c r="BN170" s="111">
        <f t="shared" si="508"/>
        <v>0</v>
      </c>
      <c r="BO170" s="111">
        <f t="shared" si="508"/>
        <v>0</v>
      </c>
      <c r="BP170" s="111">
        <f t="shared" si="508"/>
        <v>0</v>
      </c>
      <c r="BQ170" s="111">
        <f t="shared" si="508"/>
        <v>0</v>
      </c>
      <c r="BR170" s="111">
        <f t="shared" si="508"/>
        <v>0</v>
      </c>
      <c r="BS170" s="111">
        <f t="shared" si="509"/>
        <v>0</v>
      </c>
      <c r="BT170" s="111">
        <f t="shared" si="509"/>
        <v>0</v>
      </c>
      <c r="BU170" s="111">
        <f t="shared" si="509"/>
        <v>0</v>
      </c>
      <c r="BV170" s="111">
        <f t="shared" si="509"/>
        <v>0</v>
      </c>
      <c r="BW170" s="111">
        <f t="shared" si="509"/>
        <v>0</v>
      </c>
      <c r="BX170" s="111">
        <f t="shared" si="509"/>
        <v>0</v>
      </c>
      <c r="BY170" s="111">
        <f t="shared" si="509"/>
        <v>0</v>
      </c>
      <c r="BZ170" s="111">
        <f t="shared" si="509"/>
        <v>0</v>
      </c>
      <c r="CA170" s="280">
        <f t="shared" si="509"/>
        <v>0</v>
      </c>
      <c r="CB170" s="280">
        <f t="shared" si="509"/>
        <v>0</v>
      </c>
      <c r="CC170" s="280">
        <f t="shared" si="510"/>
        <v>0</v>
      </c>
      <c r="CD170" s="280">
        <f t="shared" si="510"/>
        <v>0</v>
      </c>
      <c r="CE170" s="309">
        <f t="shared" si="510"/>
        <v>0</v>
      </c>
      <c r="CF170" s="309">
        <f t="shared" si="510"/>
        <v>0</v>
      </c>
      <c r="CG170" s="309">
        <f t="shared" si="510"/>
        <v>0</v>
      </c>
      <c r="CH170" s="309">
        <f t="shared" si="510"/>
        <v>0</v>
      </c>
      <c r="CI170" s="309">
        <f t="shared" si="510"/>
        <v>0</v>
      </c>
      <c r="CJ170" s="309">
        <f t="shared" si="510"/>
        <v>0</v>
      </c>
      <c r="CK170" s="309">
        <f t="shared" si="510"/>
        <v>0</v>
      </c>
      <c r="CL170" s="309">
        <f t="shared" si="510"/>
        <v>0</v>
      </c>
      <c r="CM170" s="309">
        <f t="shared" si="511"/>
        <v>0</v>
      </c>
      <c r="CN170" s="309">
        <f t="shared" si="511"/>
        <v>0</v>
      </c>
      <c r="CO170" s="309">
        <f t="shared" si="511"/>
        <v>0</v>
      </c>
      <c r="CP170" s="309">
        <f t="shared" si="511"/>
        <v>0</v>
      </c>
      <c r="CQ170" s="309">
        <f t="shared" si="511"/>
        <v>0</v>
      </c>
      <c r="CR170" s="309">
        <f t="shared" si="511"/>
        <v>0</v>
      </c>
      <c r="CS170" s="309"/>
      <c r="CT170" s="348"/>
      <c r="CU170" s="36">
        <f>'MONTHLY SUMMARIES'!D126</f>
        <v>0</v>
      </c>
    </row>
    <row r="171" spans="1:99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512">SUM(D162:D170)</f>
        <v>7357</v>
      </c>
      <c r="E171" s="126">
        <f t="shared" si="512"/>
        <v>8502</v>
      </c>
      <c r="F171" s="127">
        <f t="shared" si="512"/>
        <v>9057</v>
      </c>
      <c r="G171" s="126">
        <f t="shared" si="512"/>
        <v>9364</v>
      </c>
      <c r="H171" s="127">
        <f t="shared" si="512"/>
        <v>9652</v>
      </c>
      <c r="I171" s="126">
        <f t="shared" si="512"/>
        <v>9786</v>
      </c>
      <c r="J171" s="127">
        <f t="shared" si="512"/>
        <v>9722</v>
      </c>
      <c r="K171" s="126">
        <f t="shared" si="512"/>
        <v>9340</v>
      </c>
      <c r="L171" s="128">
        <f t="shared" si="512"/>
        <v>8926</v>
      </c>
      <c r="M171" s="127">
        <f t="shared" si="512"/>
        <v>8347</v>
      </c>
      <c r="N171" s="127">
        <f t="shared" si="512"/>
        <v>7971</v>
      </c>
      <c r="O171" s="127">
        <f t="shared" si="512"/>
        <v>7866</v>
      </c>
      <c r="P171" s="127">
        <f t="shared" si="512"/>
        <v>7382</v>
      </c>
      <c r="Q171" s="127">
        <f t="shared" si="512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513">SUM(X162+X165+X168+X169+X170)</f>
        <v>8514</v>
      </c>
      <c r="Y171" s="203">
        <f t="shared" si="513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1221</v>
      </c>
      <c r="BJ171" s="129">
        <f t="shared" ref="BJ171:BL171" si="514">SUM(BJ162:BJ170)</f>
        <v>25</v>
      </c>
      <c r="BK171" s="129">
        <f t="shared" si="514"/>
        <v>-2204</v>
      </c>
      <c r="BL171" s="129">
        <f t="shared" si="514"/>
        <v>-3171</v>
      </c>
      <c r="BM171" s="129">
        <f t="shared" ref="BM171:BN171" si="515">SUM(BM162:BM170)</f>
        <v>-3334</v>
      </c>
      <c r="BN171" s="129">
        <f t="shared" si="515"/>
        <v>-3644</v>
      </c>
      <c r="BO171" s="129">
        <f t="shared" ref="BO171:BP171" si="516">SUM(BO162:BO170)</f>
        <v>-3766</v>
      </c>
      <c r="BP171" s="129">
        <f t="shared" si="516"/>
        <v>-2479</v>
      </c>
      <c r="BQ171" s="129">
        <f t="shared" ref="BQ171:BR171" si="517">SUM(BQ162:BQ170)</f>
        <v>-1385</v>
      </c>
      <c r="BR171" s="129">
        <f t="shared" si="517"/>
        <v>-412</v>
      </c>
      <c r="BS171" s="129">
        <f t="shared" ref="BS171:BT171" si="518">SUM(BS162:BS170)</f>
        <v>771</v>
      </c>
      <c r="BT171" s="129">
        <f t="shared" si="518"/>
        <v>1981</v>
      </c>
      <c r="BU171" s="129">
        <f t="shared" ref="BU171:BV171" si="519">SUM(BU162:BU170)</f>
        <v>2749</v>
      </c>
      <c r="BV171" s="129">
        <f t="shared" si="519"/>
        <v>19783</v>
      </c>
      <c r="BW171" s="129">
        <f t="shared" ref="BW171:BX171" si="520">SUM(BW162:BW170)</f>
        <v>22650</v>
      </c>
      <c r="BX171" s="129">
        <f t="shared" si="520"/>
        <v>24353</v>
      </c>
      <c r="BY171" s="129">
        <f t="shared" ref="BY171:BZ171" si="521">SUM(BY162:BY170)</f>
        <v>19903</v>
      </c>
      <c r="BZ171" s="129">
        <f t="shared" si="521"/>
        <v>20415</v>
      </c>
      <c r="CA171" s="281">
        <f t="shared" ref="CA171:CB171" si="522">SUM(CA162:CA170)</f>
        <v>21213</v>
      </c>
      <c r="CB171" s="281">
        <f t="shared" si="522"/>
        <v>20274</v>
      </c>
      <c r="CC171" s="281">
        <f t="shared" ref="CC171:CE171" si="523">SUM(CC162:CC170)</f>
        <v>18871</v>
      </c>
      <c r="CD171" s="281">
        <f t="shared" si="523"/>
        <v>16770</v>
      </c>
      <c r="CE171" s="310">
        <f t="shared" si="523"/>
        <v>15138</v>
      </c>
      <c r="CF171" s="310">
        <f t="shared" ref="CF171:CG171" si="524">SUM(CF162:CF170)</f>
        <v>13734</v>
      </c>
      <c r="CG171" s="310">
        <f t="shared" si="524"/>
        <v>12497</v>
      </c>
      <c r="CH171" s="310">
        <f t="shared" ref="CH171:CI171" si="525">SUM(CH162:CH170)</f>
        <v>-7020</v>
      </c>
      <c r="CI171" s="310">
        <f t="shared" si="525"/>
        <v>-8239</v>
      </c>
      <c r="CJ171" s="310">
        <f t="shared" ref="CJ171" si="526">SUM(CJ162:CJ170)</f>
        <v>-10047</v>
      </c>
      <c r="CK171" s="310">
        <f t="shared" ref="CK171" si="527">SUM(CK162:CK170)</f>
        <v>-6768</v>
      </c>
      <c r="CL171" s="310">
        <f t="shared" ref="CL171" si="528">SUM(CL162:CL170)</f>
        <v>-8143</v>
      </c>
      <c r="CM171" s="310">
        <f t="shared" ref="CM171" si="529">SUM(CM162:CM170)</f>
        <v>-10289</v>
      </c>
      <c r="CN171" s="310">
        <f t="shared" ref="CN171" si="530">SUM(CN162:CN170)</f>
        <v>-10376</v>
      </c>
      <c r="CO171" s="310">
        <f t="shared" ref="CO171" si="531">SUM(CO162:CO170)</f>
        <v>-10294</v>
      </c>
      <c r="CP171" s="310">
        <f t="shared" ref="CP171" si="532">SUM(CP162:CP170)</f>
        <v>-9299</v>
      </c>
      <c r="CQ171" s="310">
        <f t="shared" ref="CQ171:CS171" si="533">SUM(CQ162:CQ170)</f>
        <v>-8242</v>
      </c>
      <c r="CR171" s="310">
        <f t="shared" ref="CR171" si="534">SUM(CR162:CR170)</f>
        <v>-7294</v>
      </c>
      <c r="CS171" s="310"/>
      <c r="CT171" s="349"/>
      <c r="CU171" s="262">
        <f>CU162+CU165+CU168+CU169+CU170</f>
        <v>17578</v>
      </c>
    </row>
    <row r="172" spans="1:9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48"/>
      <c r="CU172" s="93"/>
    </row>
    <row r="173" spans="1:99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R173" si="535">O173-C173</f>
        <v>0</v>
      </c>
      <c r="BJ173" s="112">
        <f t="shared" si="535"/>
        <v>-2277</v>
      </c>
      <c r="BK173" s="112">
        <f t="shared" si="535"/>
        <v>-1914</v>
      </c>
      <c r="BL173" s="112">
        <f t="shared" si="535"/>
        <v>-1880</v>
      </c>
      <c r="BM173" s="112">
        <f t="shared" si="535"/>
        <v>-1015</v>
      </c>
      <c r="BN173" s="112">
        <f t="shared" si="535"/>
        <v>-2078</v>
      </c>
      <c r="BO173" s="112">
        <f t="shared" si="535"/>
        <v>-2118</v>
      </c>
      <c r="BP173" s="112">
        <f t="shared" si="535"/>
        <v>-1232</v>
      </c>
      <c r="BQ173" s="112">
        <f t="shared" si="535"/>
        <v>-292</v>
      </c>
      <c r="BR173" s="112">
        <f t="shared" si="535"/>
        <v>0</v>
      </c>
      <c r="BS173" s="112">
        <f t="shared" si="535"/>
        <v>0</v>
      </c>
      <c r="BT173" s="112">
        <f t="shared" si="535"/>
        <v>0</v>
      </c>
      <c r="BU173" s="112">
        <f t="shared" si="535"/>
        <v>0</v>
      </c>
      <c r="BV173" s="112">
        <f t="shared" si="535"/>
        <v>0</v>
      </c>
      <c r="BW173" s="112">
        <f t="shared" si="535"/>
        <v>0</v>
      </c>
      <c r="BX173" s="112">
        <f t="shared" si="535"/>
        <v>0</v>
      </c>
      <c r="BY173" s="112">
        <f t="shared" si="535"/>
        <v>1355</v>
      </c>
      <c r="BZ173" s="112">
        <f t="shared" si="535"/>
        <v>1683</v>
      </c>
      <c r="CA173" s="204">
        <f t="shared" si="535"/>
        <v>1572</v>
      </c>
      <c r="CB173" s="204">
        <f t="shared" si="535"/>
        <v>1487</v>
      </c>
      <c r="CC173" s="204">
        <f t="shared" si="535"/>
        <v>729</v>
      </c>
      <c r="CD173" s="204">
        <f t="shared" si="535"/>
        <v>111</v>
      </c>
      <c r="CE173" s="316">
        <f t="shared" si="535"/>
        <v>0</v>
      </c>
      <c r="CF173" s="316">
        <f t="shared" si="535"/>
        <v>0</v>
      </c>
      <c r="CG173" s="316">
        <f t="shared" si="535"/>
        <v>129</v>
      </c>
      <c r="CH173" s="316">
        <f t="shared" si="535"/>
        <v>1080</v>
      </c>
      <c r="CI173" s="316">
        <f t="shared" si="535"/>
        <v>1370</v>
      </c>
      <c r="CJ173" s="316">
        <f t="shared" si="535"/>
        <v>951</v>
      </c>
      <c r="CK173" s="316">
        <f t="shared" si="535"/>
        <v>-93</v>
      </c>
      <c r="CL173" s="316">
        <f t="shared" si="535"/>
        <v>-387</v>
      </c>
      <c r="CM173" s="316">
        <f t="shared" si="535"/>
        <v>-685</v>
      </c>
      <c r="CN173" s="316">
        <f t="shared" si="535"/>
        <v>196</v>
      </c>
      <c r="CO173" s="316">
        <f t="shared" si="535"/>
        <v>-729</v>
      </c>
      <c r="CP173" s="316">
        <f t="shared" si="535"/>
        <v>-44</v>
      </c>
      <c r="CQ173" s="316">
        <f t="shared" si="535"/>
        <v>0</v>
      </c>
      <c r="CR173" s="316">
        <f t="shared" si="535"/>
        <v>40</v>
      </c>
      <c r="CS173" s="316"/>
      <c r="CT173" s="348"/>
      <c r="CU173" s="36">
        <f>'MONTHLY SUMMARIES'!D129</f>
        <v>373</v>
      </c>
    </row>
    <row r="174" spans="1:99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48"/>
      <c r="CU174" s="67">
        <f>GETPIVOTDATA("VALUE",'CSS ESCO pvt'!$I$3,"DATE_FILE",$CU$8,"COMPANY",$CU$6,"TRIM_CAT","Residential-GRID","TRIM_LINE",$A172)</f>
        <v>150</v>
      </c>
    </row>
    <row r="175" spans="1:99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48"/>
      <c r="CU175" s="81">
        <f>CU173-CU174</f>
        <v>223</v>
      </c>
    </row>
    <row r="176" spans="1:99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R176" si="536">O176-C176</f>
        <v>0</v>
      </c>
      <c r="BJ176" s="112">
        <f t="shared" si="536"/>
        <v>-208</v>
      </c>
      <c r="BK176" s="112">
        <f t="shared" si="536"/>
        <v>-749</v>
      </c>
      <c r="BL176" s="112">
        <f t="shared" si="536"/>
        <v>-585</v>
      </c>
      <c r="BM176" s="112">
        <f t="shared" si="536"/>
        <v>-353</v>
      </c>
      <c r="BN176" s="112">
        <f t="shared" si="536"/>
        <v>-730</v>
      </c>
      <c r="BO176" s="112">
        <f t="shared" si="536"/>
        <v>-673</v>
      </c>
      <c r="BP176" s="112">
        <f t="shared" si="536"/>
        <v>-403</v>
      </c>
      <c r="BQ176" s="112">
        <f t="shared" si="536"/>
        <v>-25</v>
      </c>
      <c r="BR176" s="112">
        <f t="shared" si="536"/>
        <v>0</v>
      </c>
      <c r="BS176" s="112">
        <f t="shared" si="536"/>
        <v>0</v>
      </c>
      <c r="BT176" s="112">
        <f t="shared" si="536"/>
        <v>0</v>
      </c>
      <c r="BU176" s="112">
        <f t="shared" si="536"/>
        <v>0</v>
      </c>
      <c r="BV176" s="112">
        <f t="shared" si="536"/>
        <v>0</v>
      </c>
      <c r="BW176" s="112">
        <f t="shared" si="536"/>
        <v>0</v>
      </c>
      <c r="BX176" s="112">
        <f t="shared" si="536"/>
        <v>0</v>
      </c>
      <c r="BY176" s="112">
        <f t="shared" si="536"/>
        <v>56</v>
      </c>
      <c r="BZ176" s="112">
        <f t="shared" si="536"/>
        <v>489</v>
      </c>
      <c r="CA176" s="204">
        <f t="shared" si="536"/>
        <v>443</v>
      </c>
      <c r="CB176" s="204">
        <f t="shared" si="536"/>
        <v>543</v>
      </c>
      <c r="CC176" s="204">
        <f t="shared" si="536"/>
        <v>207</v>
      </c>
      <c r="CD176" s="204">
        <f t="shared" si="536"/>
        <v>27</v>
      </c>
      <c r="CE176" s="316">
        <f t="shared" si="536"/>
        <v>0</v>
      </c>
      <c r="CF176" s="316">
        <f t="shared" si="536"/>
        <v>0</v>
      </c>
      <c r="CG176" s="316">
        <f t="shared" si="536"/>
        <v>20</v>
      </c>
      <c r="CH176" s="316">
        <f t="shared" si="536"/>
        <v>52</v>
      </c>
      <c r="CI176" s="316">
        <f t="shared" si="536"/>
        <v>769</v>
      </c>
      <c r="CJ176" s="316">
        <f t="shared" si="536"/>
        <v>419</v>
      </c>
      <c r="CK176" s="316">
        <f t="shared" si="536"/>
        <v>454</v>
      </c>
      <c r="CL176" s="316">
        <f t="shared" si="536"/>
        <v>27</v>
      </c>
      <c r="CM176" s="316">
        <f t="shared" si="536"/>
        <v>-86</v>
      </c>
      <c r="CN176" s="316">
        <f t="shared" si="536"/>
        <v>209</v>
      </c>
      <c r="CO176" s="316">
        <f t="shared" si="536"/>
        <v>-207</v>
      </c>
      <c r="CP176" s="316">
        <f t="shared" si="536"/>
        <v>-26</v>
      </c>
      <c r="CQ176" s="316">
        <f t="shared" si="536"/>
        <v>0</v>
      </c>
      <c r="CR176" s="316">
        <f t="shared" si="536"/>
        <v>2</v>
      </c>
      <c r="CS176" s="316"/>
      <c r="CT176" s="348"/>
      <c r="CU176" s="36">
        <f>'MONTHLY SUMMARIES'!D130</f>
        <v>23</v>
      </c>
    </row>
    <row r="177" spans="1:100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48"/>
      <c r="CU177" s="67">
        <f>GETPIVOTDATA("VALUE",'CSS ESCO pvt'!$I$3,"DATE_FILE",$CU$8,"COMPANY",$CU$6,"TRIM_CAT","Low Income Residential-GRID","TRIM_LINE",$A172)</f>
        <v>13</v>
      </c>
    </row>
    <row r="178" spans="1:100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48"/>
      <c r="CU178" s="81">
        <f>CU176-CU177</f>
        <v>10</v>
      </c>
    </row>
    <row r="179" spans="1:100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37">O179-C179</f>
        <v>-38</v>
      </c>
      <c r="BJ179" s="112">
        <f t="shared" si="537"/>
        <v>-64</v>
      </c>
      <c r="BK179" s="112">
        <f t="shared" si="537"/>
        <v>-61</v>
      </c>
      <c r="BL179" s="112">
        <f t="shared" si="537"/>
        <v>-89</v>
      </c>
      <c r="BM179" s="112">
        <f t="shared" si="537"/>
        <v>-32</v>
      </c>
      <c r="BN179" s="112">
        <f t="shared" si="537"/>
        <v>-78</v>
      </c>
      <c r="BO179" s="112">
        <f t="shared" si="537"/>
        <v>-68</v>
      </c>
      <c r="BP179" s="112">
        <f t="shared" si="537"/>
        <v>-12</v>
      </c>
      <c r="BQ179" s="112">
        <f t="shared" si="537"/>
        <v>-20</v>
      </c>
      <c r="BR179" s="112">
        <f t="shared" si="537"/>
        <v>-29</v>
      </c>
      <c r="BS179" s="112">
        <f t="shared" ref="BS179:CB181" si="538">Y179-M179</f>
        <v>-30</v>
      </c>
      <c r="BT179" s="112">
        <f t="shared" si="538"/>
        <v>-74</v>
      </c>
      <c r="BU179" s="112">
        <f t="shared" si="538"/>
        <v>-38</v>
      </c>
      <c r="BV179" s="112">
        <f t="shared" si="538"/>
        <v>20</v>
      </c>
      <c r="BW179" s="112">
        <f t="shared" si="538"/>
        <v>32</v>
      </c>
      <c r="BX179" s="112">
        <f t="shared" si="538"/>
        <v>22</v>
      </c>
      <c r="BY179" s="112">
        <f t="shared" si="538"/>
        <v>37</v>
      </c>
      <c r="BZ179" s="112">
        <f t="shared" si="538"/>
        <v>27</v>
      </c>
      <c r="CA179" s="204">
        <f t="shared" si="538"/>
        <v>90</v>
      </c>
      <c r="CB179" s="204">
        <f t="shared" si="538"/>
        <v>19</v>
      </c>
      <c r="CC179" s="204">
        <f t="shared" ref="CC179:CL181" si="539">AI179-W179</f>
        <v>41</v>
      </c>
      <c r="CD179" s="204">
        <f t="shared" si="539"/>
        <v>40</v>
      </c>
      <c r="CE179" s="316">
        <f t="shared" si="539"/>
        <v>-27</v>
      </c>
      <c r="CF179" s="316">
        <f t="shared" si="539"/>
        <v>-20</v>
      </c>
      <c r="CG179" s="316">
        <f t="shared" si="539"/>
        <v>42</v>
      </c>
      <c r="CH179" s="316">
        <f t="shared" si="539"/>
        <v>47</v>
      </c>
      <c r="CI179" s="316">
        <f t="shared" si="539"/>
        <v>36</v>
      </c>
      <c r="CJ179" s="316">
        <f t="shared" si="539"/>
        <v>18</v>
      </c>
      <c r="CK179" s="316">
        <f t="shared" si="539"/>
        <v>34</v>
      </c>
      <c r="CL179" s="316">
        <f t="shared" si="539"/>
        <v>23</v>
      </c>
      <c r="CM179" s="316">
        <f t="shared" ref="CM179:CR181" si="540">AS179-AG179</f>
        <v>-58</v>
      </c>
      <c r="CN179" s="316">
        <f t="shared" si="540"/>
        <v>40</v>
      </c>
      <c r="CO179" s="316">
        <f t="shared" si="540"/>
        <v>-56</v>
      </c>
      <c r="CP179" s="316">
        <f t="shared" si="540"/>
        <v>-13</v>
      </c>
      <c r="CQ179" s="316">
        <f t="shared" si="540"/>
        <v>10</v>
      </c>
      <c r="CR179" s="316">
        <f t="shared" si="540"/>
        <v>10</v>
      </c>
      <c r="CS179" s="316"/>
      <c r="CT179" s="348"/>
      <c r="CU179" s="36">
        <f>'MONTHLY SUMMARIES'!D131</f>
        <v>72</v>
      </c>
    </row>
    <row r="180" spans="1:100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37"/>
        <v>1</v>
      </c>
      <c r="BJ180" s="112">
        <f t="shared" si="537"/>
        <v>0</v>
      </c>
      <c r="BK180" s="112">
        <f t="shared" si="537"/>
        <v>0</v>
      </c>
      <c r="BL180" s="112">
        <f t="shared" si="537"/>
        <v>-2</v>
      </c>
      <c r="BM180" s="112">
        <f t="shared" si="537"/>
        <v>-1</v>
      </c>
      <c r="BN180" s="112">
        <f t="shared" si="537"/>
        <v>-3</v>
      </c>
      <c r="BO180" s="112">
        <f t="shared" si="537"/>
        <v>0</v>
      </c>
      <c r="BP180" s="112">
        <f t="shared" si="537"/>
        <v>4</v>
      </c>
      <c r="BQ180" s="112">
        <f t="shared" si="537"/>
        <v>1</v>
      </c>
      <c r="BR180" s="112">
        <f t="shared" si="537"/>
        <v>0</v>
      </c>
      <c r="BS180" s="112">
        <f t="shared" si="538"/>
        <v>-2</v>
      </c>
      <c r="BT180" s="112">
        <f t="shared" si="538"/>
        <v>-4</v>
      </c>
      <c r="BU180" s="112">
        <f t="shared" si="538"/>
        <v>-1</v>
      </c>
      <c r="BV180" s="112">
        <f t="shared" si="538"/>
        <v>0</v>
      </c>
      <c r="BW180" s="112">
        <f t="shared" si="538"/>
        <v>0</v>
      </c>
      <c r="BX180" s="112">
        <f t="shared" si="538"/>
        <v>2</v>
      </c>
      <c r="BY180" s="112">
        <f t="shared" si="538"/>
        <v>1</v>
      </c>
      <c r="BZ180" s="112">
        <f t="shared" si="538"/>
        <v>2</v>
      </c>
      <c r="CA180" s="204">
        <f t="shared" si="538"/>
        <v>5</v>
      </c>
      <c r="CB180" s="204">
        <f t="shared" si="538"/>
        <v>-1</v>
      </c>
      <c r="CC180" s="204">
        <f t="shared" si="539"/>
        <v>-1</v>
      </c>
      <c r="CD180" s="204">
        <f t="shared" si="539"/>
        <v>1</v>
      </c>
      <c r="CE180" s="316">
        <f t="shared" si="539"/>
        <v>0</v>
      </c>
      <c r="CF180" s="316">
        <f t="shared" si="539"/>
        <v>-1</v>
      </c>
      <c r="CG180" s="316">
        <f t="shared" si="539"/>
        <v>4</v>
      </c>
      <c r="CH180" s="316">
        <f t="shared" si="539"/>
        <v>3</v>
      </c>
      <c r="CI180" s="316">
        <f t="shared" si="539"/>
        <v>1</v>
      </c>
      <c r="CJ180" s="316">
        <f t="shared" si="539"/>
        <v>2</v>
      </c>
      <c r="CK180" s="316">
        <f t="shared" si="539"/>
        <v>4</v>
      </c>
      <c r="CL180" s="316">
        <f t="shared" si="539"/>
        <v>-1</v>
      </c>
      <c r="CM180" s="316">
        <f t="shared" si="540"/>
        <v>-5</v>
      </c>
      <c r="CN180" s="316">
        <f t="shared" si="540"/>
        <v>2</v>
      </c>
      <c r="CO180" s="316">
        <f t="shared" si="540"/>
        <v>0</v>
      </c>
      <c r="CP180" s="316">
        <f t="shared" si="540"/>
        <v>-1</v>
      </c>
      <c r="CQ180" s="316">
        <f t="shared" si="540"/>
        <v>0</v>
      </c>
      <c r="CR180" s="316">
        <f t="shared" si="540"/>
        <v>0</v>
      </c>
      <c r="CS180" s="316"/>
      <c r="CT180" s="348"/>
      <c r="CU180" s="36">
        <f>'MONTHLY SUMMARIES'!D132</f>
        <v>0</v>
      </c>
    </row>
    <row r="181" spans="1:10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37"/>
        <v>0</v>
      </c>
      <c r="BJ181" s="112">
        <f t="shared" si="537"/>
        <v>0</v>
      </c>
      <c r="BK181" s="112">
        <f t="shared" si="537"/>
        <v>0</v>
      </c>
      <c r="BL181" s="112">
        <f t="shared" si="537"/>
        <v>0</v>
      </c>
      <c r="BM181" s="112">
        <f t="shared" si="537"/>
        <v>0</v>
      </c>
      <c r="BN181" s="112">
        <f t="shared" si="537"/>
        <v>0</v>
      </c>
      <c r="BO181" s="112">
        <f t="shared" si="537"/>
        <v>0</v>
      </c>
      <c r="BP181" s="112">
        <f t="shared" si="537"/>
        <v>0</v>
      </c>
      <c r="BQ181" s="112">
        <f t="shared" si="537"/>
        <v>0</v>
      </c>
      <c r="BR181" s="112">
        <f t="shared" si="537"/>
        <v>0</v>
      </c>
      <c r="BS181" s="112">
        <f t="shared" si="538"/>
        <v>0</v>
      </c>
      <c r="BT181" s="112">
        <f t="shared" si="538"/>
        <v>0</v>
      </c>
      <c r="BU181" s="112">
        <f t="shared" si="538"/>
        <v>0</v>
      </c>
      <c r="BV181" s="112">
        <f t="shared" si="538"/>
        <v>0</v>
      </c>
      <c r="BW181" s="112">
        <f t="shared" si="538"/>
        <v>0</v>
      </c>
      <c r="BX181" s="112">
        <f t="shared" si="538"/>
        <v>0</v>
      </c>
      <c r="BY181" s="112">
        <f t="shared" si="538"/>
        <v>0</v>
      </c>
      <c r="BZ181" s="112">
        <f t="shared" si="538"/>
        <v>0</v>
      </c>
      <c r="CA181" s="204">
        <f t="shared" si="538"/>
        <v>0</v>
      </c>
      <c r="CB181" s="204">
        <f t="shared" si="538"/>
        <v>0</v>
      </c>
      <c r="CC181" s="204">
        <f t="shared" si="539"/>
        <v>0</v>
      </c>
      <c r="CD181" s="204">
        <f t="shared" si="539"/>
        <v>0</v>
      </c>
      <c r="CE181" s="316">
        <f t="shared" si="539"/>
        <v>0</v>
      </c>
      <c r="CF181" s="316">
        <f t="shared" si="539"/>
        <v>0</v>
      </c>
      <c r="CG181" s="316">
        <f t="shared" si="539"/>
        <v>0</v>
      </c>
      <c r="CH181" s="316">
        <f t="shared" si="539"/>
        <v>0</v>
      </c>
      <c r="CI181" s="316">
        <f t="shared" si="539"/>
        <v>1</v>
      </c>
      <c r="CJ181" s="316">
        <f t="shared" si="539"/>
        <v>0</v>
      </c>
      <c r="CK181" s="316">
        <f t="shared" si="539"/>
        <v>0</v>
      </c>
      <c r="CL181" s="316">
        <f t="shared" si="539"/>
        <v>0</v>
      </c>
      <c r="CM181" s="316">
        <f t="shared" si="540"/>
        <v>0</v>
      </c>
      <c r="CN181" s="316">
        <f t="shared" si="540"/>
        <v>1</v>
      </c>
      <c r="CO181" s="316">
        <f t="shared" si="540"/>
        <v>0</v>
      </c>
      <c r="CP181" s="316">
        <f t="shared" si="540"/>
        <v>0</v>
      </c>
      <c r="CQ181" s="316">
        <f t="shared" si="540"/>
        <v>0</v>
      </c>
      <c r="CR181" s="316">
        <f t="shared" si="540"/>
        <v>0</v>
      </c>
      <c r="CS181" s="316"/>
      <c r="CT181" s="348"/>
      <c r="CU181" s="36">
        <f>'MONTHLY SUMMARIES'!D133</f>
        <v>0</v>
      </c>
    </row>
    <row r="182" spans="1:100" s="76" customFormat="1" x14ac:dyDescent="0.3">
      <c r="A182" s="151"/>
      <c r="B182" s="63" t="s">
        <v>42</v>
      </c>
      <c r="C182" s="121">
        <f t="shared" ref="C182:Q182" si="541">SUM(C173:C181)</f>
        <v>88</v>
      </c>
      <c r="D182" s="122">
        <f t="shared" si="541"/>
        <v>2549</v>
      </c>
      <c r="E182" s="122">
        <f t="shared" si="541"/>
        <v>2724</v>
      </c>
      <c r="F182" s="122">
        <f t="shared" si="541"/>
        <v>2556</v>
      </c>
      <c r="G182" s="122">
        <f t="shared" si="541"/>
        <v>1401</v>
      </c>
      <c r="H182" s="123">
        <f t="shared" si="541"/>
        <v>2889</v>
      </c>
      <c r="I182" s="122">
        <f t="shared" si="541"/>
        <v>2859</v>
      </c>
      <c r="J182" s="123">
        <f t="shared" si="541"/>
        <v>1671</v>
      </c>
      <c r="K182" s="122">
        <f t="shared" si="541"/>
        <v>366</v>
      </c>
      <c r="L182" s="124">
        <f t="shared" si="541"/>
        <v>37</v>
      </c>
      <c r="M182" s="123">
        <f t="shared" si="541"/>
        <v>59</v>
      </c>
      <c r="N182" s="123">
        <f t="shared" si="541"/>
        <v>99</v>
      </c>
      <c r="O182" s="123">
        <f t="shared" si="541"/>
        <v>51</v>
      </c>
      <c r="P182" s="123">
        <f t="shared" si="541"/>
        <v>0</v>
      </c>
      <c r="Q182" s="123">
        <f t="shared" si="541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-37</v>
      </c>
      <c r="BJ182" s="123">
        <f t="shared" ref="BJ182:BL182" si="542">SUM(BJ173:BJ181)</f>
        <v>-2549</v>
      </c>
      <c r="BK182" s="123">
        <f t="shared" si="542"/>
        <v>-2724</v>
      </c>
      <c r="BL182" s="123">
        <f t="shared" si="542"/>
        <v>-2556</v>
      </c>
      <c r="BM182" s="123">
        <f t="shared" ref="BM182:BN182" si="543">SUM(BM173:BM181)</f>
        <v>-1401</v>
      </c>
      <c r="BN182" s="123">
        <f t="shared" si="543"/>
        <v>-2889</v>
      </c>
      <c r="BO182" s="123">
        <f t="shared" ref="BO182:BP182" si="544">SUM(BO173:BO181)</f>
        <v>-2859</v>
      </c>
      <c r="BP182" s="123">
        <f t="shared" si="544"/>
        <v>-1643</v>
      </c>
      <c r="BQ182" s="123">
        <f t="shared" ref="BQ182:BR182" si="545">SUM(BQ173:BQ181)</f>
        <v>-336</v>
      </c>
      <c r="BR182" s="123">
        <f t="shared" si="545"/>
        <v>-29</v>
      </c>
      <c r="BS182" s="123">
        <f t="shared" ref="BS182:BT182" si="546">SUM(BS173:BS181)</f>
        <v>-32</v>
      </c>
      <c r="BT182" s="123">
        <f t="shared" si="546"/>
        <v>-78</v>
      </c>
      <c r="BU182" s="123">
        <f t="shared" ref="BU182:BV182" si="547">SUM(BU173:BU181)</f>
        <v>-39</v>
      </c>
      <c r="BV182" s="123">
        <f t="shared" si="547"/>
        <v>20</v>
      </c>
      <c r="BW182" s="123">
        <f t="shared" ref="BW182:BX182" si="548">SUM(BW173:BW181)</f>
        <v>32</v>
      </c>
      <c r="BX182" s="123">
        <f t="shared" si="548"/>
        <v>24</v>
      </c>
      <c r="BY182" s="123">
        <f t="shared" ref="BY182:BZ182" si="549">SUM(BY173:BY181)</f>
        <v>1449</v>
      </c>
      <c r="BZ182" s="123">
        <f t="shared" si="549"/>
        <v>2201</v>
      </c>
      <c r="CA182" s="205">
        <f t="shared" ref="CA182:CB182" si="550">SUM(CA173:CA181)</f>
        <v>2110</v>
      </c>
      <c r="CB182" s="205">
        <f t="shared" si="550"/>
        <v>2048</v>
      </c>
      <c r="CC182" s="205">
        <f t="shared" ref="CC182:CE182" si="551">SUM(CC173:CC181)</f>
        <v>976</v>
      </c>
      <c r="CD182" s="205">
        <f t="shared" si="551"/>
        <v>179</v>
      </c>
      <c r="CE182" s="317">
        <f t="shared" si="551"/>
        <v>-27</v>
      </c>
      <c r="CF182" s="317">
        <f t="shared" ref="CF182:CG182" si="552">SUM(CF173:CF181)</f>
        <v>-21</v>
      </c>
      <c r="CG182" s="317">
        <f t="shared" si="552"/>
        <v>195</v>
      </c>
      <c r="CH182" s="317">
        <f t="shared" ref="CH182:CI182" si="553">SUM(CH173:CH181)</f>
        <v>1182</v>
      </c>
      <c r="CI182" s="317">
        <f t="shared" si="553"/>
        <v>2177</v>
      </c>
      <c r="CJ182" s="317">
        <f t="shared" ref="CJ182" si="554">SUM(CJ173:CJ181)</f>
        <v>1390</v>
      </c>
      <c r="CK182" s="317">
        <f t="shared" ref="CK182" si="555">SUM(CK173:CK181)</f>
        <v>399</v>
      </c>
      <c r="CL182" s="317">
        <f t="shared" ref="CL182" si="556">SUM(CL173:CL181)</f>
        <v>-338</v>
      </c>
      <c r="CM182" s="317">
        <f t="shared" ref="CM182" si="557">SUM(CM173:CM181)</f>
        <v>-834</v>
      </c>
      <c r="CN182" s="317">
        <f t="shared" ref="CN182" si="558">SUM(CN173:CN181)</f>
        <v>448</v>
      </c>
      <c r="CO182" s="317">
        <f t="shared" ref="CO182" si="559">SUM(CO173:CO181)</f>
        <v>-992</v>
      </c>
      <c r="CP182" s="317">
        <f t="shared" ref="CP182" si="560">SUM(CP173:CP181)</f>
        <v>-84</v>
      </c>
      <c r="CQ182" s="317">
        <f t="shared" ref="CQ182:CS182" si="561">SUM(CQ173:CQ181)</f>
        <v>10</v>
      </c>
      <c r="CR182" s="317">
        <f t="shared" ref="CR182" si="562">SUM(CR173:CR181)</f>
        <v>52</v>
      </c>
      <c r="CS182" s="317"/>
      <c r="CT182" s="349"/>
      <c r="CU182" s="262">
        <f>CU173+CU176+CU179+CU180+CU181</f>
        <v>468</v>
      </c>
    </row>
    <row r="183" spans="1:100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48"/>
      <c r="CU183" s="93"/>
    </row>
    <row r="184" spans="1:10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48"/>
      <c r="CU184" s="36">
        <f>'MONTHLY SUMMARIES'!D136</f>
        <v>516</v>
      </c>
      <c r="CV184" s="204"/>
    </row>
    <row r="185" spans="1:100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48"/>
      <c r="CU185" s="67">
        <f>GETPIVOTDATA("VALUE",'CSS ESCO pvt'!$I$3,"DATE_FILE",$CU$8,"COMPANY",$CU$6,"TRIM_CAT","Residential-GRID","TRIM_LINE","99")</f>
        <v>145</v>
      </c>
      <c r="CV185" s="204"/>
    </row>
    <row r="186" spans="1:100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48"/>
      <c r="CU186" s="81">
        <f>CU184-CU185</f>
        <v>371</v>
      </c>
      <c r="CV186" s="204"/>
    </row>
    <row r="187" spans="1:10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48"/>
      <c r="CU187" s="36">
        <f>'MONTHLY SUMMARIES'!D137</f>
        <v>26</v>
      </c>
      <c r="CV187" s="204"/>
    </row>
    <row r="188" spans="1:100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48"/>
      <c r="CU188" s="67">
        <f>GETPIVOTDATA("VALUE",'CSS ESCO pvt'!$I$3,"DATE_FILE",$CU$8,"COMPANY",$CU$6,"TRIM_CAT","Low Income Residential-GRID","TRIM_LINE","99")</f>
        <v>11</v>
      </c>
      <c r="CV188" s="204"/>
    </row>
    <row r="189" spans="1:100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48"/>
      <c r="CU189" s="81">
        <f>CU187-CU188</f>
        <v>15</v>
      </c>
      <c r="CV189" s="204"/>
    </row>
    <row r="190" spans="1:10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48"/>
      <c r="CU190" s="36">
        <f>'MONTHLY SUMMARIES'!D138</f>
        <v>70</v>
      </c>
    </row>
    <row r="191" spans="1:10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48"/>
      <c r="CU191" s="36">
        <f>'MONTHLY SUMMARIES'!D139</f>
        <v>0</v>
      </c>
    </row>
    <row r="192" spans="1:10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48"/>
      <c r="CU192" s="36">
        <f>'MONTHLY SUMMARIES'!D140</f>
        <v>0</v>
      </c>
    </row>
    <row r="193" spans="1:9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49"/>
      <c r="CU193" s="262">
        <f>CU184+CU187+CU190+CU191+CU192</f>
        <v>612</v>
      </c>
    </row>
    <row r="194" spans="1:9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48"/>
      <c r="CU194" s="93"/>
    </row>
    <row r="195" spans="1:99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R195" si="563">O195-C195</f>
        <v>-1754</v>
      </c>
      <c r="BJ195" s="112">
        <f t="shared" si="563"/>
        <v>-9060</v>
      </c>
      <c r="BK195" s="112">
        <f t="shared" si="563"/>
        <v>-13991</v>
      </c>
      <c r="BL195" s="112">
        <f t="shared" si="563"/>
        <v>-14826</v>
      </c>
      <c r="BM195" s="112">
        <f t="shared" si="563"/>
        <v>-14689</v>
      </c>
      <c r="BN195" s="112">
        <f t="shared" si="563"/>
        <v>-14012</v>
      </c>
      <c r="BO195" s="112">
        <f t="shared" si="563"/>
        <v>-14419</v>
      </c>
      <c r="BP195" s="112">
        <f t="shared" si="563"/>
        <v>-13311</v>
      </c>
      <c r="BQ195" s="112">
        <f t="shared" si="563"/>
        <v>-10861</v>
      </c>
      <c r="BR195" s="112">
        <f t="shared" si="563"/>
        <v>-9696</v>
      </c>
      <c r="BS195" s="112">
        <f t="shared" si="563"/>
        <v>-8762</v>
      </c>
      <c r="BT195" s="112">
        <f t="shared" si="563"/>
        <v>-9120</v>
      </c>
      <c r="BU195" s="112">
        <f t="shared" si="563"/>
        <v>-5499</v>
      </c>
      <c r="BV195" s="112">
        <f t="shared" si="563"/>
        <v>1288</v>
      </c>
      <c r="BW195" s="112">
        <f t="shared" si="563"/>
        <v>8339</v>
      </c>
      <c r="BX195" s="112">
        <f t="shared" si="563"/>
        <v>15285</v>
      </c>
      <c r="BY195" s="112">
        <f t="shared" si="563"/>
        <v>24087</v>
      </c>
      <c r="BZ195" s="112">
        <f t="shared" si="563"/>
        <v>23696</v>
      </c>
      <c r="CA195" s="204">
        <f t="shared" si="563"/>
        <v>24672</v>
      </c>
      <c r="CB195" s="204">
        <f t="shared" si="563"/>
        <v>21680</v>
      </c>
      <c r="CC195" s="204">
        <f t="shared" si="563"/>
        <v>21531</v>
      </c>
      <c r="CD195" s="204">
        <f t="shared" si="563"/>
        <v>17501</v>
      </c>
      <c r="CE195" s="316">
        <f t="shared" si="563"/>
        <v>16340</v>
      </c>
      <c r="CF195" s="316">
        <f t="shared" si="563"/>
        <v>17505</v>
      </c>
      <c r="CG195" s="316">
        <f t="shared" si="563"/>
        <v>18944</v>
      </c>
      <c r="CH195" s="316">
        <f t="shared" si="563"/>
        <v>18750</v>
      </c>
      <c r="CI195" s="316">
        <f t="shared" si="563"/>
        <v>11918</v>
      </c>
      <c r="CJ195" s="316">
        <f t="shared" si="563"/>
        <v>3779</v>
      </c>
      <c r="CK195" s="316">
        <f t="shared" si="563"/>
        <v>-5321</v>
      </c>
      <c r="CL195" s="316">
        <f t="shared" si="563"/>
        <v>-4532</v>
      </c>
      <c r="CM195" s="316">
        <f t="shared" si="563"/>
        <v>-7252</v>
      </c>
      <c r="CN195" s="316">
        <f t="shared" si="563"/>
        <v>-6341</v>
      </c>
      <c r="CO195" s="316">
        <f t="shared" si="563"/>
        <v>-8423</v>
      </c>
      <c r="CP195" s="316">
        <f t="shared" si="563"/>
        <v>-4958</v>
      </c>
      <c r="CQ195" s="316">
        <f t="shared" si="563"/>
        <v>-4787</v>
      </c>
      <c r="CR195" s="316">
        <f t="shared" si="563"/>
        <v>-4954</v>
      </c>
      <c r="CS195" s="316"/>
      <c r="CT195" s="348"/>
      <c r="CU195" s="36">
        <f>'MONTHLY SUMMARIES'!D143</f>
        <v>26192</v>
      </c>
    </row>
    <row r="196" spans="1:99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48"/>
      <c r="CU196" s="67">
        <f>GETPIVOTDATA("VALUE",'CSS ESCO pvt'!$I$3,"DATE_FILE",$CU$8,"COMPANY",$CU$6,"TRIM_CAT","Residential-GRID","TRIM_LINE",$A194)</f>
        <v>12839</v>
      </c>
    </row>
    <row r="197" spans="1:99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48"/>
      <c r="CU197" s="81">
        <f>CU195-CU196</f>
        <v>13353</v>
      </c>
    </row>
    <row r="198" spans="1:99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R198" si="564">O198-C198</f>
        <v>-374</v>
      </c>
      <c r="BJ198" s="112">
        <f t="shared" si="564"/>
        <v>-2172</v>
      </c>
      <c r="BK198" s="112">
        <f t="shared" si="564"/>
        <v>-4887</v>
      </c>
      <c r="BL198" s="112">
        <f t="shared" si="564"/>
        <v>-5359</v>
      </c>
      <c r="BM198" s="112">
        <f t="shared" si="564"/>
        <v>-5244</v>
      </c>
      <c r="BN198" s="112">
        <f t="shared" si="564"/>
        <v>-5364</v>
      </c>
      <c r="BO198" s="112">
        <f t="shared" si="564"/>
        <v>-5517</v>
      </c>
      <c r="BP198" s="112">
        <f t="shared" si="564"/>
        <v>-5901</v>
      </c>
      <c r="BQ198" s="112">
        <f t="shared" si="564"/>
        <v>-5037</v>
      </c>
      <c r="BR198" s="112">
        <f t="shared" si="564"/>
        <v>-4236</v>
      </c>
      <c r="BS198" s="112">
        <f t="shared" si="564"/>
        <v>-3679</v>
      </c>
      <c r="BT198" s="112">
        <f t="shared" si="564"/>
        <v>-3131</v>
      </c>
      <c r="BU198" s="112">
        <f t="shared" si="564"/>
        <v>-2203</v>
      </c>
      <c r="BV198" s="112">
        <f t="shared" si="564"/>
        <v>-733</v>
      </c>
      <c r="BW198" s="112">
        <f t="shared" si="564"/>
        <v>1256</v>
      </c>
      <c r="BX198" s="112">
        <f t="shared" si="564"/>
        <v>2387</v>
      </c>
      <c r="BY198" s="112">
        <f t="shared" si="564"/>
        <v>4084</v>
      </c>
      <c r="BZ198" s="112">
        <f t="shared" si="564"/>
        <v>4462</v>
      </c>
      <c r="CA198" s="204">
        <f t="shared" si="564"/>
        <v>4544</v>
      </c>
      <c r="CB198" s="204">
        <f t="shared" si="564"/>
        <v>3962</v>
      </c>
      <c r="CC198" s="204">
        <f t="shared" si="564"/>
        <v>3137</v>
      </c>
      <c r="CD198" s="204">
        <f t="shared" si="564"/>
        <v>3636</v>
      </c>
      <c r="CE198" s="316">
        <f t="shared" si="564"/>
        <v>2509</v>
      </c>
      <c r="CF198" s="316">
        <f t="shared" si="564"/>
        <v>1859</v>
      </c>
      <c r="CG198" s="316">
        <f t="shared" si="564"/>
        <v>2025</v>
      </c>
      <c r="CH198" s="316">
        <f t="shared" si="564"/>
        <v>3449</v>
      </c>
      <c r="CI198" s="316">
        <f t="shared" si="564"/>
        <v>3063</v>
      </c>
      <c r="CJ198" s="316">
        <f t="shared" si="564"/>
        <v>1912</v>
      </c>
      <c r="CK198" s="316">
        <f t="shared" si="564"/>
        <v>516</v>
      </c>
      <c r="CL198" s="316">
        <f t="shared" si="564"/>
        <v>756</v>
      </c>
      <c r="CM198" s="316">
        <f t="shared" si="564"/>
        <v>834</v>
      </c>
      <c r="CN198" s="316">
        <f t="shared" si="564"/>
        <v>1701</v>
      </c>
      <c r="CO198" s="316">
        <f t="shared" si="564"/>
        <v>1373</v>
      </c>
      <c r="CP198" s="316">
        <f t="shared" si="564"/>
        <v>-462</v>
      </c>
      <c r="CQ198" s="316">
        <f t="shared" si="564"/>
        <v>789</v>
      </c>
      <c r="CR198" s="316">
        <f t="shared" si="564"/>
        <v>1407</v>
      </c>
      <c r="CS198" s="316"/>
      <c r="CT198" s="348"/>
      <c r="CU198" s="36">
        <f>'MONTHLY SUMMARIES'!D144</f>
        <v>7283</v>
      </c>
    </row>
    <row r="199" spans="1:99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48"/>
      <c r="CU199" s="67">
        <f>GETPIVOTDATA("VALUE",'CSS ESCO pvt'!$I$3,"DATE_FILE",$CU$8,"COMPANY",$CU$6,"TRIM_CAT","Low Income Residential-GRID","TRIM_LINE",$A194)</f>
        <v>3624</v>
      </c>
    </row>
    <row r="200" spans="1:99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48"/>
      <c r="CU200" s="81">
        <f>CU198-CU199</f>
        <v>3659</v>
      </c>
    </row>
    <row r="201" spans="1:99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65">O201-C201</f>
        <v>-53</v>
      </c>
      <c r="BJ201" s="112">
        <f t="shared" si="565"/>
        <v>-220</v>
      </c>
      <c r="BK201" s="112">
        <f t="shared" si="565"/>
        <v>-285</v>
      </c>
      <c r="BL201" s="112">
        <f t="shared" si="565"/>
        <v>-278</v>
      </c>
      <c r="BM201" s="112">
        <f t="shared" si="565"/>
        <v>-146</v>
      </c>
      <c r="BN201" s="112">
        <f t="shared" si="565"/>
        <v>51</v>
      </c>
      <c r="BO201" s="112">
        <f t="shared" si="565"/>
        <v>227</v>
      </c>
      <c r="BP201" s="112">
        <f t="shared" si="565"/>
        <v>807</v>
      </c>
      <c r="BQ201" s="112">
        <f t="shared" si="565"/>
        <v>932</v>
      </c>
      <c r="BR201" s="112">
        <f t="shared" si="565"/>
        <v>681</v>
      </c>
      <c r="BS201" s="112">
        <f t="shared" ref="BS201:CB203" si="566">Y201-M201</f>
        <v>577</v>
      </c>
      <c r="BT201" s="112">
        <f t="shared" si="566"/>
        <v>523</v>
      </c>
      <c r="BU201" s="112">
        <f t="shared" si="566"/>
        <v>619</v>
      </c>
      <c r="BV201" s="112">
        <f t="shared" si="566"/>
        <v>691</v>
      </c>
      <c r="BW201" s="112">
        <f t="shared" si="566"/>
        <v>577</v>
      </c>
      <c r="BX201" s="112">
        <f t="shared" si="566"/>
        <v>483</v>
      </c>
      <c r="BY201" s="112">
        <f t="shared" si="566"/>
        <v>597</v>
      </c>
      <c r="BZ201" s="112">
        <f t="shared" si="566"/>
        <v>598</v>
      </c>
      <c r="CA201" s="204">
        <f t="shared" si="566"/>
        <v>569</v>
      </c>
      <c r="CB201" s="204">
        <f t="shared" si="566"/>
        <v>-41</v>
      </c>
      <c r="CC201" s="204">
        <f t="shared" ref="CC201:CL203" si="567">AI201-W201</f>
        <v>-12</v>
      </c>
      <c r="CD201" s="204">
        <f t="shared" si="567"/>
        <v>291</v>
      </c>
      <c r="CE201" s="316">
        <f t="shared" si="567"/>
        <v>239</v>
      </c>
      <c r="CF201" s="316">
        <f t="shared" si="567"/>
        <v>156</v>
      </c>
      <c r="CG201" s="316">
        <f t="shared" si="567"/>
        <v>258</v>
      </c>
      <c r="CH201" s="316">
        <f t="shared" si="567"/>
        <v>371</v>
      </c>
      <c r="CI201" s="316">
        <f t="shared" si="567"/>
        <v>285</v>
      </c>
      <c r="CJ201" s="316">
        <f t="shared" si="567"/>
        <v>303</v>
      </c>
      <c r="CK201" s="316">
        <f t="shared" si="567"/>
        <v>-1</v>
      </c>
      <c r="CL201" s="316">
        <f t="shared" si="567"/>
        <v>-240</v>
      </c>
      <c r="CM201" s="316">
        <f t="shared" ref="CM201:CR203" si="568">AS201-AG201</f>
        <v>-364</v>
      </c>
      <c r="CN201" s="316">
        <f t="shared" si="568"/>
        <v>-543</v>
      </c>
      <c r="CO201" s="316">
        <f t="shared" si="568"/>
        <v>-590</v>
      </c>
      <c r="CP201" s="316">
        <f t="shared" si="568"/>
        <v>-656</v>
      </c>
      <c r="CQ201" s="316">
        <f t="shared" si="568"/>
        <v>-505</v>
      </c>
      <c r="CR201" s="316">
        <f t="shared" si="568"/>
        <v>-293</v>
      </c>
      <c r="CS201" s="316"/>
      <c r="CT201" s="348"/>
      <c r="CU201" s="36">
        <f>'MONTHLY SUMMARIES'!D145</f>
        <v>956</v>
      </c>
    </row>
    <row r="202" spans="1:99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65"/>
        <v>-4</v>
      </c>
      <c r="BJ202" s="112">
        <f t="shared" si="565"/>
        <v>-8</v>
      </c>
      <c r="BK202" s="112">
        <f t="shared" si="565"/>
        <v>0</v>
      </c>
      <c r="BL202" s="112">
        <f t="shared" si="565"/>
        <v>3</v>
      </c>
      <c r="BM202" s="112">
        <f t="shared" si="565"/>
        <v>8</v>
      </c>
      <c r="BN202" s="112">
        <f t="shared" si="565"/>
        <v>15</v>
      </c>
      <c r="BO202" s="112">
        <f t="shared" si="565"/>
        <v>36</v>
      </c>
      <c r="BP202" s="112">
        <f t="shared" si="565"/>
        <v>57</v>
      </c>
      <c r="BQ202" s="112">
        <f t="shared" si="565"/>
        <v>54</v>
      </c>
      <c r="BR202" s="112">
        <f t="shared" si="565"/>
        <v>54</v>
      </c>
      <c r="BS202" s="112">
        <f t="shared" si="566"/>
        <v>57</v>
      </c>
      <c r="BT202" s="112">
        <f t="shared" si="566"/>
        <v>62</v>
      </c>
      <c r="BU202" s="112">
        <f t="shared" si="566"/>
        <v>58</v>
      </c>
      <c r="BV202" s="112">
        <f t="shared" si="566"/>
        <v>58</v>
      </c>
      <c r="BW202" s="112">
        <f t="shared" si="566"/>
        <v>44</v>
      </c>
      <c r="BX202" s="112">
        <f t="shared" si="566"/>
        <v>40</v>
      </c>
      <c r="BY202" s="112">
        <f t="shared" si="566"/>
        <v>41</v>
      </c>
      <c r="BZ202" s="112">
        <f t="shared" si="566"/>
        <v>45</v>
      </c>
      <c r="CA202" s="204">
        <f t="shared" si="566"/>
        <v>18</v>
      </c>
      <c r="CB202" s="204">
        <f t="shared" si="566"/>
        <v>11</v>
      </c>
      <c r="CC202" s="204">
        <f t="shared" si="567"/>
        <v>8</v>
      </c>
      <c r="CD202" s="204">
        <f t="shared" si="567"/>
        <v>12</v>
      </c>
      <c r="CE202" s="316">
        <f t="shared" si="567"/>
        <v>5</v>
      </c>
      <c r="CF202" s="316">
        <f t="shared" si="567"/>
        <v>1</v>
      </c>
      <c r="CG202" s="316">
        <f t="shared" si="567"/>
        <v>11</v>
      </c>
      <c r="CH202" s="316">
        <f t="shared" si="567"/>
        <v>18</v>
      </c>
      <c r="CI202" s="316">
        <f t="shared" si="567"/>
        <v>15</v>
      </c>
      <c r="CJ202" s="316">
        <f t="shared" si="567"/>
        <v>23</v>
      </c>
      <c r="CK202" s="316">
        <f t="shared" si="567"/>
        <v>15</v>
      </c>
      <c r="CL202" s="316">
        <f t="shared" si="567"/>
        <v>-14</v>
      </c>
      <c r="CM202" s="316">
        <f t="shared" si="568"/>
        <v>-13</v>
      </c>
      <c r="CN202" s="316">
        <f t="shared" si="568"/>
        <v>-48</v>
      </c>
      <c r="CO202" s="316">
        <f t="shared" si="568"/>
        <v>-36</v>
      </c>
      <c r="CP202" s="316">
        <f t="shared" si="568"/>
        <v>-43</v>
      </c>
      <c r="CQ202" s="316">
        <f t="shared" si="568"/>
        <v>-25</v>
      </c>
      <c r="CR202" s="316">
        <f t="shared" si="568"/>
        <v>-19</v>
      </c>
      <c r="CS202" s="316"/>
      <c r="CT202" s="348"/>
      <c r="CU202" s="36">
        <f>'MONTHLY SUMMARIES'!D146</f>
        <v>75</v>
      </c>
    </row>
    <row r="203" spans="1:99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65"/>
        <v>4</v>
      </c>
      <c r="BJ203" s="112">
        <f t="shared" si="565"/>
        <v>0</v>
      </c>
      <c r="BK203" s="112">
        <f t="shared" si="565"/>
        <v>-2</v>
      </c>
      <c r="BL203" s="112">
        <f t="shared" si="565"/>
        <v>3</v>
      </c>
      <c r="BM203" s="112">
        <f t="shared" si="565"/>
        <v>-1</v>
      </c>
      <c r="BN203" s="112">
        <f t="shared" si="565"/>
        <v>7</v>
      </c>
      <c r="BO203" s="112">
        <f t="shared" si="565"/>
        <v>10</v>
      </c>
      <c r="BP203" s="112">
        <f t="shared" si="565"/>
        <v>16</v>
      </c>
      <c r="BQ203" s="112">
        <f t="shared" si="565"/>
        <v>14</v>
      </c>
      <c r="BR203" s="112">
        <f t="shared" si="565"/>
        <v>15</v>
      </c>
      <c r="BS203" s="112">
        <f t="shared" si="566"/>
        <v>19</v>
      </c>
      <c r="BT203" s="112">
        <f t="shared" si="566"/>
        <v>15</v>
      </c>
      <c r="BU203" s="112">
        <f t="shared" si="566"/>
        <v>13</v>
      </c>
      <c r="BV203" s="112">
        <f t="shared" si="566"/>
        <v>11</v>
      </c>
      <c r="BW203" s="112">
        <f t="shared" si="566"/>
        <v>18</v>
      </c>
      <c r="BX203" s="112">
        <f t="shared" si="566"/>
        <v>10</v>
      </c>
      <c r="BY203" s="112">
        <f t="shared" si="566"/>
        <v>14</v>
      </c>
      <c r="BZ203" s="112">
        <f t="shared" si="566"/>
        <v>10</v>
      </c>
      <c r="CA203" s="204">
        <f t="shared" si="566"/>
        <v>0</v>
      </c>
      <c r="CB203" s="204">
        <f t="shared" si="566"/>
        <v>-4</v>
      </c>
      <c r="CC203" s="204">
        <f t="shared" si="567"/>
        <v>-3</v>
      </c>
      <c r="CD203" s="204">
        <f t="shared" si="567"/>
        <v>-1</v>
      </c>
      <c r="CE203" s="316">
        <f t="shared" si="567"/>
        <v>-9</v>
      </c>
      <c r="CF203" s="316">
        <f t="shared" si="567"/>
        <v>-5</v>
      </c>
      <c r="CG203" s="316">
        <f t="shared" si="567"/>
        <v>-2</v>
      </c>
      <c r="CH203" s="316">
        <f t="shared" si="567"/>
        <v>-3</v>
      </c>
      <c r="CI203" s="316">
        <f t="shared" si="567"/>
        <v>-6</v>
      </c>
      <c r="CJ203" s="316">
        <f t="shared" si="567"/>
        <v>-2</v>
      </c>
      <c r="CK203" s="316">
        <f t="shared" si="567"/>
        <v>-10</v>
      </c>
      <c r="CL203" s="316">
        <f t="shared" si="567"/>
        <v>-12</v>
      </c>
      <c r="CM203" s="316">
        <f t="shared" si="568"/>
        <v>-11</v>
      </c>
      <c r="CN203" s="316">
        <f t="shared" si="568"/>
        <v>-5</v>
      </c>
      <c r="CO203" s="316">
        <f t="shared" si="568"/>
        <v>-1</v>
      </c>
      <c r="CP203" s="316">
        <f t="shared" si="568"/>
        <v>-3</v>
      </c>
      <c r="CQ203" s="316">
        <f t="shared" si="568"/>
        <v>0</v>
      </c>
      <c r="CR203" s="316">
        <f t="shared" si="568"/>
        <v>1</v>
      </c>
      <c r="CS203" s="316"/>
      <c r="CT203" s="348"/>
      <c r="CU203" s="36">
        <f>'MONTHLY SUMMARIES'!D147</f>
        <v>26</v>
      </c>
    </row>
    <row r="204" spans="1:99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569">SUM(D195:D203)</f>
        <v>27710</v>
      </c>
      <c r="E204" s="118">
        <f t="shared" si="569"/>
        <v>31627</v>
      </c>
      <c r="F204" s="118">
        <f t="shared" si="569"/>
        <v>32744</v>
      </c>
      <c r="G204" s="118">
        <f t="shared" si="569"/>
        <v>32222</v>
      </c>
      <c r="H204" s="119">
        <f t="shared" si="569"/>
        <v>31418</v>
      </c>
      <c r="I204" s="118">
        <f t="shared" si="569"/>
        <v>32813</v>
      </c>
      <c r="J204" s="119">
        <f t="shared" si="569"/>
        <v>32988</v>
      </c>
      <c r="K204" s="118">
        <f t="shared" si="569"/>
        <v>30276</v>
      </c>
      <c r="L204" s="120">
        <f t="shared" si="569"/>
        <v>27591</v>
      </c>
      <c r="M204" s="119">
        <f t="shared" si="569"/>
        <v>26779</v>
      </c>
      <c r="N204" s="119">
        <f t="shared" si="569"/>
        <v>26686</v>
      </c>
      <c r="O204" s="119">
        <f t="shared" si="569"/>
        <v>23093</v>
      </c>
      <c r="P204" s="119">
        <f t="shared" si="569"/>
        <v>16250</v>
      </c>
      <c r="Q204" s="119">
        <f t="shared" si="569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70">SUM(BI195:BI203)</f>
        <v>-2181</v>
      </c>
      <c r="BJ204" s="119">
        <f t="shared" ref="BJ204:BL204" si="571">SUM(BJ195:BJ203)</f>
        <v>-11460</v>
      </c>
      <c r="BK204" s="119">
        <f t="shared" si="571"/>
        <v>-19165</v>
      </c>
      <c r="BL204" s="119">
        <f t="shared" si="571"/>
        <v>-20457</v>
      </c>
      <c r="BM204" s="119">
        <f t="shared" ref="BM204:BN204" si="572">SUM(BM195:BM203)</f>
        <v>-20072</v>
      </c>
      <c r="BN204" s="119">
        <f t="shared" si="572"/>
        <v>-19303</v>
      </c>
      <c r="BO204" s="119">
        <f t="shared" ref="BO204:BP204" si="573">SUM(BO195:BO203)</f>
        <v>-19663</v>
      </c>
      <c r="BP204" s="119">
        <f t="shared" si="573"/>
        <v>-18332</v>
      </c>
      <c r="BQ204" s="119">
        <f t="shared" ref="BQ204:BR204" si="574">SUM(BQ195:BQ203)</f>
        <v>-14898</v>
      </c>
      <c r="BR204" s="119">
        <f t="shared" si="574"/>
        <v>-13182</v>
      </c>
      <c r="BS204" s="119">
        <f t="shared" ref="BS204:BT204" si="575">SUM(BS195:BS203)</f>
        <v>-11788</v>
      </c>
      <c r="BT204" s="119">
        <f t="shared" si="575"/>
        <v>-11651</v>
      </c>
      <c r="BU204" s="119">
        <f t="shared" ref="BU204:BV204" si="576">SUM(BU195:BU203)</f>
        <v>-7012</v>
      </c>
      <c r="BV204" s="119">
        <f t="shared" si="576"/>
        <v>1315</v>
      </c>
      <c r="BW204" s="119">
        <f t="shared" ref="BW204:BX204" si="577">SUM(BW195:BW203)</f>
        <v>10234</v>
      </c>
      <c r="BX204" s="119">
        <f t="shared" si="577"/>
        <v>18205</v>
      </c>
      <c r="BY204" s="119">
        <f t="shared" ref="BY204:BZ204" si="578">SUM(BY195:BY203)</f>
        <v>28823</v>
      </c>
      <c r="BZ204" s="119">
        <f t="shared" si="578"/>
        <v>28811</v>
      </c>
      <c r="CA204" s="206">
        <f t="shared" ref="CA204:CB204" si="579">SUM(CA195:CA203)</f>
        <v>29803</v>
      </c>
      <c r="CB204" s="206">
        <f t="shared" si="579"/>
        <v>25608</v>
      </c>
      <c r="CC204" s="206">
        <f t="shared" ref="CC204:CE204" si="580">SUM(CC195:CC203)</f>
        <v>24661</v>
      </c>
      <c r="CD204" s="206">
        <f t="shared" si="580"/>
        <v>21439</v>
      </c>
      <c r="CE204" s="120">
        <f t="shared" si="580"/>
        <v>19084</v>
      </c>
      <c r="CF204" s="120">
        <f t="shared" ref="CF204:CG204" si="581">SUM(CF195:CF203)</f>
        <v>19516</v>
      </c>
      <c r="CG204" s="120">
        <f t="shared" si="581"/>
        <v>21236</v>
      </c>
      <c r="CH204" s="120">
        <f t="shared" ref="CH204:CI204" si="582">SUM(CH195:CH203)</f>
        <v>22585</v>
      </c>
      <c r="CI204" s="120">
        <f t="shared" si="582"/>
        <v>15275</v>
      </c>
      <c r="CJ204" s="120">
        <f t="shared" ref="CJ204" si="583">SUM(CJ195:CJ203)</f>
        <v>6015</v>
      </c>
      <c r="CK204" s="120">
        <f t="shared" ref="CK204" si="584">SUM(CK195:CK203)</f>
        <v>-4801</v>
      </c>
      <c r="CL204" s="120">
        <f t="shared" ref="CL204" si="585">SUM(CL195:CL203)</f>
        <v>-4042</v>
      </c>
      <c r="CM204" s="120">
        <f t="shared" ref="CM204" si="586">SUM(CM195:CM203)</f>
        <v>-6806</v>
      </c>
      <c r="CN204" s="120">
        <f t="shared" ref="CN204" si="587">SUM(CN195:CN203)</f>
        <v>-5236</v>
      </c>
      <c r="CO204" s="120">
        <f t="shared" ref="CO204" si="588">SUM(CO195:CO203)</f>
        <v>-7677</v>
      </c>
      <c r="CP204" s="206">
        <f t="shared" ref="CP204" si="589">SUM(CP195:CP203)</f>
        <v>-6122</v>
      </c>
      <c r="CQ204" s="206">
        <f t="shared" ref="CQ204:CS204" si="590">SUM(CQ195:CQ203)</f>
        <v>-4528</v>
      </c>
      <c r="CR204" s="206">
        <f t="shared" ref="CR204" si="591">SUM(CR195:CR203)</f>
        <v>-3858</v>
      </c>
      <c r="CS204" s="206"/>
      <c r="CT204" s="349"/>
      <c r="CU204" s="119">
        <f>CU195+CU198+CU201+CU202+CU203</f>
        <v>34532</v>
      </c>
    </row>
    <row r="205" spans="1:99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48"/>
      <c r="CU205" s="81"/>
    </row>
    <row r="206" spans="1:99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R206" si="592">O206-C206</f>
        <v>4666140.7400000095</v>
      </c>
      <c r="BJ206" s="232">
        <f t="shared" si="592"/>
        <v>21046268.519999996</v>
      </c>
      <c r="BK206" s="232">
        <f t="shared" si="592"/>
        <v>16136183.879999995</v>
      </c>
      <c r="BL206" s="232">
        <f t="shared" si="592"/>
        <v>16882347.129999995</v>
      </c>
      <c r="BM206" s="232">
        <f t="shared" si="592"/>
        <v>27256055.689999998</v>
      </c>
      <c r="BN206" s="232">
        <f t="shared" si="592"/>
        <v>33562623.680000007</v>
      </c>
      <c r="BO206" s="232">
        <f t="shared" si="592"/>
        <v>17966351.370000005</v>
      </c>
      <c r="BP206" s="232">
        <f t="shared" si="592"/>
        <v>10792691.859999999</v>
      </c>
      <c r="BQ206" s="232">
        <f t="shared" si="592"/>
        <v>5748113.9899999946</v>
      </c>
      <c r="BR206" s="232">
        <f t="shared" si="592"/>
        <v>-2655682.3299999982</v>
      </c>
      <c r="BS206" s="232">
        <f t="shared" si="592"/>
        <v>6070658.3400000036</v>
      </c>
      <c r="BT206" s="232">
        <f t="shared" si="592"/>
        <v>17851878.040000007</v>
      </c>
      <c r="BU206" s="232">
        <f t="shared" si="592"/>
        <v>5601658.2399999946</v>
      </c>
      <c r="BV206" s="232">
        <f t="shared" si="592"/>
        <v>-3008904.8199999928</v>
      </c>
      <c r="BW206" s="232">
        <f t="shared" si="592"/>
        <v>-3412925</v>
      </c>
      <c r="BX206" s="232">
        <f t="shared" si="592"/>
        <v>4644798</v>
      </c>
      <c r="BY206" s="232">
        <f t="shared" si="592"/>
        <v>-8098448</v>
      </c>
      <c r="BZ206" s="232">
        <f t="shared" si="592"/>
        <v>-26523927</v>
      </c>
      <c r="CA206" s="282">
        <f t="shared" si="592"/>
        <v>20675184</v>
      </c>
      <c r="CB206" s="282">
        <f t="shared" si="592"/>
        <v>2015820</v>
      </c>
      <c r="CC206" s="282">
        <f t="shared" si="592"/>
        <v>3361494</v>
      </c>
      <c r="CD206" s="282">
        <f t="shared" si="592"/>
        <v>14289222</v>
      </c>
      <c r="CE206" s="312">
        <f t="shared" si="592"/>
        <v>9063758</v>
      </c>
      <c r="CF206" s="312">
        <f t="shared" si="592"/>
        <v>11536340</v>
      </c>
      <c r="CG206" s="312">
        <f t="shared" si="592"/>
        <v>8350880</v>
      </c>
      <c r="CH206" s="312">
        <f t="shared" si="592"/>
        <v>3664049</v>
      </c>
      <c r="CI206" s="312">
        <f t="shared" si="592"/>
        <v>3852476</v>
      </c>
      <c r="CJ206" s="312">
        <f t="shared" si="592"/>
        <v>-1057260</v>
      </c>
      <c r="CK206" s="312">
        <f t="shared" si="592"/>
        <v>8576402</v>
      </c>
      <c r="CL206" s="312">
        <f t="shared" si="592"/>
        <v>30074238</v>
      </c>
      <c r="CM206" s="312">
        <f t="shared" si="592"/>
        <v>7565244</v>
      </c>
      <c r="CN206" s="312">
        <f t="shared" si="592"/>
        <v>-246806</v>
      </c>
      <c r="CO206" s="312">
        <f t="shared" si="592"/>
        <v>4359518</v>
      </c>
      <c r="CP206" s="312">
        <f t="shared" si="592"/>
        <v>42187972</v>
      </c>
      <c r="CQ206" s="312">
        <f t="shared" si="592"/>
        <v>31121258</v>
      </c>
      <c r="CR206" s="312">
        <f t="shared" si="592"/>
        <v>-133443585</v>
      </c>
      <c r="CS206" s="312"/>
      <c r="CT206" s="348"/>
      <c r="CU206" s="36">
        <f>'MONTHLY SUMMARIES'!D150</f>
        <v>148740623</v>
      </c>
    </row>
    <row r="207" spans="1:99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48"/>
      <c r="CU207" s="67">
        <f>GETPIVOTDATA("VALUE",'CSS ESCO pvt'!$I$3,"DATE_FILE",$CU$8,"COMPANY",$CU$6,"TRIM_CAT","Residential-GRID","TRIM_LINE",$A205)</f>
        <v>76597885</v>
      </c>
    </row>
    <row r="208" spans="1:99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48"/>
      <c r="CU208" s="81">
        <f>CU206-CU207</f>
        <v>72142738</v>
      </c>
    </row>
    <row r="209" spans="1:99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R209" si="593">O209-C209</f>
        <v>-770913.0700000003</v>
      </c>
      <c r="BJ209" s="232">
        <f t="shared" si="593"/>
        <v>892945.59999999963</v>
      </c>
      <c r="BK209" s="232">
        <f t="shared" si="593"/>
        <v>274594.58999999985</v>
      </c>
      <c r="BL209" s="232">
        <f t="shared" si="593"/>
        <v>78385.849999999627</v>
      </c>
      <c r="BM209" s="232">
        <f t="shared" si="593"/>
        <v>1468959.3499999996</v>
      </c>
      <c r="BN209" s="232">
        <f t="shared" si="593"/>
        <v>1006775.5800000001</v>
      </c>
      <c r="BO209" s="232">
        <f t="shared" si="593"/>
        <v>-164438.68999999948</v>
      </c>
      <c r="BP209" s="232">
        <f t="shared" si="593"/>
        <v>-329924.84999999963</v>
      </c>
      <c r="BQ209" s="232">
        <f t="shared" si="593"/>
        <v>-548933.72000000067</v>
      </c>
      <c r="BR209" s="232">
        <f t="shared" si="593"/>
        <v>-1699626.2799999993</v>
      </c>
      <c r="BS209" s="232">
        <f t="shared" si="593"/>
        <v>-416165.1099999994</v>
      </c>
      <c r="BT209" s="232">
        <f t="shared" si="593"/>
        <v>1420814.9600000009</v>
      </c>
      <c r="BU209" s="232">
        <f t="shared" si="593"/>
        <v>950840.51999999955</v>
      </c>
      <c r="BV209" s="232">
        <f t="shared" si="593"/>
        <v>266389.73000000045</v>
      </c>
      <c r="BW209" s="232">
        <f t="shared" si="593"/>
        <v>433960</v>
      </c>
      <c r="BX209" s="232">
        <f t="shared" si="593"/>
        <v>1246595</v>
      </c>
      <c r="BY209" s="232">
        <f t="shared" si="593"/>
        <v>456394</v>
      </c>
      <c r="BZ209" s="232">
        <f t="shared" si="593"/>
        <v>-1211984</v>
      </c>
      <c r="CA209" s="282">
        <f t="shared" si="593"/>
        <v>2067099</v>
      </c>
      <c r="CB209" s="282">
        <f t="shared" si="593"/>
        <v>436405</v>
      </c>
      <c r="CC209" s="282">
        <f t="shared" si="593"/>
        <v>-1887708</v>
      </c>
      <c r="CD209" s="282">
        <f t="shared" si="593"/>
        <v>326794</v>
      </c>
      <c r="CE209" s="312">
        <f t="shared" si="593"/>
        <v>-2002344</v>
      </c>
      <c r="CF209" s="312">
        <f t="shared" si="593"/>
        <v>-1505576</v>
      </c>
      <c r="CG209" s="312">
        <f t="shared" si="593"/>
        <v>-1291770</v>
      </c>
      <c r="CH209" s="312">
        <f t="shared" si="593"/>
        <v>-150526</v>
      </c>
      <c r="CI209" s="312">
        <f t="shared" si="593"/>
        <v>-56625</v>
      </c>
      <c r="CJ209" s="312">
        <f t="shared" si="593"/>
        <v>-742935</v>
      </c>
      <c r="CK209" s="312">
        <f t="shared" si="593"/>
        <v>-379909</v>
      </c>
      <c r="CL209" s="312">
        <f t="shared" si="593"/>
        <v>2263461</v>
      </c>
      <c r="CM209" s="312">
        <f t="shared" si="593"/>
        <v>1471194</v>
      </c>
      <c r="CN209" s="312">
        <f t="shared" si="593"/>
        <v>854974</v>
      </c>
      <c r="CO209" s="312">
        <f t="shared" si="593"/>
        <v>3827190</v>
      </c>
      <c r="CP209" s="312">
        <f t="shared" si="593"/>
        <v>7119316</v>
      </c>
      <c r="CQ209" s="312">
        <f t="shared" si="593"/>
        <v>9979368</v>
      </c>
      <c r="CR209" s="312">
        <f t="shared" si="593"/>
        <v>-11321704</v>
      </c>
      <c r="CS209" s="312"/>
      <c r="CT209" s="348"/>
      <c r="CU209" s="36">
        <f>'MONTHLY SUMMARIES'!D151</f>
        <v>19516022</v>
      </c>
    </row>
    <row r="210" spans="1:99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48"/>
      <c r="CU210" s="67">
        <f>GETPIVOTDATA("VALUE",'CSS ESCO pvt'!$I$3,"DATE_FILE",$CU$8,"COMPANY",$CU$6,"TRIM_CAT","Low Income Residential-GRID","TRIM_LINE",$A205)</f>
        <v>10633546</v>
      </c>
    </row>
    <row r="211" spans="1:99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48"/>
      <c r="CU211" s="81">
        <f>CU209-CU210</f>
        <v>8882476</v>
      </c>
    </row>
    <row r="212" spans="1:99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594">O212-C212</f>
        <v>-1237633.7199999988</v>
      </c>
      <c r="BJ212" s="232">
        <f t="shared" si="594"/>
        <v>1156631.1700000018</v>
      </c>
      <c r="BK212" s="232">
        <f t="shared" si="594"/>
        <v>-485635.69000000134</v>
      </c>
      <c r="BL212" s="232">
        <f t="shared" si="594"/>
        <v>-762306.05999999866</v>
      </c>
      <c r="BM212" s="232">
        <f t="shared" si="594"/>
        <v>1613141.7899999991</v>
      </c>
      <c r="BN212" s="232">
        <f t="shared" si="594"/>
        <v>1127608.1799999997</v>
      </c>
      <c r="BO212" s="232">
        <f t="shared" si="594"/>
        <v>180016.48999999836</v>
      </c>
      <c r="BP212" s="232">
        <f t="shared" si="594"/>
        <v>197587.1099999994</v>
      </c>
      <c r="BQ212" s="232">
        <f t="shared" si="594"/>
        <v>-777328.1799999997</v>
      </c>
      <c r="BR212" s="232">
        <f t="shared" si="594"/>
        <v>-3849436.6999999993</v>
      </c>
      <c r="BS212" s="232">
        <f t="shared" ref="BS212:CB214" si="595">Y212-M212</f>
        <v>-718658.14999999851</v>
      </c>
      <c r="BT212" s="232">
        <f t="shared" si="595"/>
        <v>1695072.1799999997</v>
      </c>
      <c r="BU212" s="232">
        <f t="shared" si="595"/>
        <v>60737.339999999851</v>
      </c>
      <c r="BV212" s="232">
        <f t="shared" si="595"/>
        <v>926216.87999999896</v>
      </c>
      <c r="BW212" s="232">
        <f t="shared" si="595"/>
        <v>2109386</v>
      </c>
      <c r="BX212" s="232">
        <f t="shared" si="595"/>
        <v>3587959</v>
      </c>
      <c r="BY212" s="232">
        <f t="shared" si="595"/>
        <v>2616449</v>
      </c>
      <c r="BZ212" s="232">
        <f t="shared" si="595"/>
        <v>-277375</v>
      </c>
      <c r="CA212" s="282">
        <f t="shared" si="595"/>
        <v>5824362</v>
      </c>
      <c r="CB212" s="282">
        <f t="shared" si="595"/>
        <v>3272954</v>
      </c>
      <c r="CC212" s="282">
        <f t="shared" ref="CC212:CL214" si="596">AI212-W212</f>
        <v>3009928</v>
      </c>
      <c r="CD212" s="282">
        <f t="shared" si="596"/>
        <v>5934022</v>
      </c>
      <c r="CE212" s="312">
        <f t="shared" si="596"/>
        <v>4477118</v>
      </c>
      <c r="CF212" s="312">
        <f t="shared" si="596"/>
        <v>4173835</v>
      </c>
      <c r="CG212" s="312">
        <f t="shared" si="596"/>
        <v>4006264</v>
      </c>
      <c r="CH212" s="312">
        <f t="shared" si="596"/>
        <v>2119826</v>
      </c>
      <c r="CI212" s="312">
        <f t="shared" si="596"/>
        <v>1611780</v>
      </c>
      <c r="CJ212" s="312">
        <f t="shared" si="596"/>
        <v>1002347</v>
      </c>
      <c r="CK212" s="312">
        <f t="shared" si="596"/>
        <v>1076134</v>
      </c>
      <c r="CL212" s="312">
        <f t="shared" si="596"/>
        <v>5859346</v>
      </c>
      <c r="CM212" s="312">
        <f t="shared" ref="CM212:CR214" si="597">AS212-AG212</f>
        <v>3884314</v>
      </c>
      <c r="CN212" s="312">
        <f t="shared" si="597"/>
        <v>-57838</v>
      </c>
      <c r="CO212" s="312">
        <f t="shared" si="597"/>
        <v>1814756</v>
      </c>
      <c r="CP212" s="312">
        <f t="shared" si="597"/>
        <v>9141143</v>
      </c>
      <c r="CQ212" s="312">
        <f t="shared" si="597"/>
        <v>10068512</v>
      </c>
      <c r="CR212" s="312">
        <f t="shared" si="597"/>
        <v>-33043408</v>
      </c>
      <c r="CS212" s="312"/>
      <c r="CT212" s="348"/>
      <c r="CU212" s="36">
        <f>'MONTHLY SUMMARIES'!D152</f>
        <v>38806867</v>
      </c>
    </row>
    <row r="213" spans="1:99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594"/>
        <v>-847629.77999999747</v>
      </c>
      <c r="BJ213" s="232">
        <f t="shared" si="594"/>
        <v>1464686.3699999973</v>
      </c>
      <c r="BK213" s="232">
        <f t="shared" si="594"/>
        <v>-313821.73000000045</v>
      </c>
      <c r="BL213" s="232">
        <f t="shared" si="594"/>
        <v>-149832.85000000149</v>
      </c>
      <c r="BM213" s="232">
        <f t="shared" si="594"/>
        <v>2022754.7600000016</v>
      </c>
      <c r="BN213" s="232">
        <f t="shared" si="594"/>
        <v>3887118</v>
      </c>
      <c r="BO213" s="232">
        <f t="shared" si="594"/>
        <v>2095683.879999999</v>
      </c>
      <c r="BP213" s="232">
        <f t="shared" si="594"/>
        <v>529220.6799999997</v>
      </c>
      <c r="BQ213" s="232">
        <f t="shared" si="594"/>
        <v>-3447.160000000149</v>
      </c>
      <c r="BR213" s="232">
        <f t="shared" si="594"/>
        <v>-3913878.3599999994</v>
      </c>
      <c r="BS213" s="232">
        <f t="shared" si="595"/>
        <v>-152101.83999999985</v>
      </c>
      <c r="BT213" s="232">
        <f t="shared" si="595"/>
        <v>3318352.5500000007</v>
      </c>
      <c r="BU213" s="232">
        <f t="shared" si="595"/>
        <v>-439540.21000000089</v>
      </c>
      <c r="BV213" s="232">
        <f t="shared" si="595"/>
        <v>1078255.2100000009</v>
      </c>
      <c r="BW213" s="232">
        <f t="shared" si="595"/>
        <v>1771166</v>
      </c>
      <c r="BX213" s="232">
        <f t="shared" si="595"/>
        <v>3910715</v>
      </c>
      <c r="BY213" s="232">
        <f t="shared" si="595"/>
        <v>1907612</v>
      </c>
      <c r="BZ213" s="232">
        <f t="shared" si="595"/>
        <v>-1879403</v>
      </c>
      <c r="CA213" s="282">
        <f t="shared" si="595"/>
        <v>3272847</v>
      </c>
      <c r="CB213" s="282">
        <f t="shared" si="595"/>
        <v>3852646</v>
      </c>
      <c r="CC213" s="282">
        <f t="shared" si="596"/>
        <v>3885903</v>
      </c>
      <c r="CD213" s="282">
        <f t="shared" si="596"/>
        <v>4964478</v>
      </c>
      <c r="CE213" s="312">
        <f t="shared" si="596"/>
        <v>2744941</v>
      </c>
      <c r="CF213" s="312">
        <f t="shared" si="596"/>
        <v>2738439</v>
      </c>
      <c r="CG213" s="312">
        <f t="shared" si="596"/>
        <v>3270608</v>
      </c>
      <c r="CH213" s="312">
        <f t="shared" si="596"/>
        <v>1120161</v>
      </c>
      <c r="CI213" s="312">
        <f t="shared" si="596"/>
        <v>213832</v>
      </c>
      <c r="CJ213" s="312">
        <f t="shared" si="596"/>
        <v>-458069</v>
      </c>
      <c r="CK213" s="312">
        <f t="shared" si="596"/>
        <v>-307428</v>
      </c>
      <c r="CL213" s="312">
        <f t="shared" si="596"/>
        <v>6040938</v>
      </c>
      <c r="CM213" s="312">
        <f t="shared" si="597"/>
        <v>6127881</v>
      </c>
      <c r="CN213" s="312">
        <f t="shared" si="597"/>
        <v>2328215</v>
      </c>
      <c r="CO213" s="312">
        <f t="shared" si="597"/>
        <v>-408591</v>
      </c>
      <c r="CP213" s="312">
        <f t="shared" si="597"/>
        <v>1711634</v>
      </c>
      <c r="CQ213" s="312">
        <f t="shared" si="597"/>
        <v>2115714</v>
      </c>
      <c r="CR213" s="312">
        <f t="shared" si="597"/>
        <v>1550246</v>
      </c>
      <c r="CS213" s="312"/>
      <c r="CT213" s="348"/>
      <c r="CU213" s="36">
        <f>'MONTHLY SUMMARIES'!D153</f>
        <v>30454048</v>
      </c>
    </row>
    <row r="214" spans="1:99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594"/>
        <v>-2933341.4900000021</v>
      </c>
      <c r="BJ214" s="232">
        <f t="shared" si="594"/>
        <v>521156.38999999315</v>
      </c>
      <c r="BK214" s="232">
        <f t="shared" si="594"/>
        <v>5034524.09</v>
      </c>
      <c r="BL214" s="232">
        <f t="shared" si="594"/>
        <v>-1574775.1599999964</v>
      </c>
      <c r="BM214" s="232">
        <f t="shared" si="594"/>
        <v>6214761.0399999991</v>
      </c>
      <c r="BN214" s="232">
        <f t="shared" si="594"/>
        <v>4478163.3699999973</v>
      </c>
      <c r="BO214" s="232">
        <f t="shared" si="594"/>
        <v>1370185.2899999991</v>
      </c>
      <c r="BP214" s="232">
        <f t="shared" si="594"/>
        <v>4116295.0100000016</v>
      </c>
      <c r="BQ214" s="232">
        <f t="shared" si="594"/>
        <v>641558.55999999866</v>
      </c>
      <c r="BR214" s="232">
        <f t="shared" si="594"/>
        <v>-5512174.8200000003</v>
      </c>
      <c r="BS214" s="232">
        <f t="shared" si="595"/>
        <v>4679976.3599999994</v>
      </c>
      <c r="BT214" s="232">
        <f t="shared" si="595"/>
        <v>3427856.6499999985</v>
      </c>
      <c r="BU214" s="232">
        <f t="shared" si="595"/>
        <v>1268519.1300000027</v>
      </c>
      <c r="BV214" s="232">
        <f t="shared" si="595"/>
        <v>3269866.2700000033</v>
      </c>
      <c r="BW214" s="232">
        <f t="shared" si="595"/>
        <v>2598692</v>
      </c>
      <c r="BX214" s="232">
        <f t="shared" si="595"/>
        <v>2900038</v>
      </c>
      <c r="BY214" s="232">
        <f t="shared" si="595"/>
        <v>3012820</v>
      </c>
      <c r="BZ214" s="232">
        <f t="shared" si="595"/>
        <v>-1977742</v>
      </c>
      <c r="CA214" s="282">
        <f t="shared" si="595"/>
        <v>6112769</v>
      </c>
      <c r="CB214" s="282">
        <f t="shared" si="595"/>
        <v>6905192</v>
      </c>
      <c r="CC214" s="282">
        <f t="shared" si="596"/>
        <v>4249824</v>
      </c>
      <c r="CD214" s="282">
        <f t="shared" si="596"/>
        <v>8876616</v>
      </c>
      <c r="CE214" s="312">
        <f t="shared" si="596"/>
        <v>5125834</v>
      </c>
      <c r="CF214" s="312">
        <f t="shared" si="596"/>
        <v>2073909</v>
      </c>
      <c r="CG214" s="312">
        <f t="shared" si="596"/>
        <v>5073115</v>
      </c>
      <c r="CH214" s="312">
        <f t="shared" si="596"/>
        <v>1569863</v>
      </c>
      <c r="CI214" s="312">
        <f t="shared" si="596"/>
        <v>51180</v>
      </c>
      <c r="CJ214" s="312">
        <f t="shared" si="596"/>
        <v>938848</v>
      </c>
      <c r="CK214" s="312">
        <f t="shared" si="596"/>
        <v>-797207</v>
      </c>
      <c r="CL214" s="312">
        <f t="shared" si="596"/>
        <v>5007278</v>
      </c>
      <c r="CM214" s="312">
        <f t="shared" si="597"/>
        <v>8897043</v>
      </c>
      <c r="CN214" s="312">
        <f t="shared" si="597"/>
        <v>-2864633</v>
      </c>
      <c r="CO214" s="312">
        <f t="shared" si="597"/>
        <v>2409603</v>
      </c>
      <c r="CP214" s="312">
        <f t="shared" si="597"/>
        <v>4040521</v>
      </c>
      <c r="CQ214" s="312">
        <f t="shared" si="597"/>
        <v>130016</v>
      </c>
      <c r="CR214" s="312">
        <f t="shared" si="597"/>
        <v>2441799</v>
      </c>
      <c r="CS214" s="312"/>
      <c r="CT214" s="348"/>
      <c r="CU214" s="36">
        <f>'MONTHLY SUMMARIES'!D154</f>
        <v>42885612</v>
      </c>
    </row>
    <row r="215" spans="1:99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598">SUM(D206:D214)</f>
        <v>164645396.68000001</v>
      </c>
      <c r="E215" s="227">
        <f t="shared" si="598"/>
        <v>148639368.86000001</v>
      </c>
      <c r="F215" s="228">
        <f t="shared" si="598"/>
        <v>163637832.09</v>
      </c>
      <c r="G215" s="227">
        <f t="shared" si="598"/>
        <v>193206163.37000003</v>
      </c>
      <c r="H215" s="228">
        <f t="shared" si="598"/>
        <v>209921264.19</v>
      </c>
      <c r="I215" s="227">
        <f t="shared" si="598"/>
        <v>185466437.66</v>
      </c>
      <c r="J215" s="228">
        <f t="shared" si="598"/>
        <v>154105813.19</v>
      </c>
      <c r="K215" s="227">
        <f t="shared" si="598"/>
        <v>166198773.50999999</v>
      </c>
      <c r="L215" s="229">
        <f t="shared" si="598"/>
        <v>211692532.49000001</v>
      </c>
      <c r="M215" s="228">
        <f t="shared" si="598"/>
        <v>224399775.39999998</v>
      </c>
      <c r="N215" s="228">
        <f t="shared" si="598"/>
        <v>208008990.61999997</v>
      </c>
      <c r="O215" s="228">
        <f t="shared" si="598"/>
        <v>191683967.98000002</v>
      </c>
      <c r="P215" s="228">
        <f t="shared" si="598"/>
        <v>189727084.72999999</v>
      </c>
      <c r="Q215" s="228">
        <f t="shared" si="598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si="598"/>
        <v>-1123377.3199999891</v>
      </c>
      <c r="BJ215" s="234">
        <f t="shared" si="598"/>
        <v>25081688.04999999</v>
      </c>
      <c r="BK215" s="234">
        <f t="shared" ref="BK215:BL215" si="599">SUM(BK206:BK214)</f>
        <v>20645845.139999993</v>
      </c>
      <c r="BL215" s="234">
        <f t="shared" si="599"/>
        <v>14473818.91</v>
      </c>
      <c r="BM215" s="234">
        <f t="shared" ref="BM215:BN215" si="600">SUM(BM206:BM214)</f>
        <v>38575672.629999995</v>
      </c>
      <c r="BN215" s="234">
        <f t="shared" si="600"/>
        <v>44062288.810000002</v>
      </c>
      <c r="BO215" s="234">
        <f t="shared" ref="BO215:BP215" si="601">SUM(BO206:BO214)</f>
        <v>21447798.340000004</v>
      </c>
      <c r="BP215" s="234">
        <f t="shared" si="601"/>
        <v>15305869.810000001</v>
      </c>
      <c r="BQ215" s="234">
        <f t="shared" ref="BQ215:BR215" si="602">SUM(BQ206:BQ214)</f>
        <v>5059963.4899999928</v>
      </c>
      <c r="BR215" s="234">
        <f t="shared" si="602"/>
        <v>-17630798.489999995</v>
      </c>
      <c r="BS215" s="234">
        <f t="shared" ref="BS215:BT215" si="603">SUM(BS206:BS214)</f>
        <v>9463709.6000000052</v>
      </c>
      <c r="BT215" s="234">
        <f t="shared" si="603"/>
        <v>27713974.380000006</v>
      </c>
      <c r="BU215" s="234">
        <f t="shared" ref="BU215:BV215" si="604">SUM(BU206:BU214)</f>
        <v>7442215.0199999958</v>
      </c>
      <c r="BV215" s="234">
        <f t="shared" si="604"/>
        <v>2531823.2700000107</v>
      </c>
      <c r="BW215" s="234">
        <f t="shared" ref="BW215:BX215" si="605">SUM(BW206:BW214)</f>
        <v>3500279</v>
      </c>
      <c r="BX215" s="234">
        <f t="shared" si="605"/>
        <v>16290105</v>
      </c>
      <c r="BY215" s="234">
        <f t="shared" ref="BY215:BZ215" si="606">SUM(BY206:BY214)</f>
        <v>-105173</v>
      </c>
      <c r="BZ215" s="234">
        <f t="shared" si="606"/>
        <v>-31870431</v>
      </c>
      <c r="CA215" s="283">
        <f t="shared" ref="CA215:CB215" si="607">SUM(CA206:CA214)</f>
        <v>37952261</v>
      </c>
      <c r="CB215" s="283">
        <f t="shared" si="607"/>
        <v>16483017</v>
      </c>
      <c r="CC215" s="283">
        <f t="shared" ref="CC215:CE215" si="608">SUM(CC206:CC214)</f>
        <v>12619441</v>
      </c>
      <c r="CD215" s="283">
        <f t="shared" si="608"/>
        <v>34391132</v>
      </c>
      <c r="CE215" s="313">
        <f t="shared" si="608"/>
        <v>19409307</v>
      </c>
      <c r="CF215" s="313">
        <f t="shared" ref="CF215:CG215" si="609">SUM(CF206:CF214)</f>
        <v>19016947</v>
      </c>
      <c r="CG215" s="313">
        <f t="shared" si="609"/>
        <v>19409097</v>
      </c>
      <c r="CH215" s="313">
        <f t="shared" ref="CH215:CI215" si="610">SUM(CH206:CH214)</f>
        <v>8323373</v>
      </c>
      <c r="CI215" s="313">
        <f t="shared" si="610"/>
        <v>5672643</v>
      </c>
      <c r="CJ215" s="313">
        <f t="shared" ref="CJ215" si="611">SUM(CJ206:CJ214)</f>
        <v>-317069</v>
      </c>
      <c r="CK215" s="313">
        <f t="shared" ref="CK215" si="612">SUM(CK206:CK214)</f>
        <v>8167992</v>
      </c>
      <c r="CL215" s="313">
        <f t="shared" ref="CL215" si="613">SUM(CL206:CL214)</f>
        <v>49245261</v>
      </c>
      <c r="CM215" s="313">
        <f t="shared" ref="CM215" si="614">SUM(CM206:CM214)</f>
        <v>27945676</v>
      </c>
      <c r="CN215" s="313">
        <f t="shared" ref="CN215" si="615">SUM(CN206:CN214)</f>
        <v>13912</v>
      </c>
      <c r="CO215" s="313">
        <f t="shared" ref="CO215" si="616">SUM(CO206:CO214)</f>
        <v>12002476</v>
      </c>
      <c r="CP215" s="313">
        <f t="shared" ref="CP215" si="617">SUM(CP206:CP214)</f>
        <v>64200586</v>
      </c>
      <c r="CQ215" s="313">
        <f t="shared" ref="CQ215:CS215" si="618">SUM(CQ206:CQ214)</f>
        <v>53414868</v>
      </c>
      <c r="CR215" s="313">
        <f t="shared" ref="CR215" si="619">SUM(CR206:CR214)</f>
        <v>-173816652</v>
      </c>
      <c r="CS215" s="313"/>
      <c r="CT215" s="349"/>
      <c r="CU215" s="262">
        <f>CU206+CU209+CU212+CU213+CU214</f>
        <v>280403172</v>
      </c>
    </row>
    <row r="216" spans="1:99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48"/>
      <c r="CU216" s="93"/>
    </row>
    <row r="217" spans="1:99" s="62" customFormat="1" x14ac:dyDescent="0.3">
      <c r="A217" s="150"/>
      <c r="B217" s="63" t="s">
        <v>37</v>
      </c>
      <c r="C217" s="115"/>
      <c r="D217" s="176">
        <f t="shared" ref="D217:Y217" si="620">(C98+C206+D130-D98-D206)/(C98+C206+D130-D206)</f>
        <v>0.50833385930004771</v>
      </c>
      <c r="E217" s="177">
        <f t="shared" si="620"/>
        <v>0.48844564303899474</v>
      </c>
      <c r="F217" s="177">
        <f t="shared" si="620"/>
        <v>0.47172473383620184</v>
      </c>
      <c r="G217" s="177">
        <f t="shared" si="620"/>
        <v>0.51905484024697013</v>
      </c>
      <c r="H217" s="178">
        <f t="shared" si="620"/>
        <v>0.54236372819462586</v>
      </c>
      <c r="I217" s="177">
        <f t="shared" si="620"/>
        <v>0.52378974332454564</v>
      </c>
      <c r="J217" s="178">
        <f t="shared" si="620"/>
        <v>0.50431756682942308</v>
      </c>
      <c r="K217" s="177">
        <f t="shared" si="620"/>
        <v>0.42353220876551917</v>
      </c>
      <c r="L217" s="179">
        <f t="shared" si="620"/>
        <v>0.47197772241997021</v>
      </c>
      <c r="M217" s="178">
        <f t="shared" si="620"/>
        <v>0.52798482272454106</v>
      </c>
      <c r="N217" s="178">
        <f t="shared" si="620"/>
        <v>0.48255149920616758</v>
      </c>
      <c r="O217" s="178">
        <f t="shared" si="620"/>
        <v>0.46277878057248784</v>
      </c>
      <c r="P217" s="178">
        <f t="shared" si="620"/>
        <v>0.44683091305740175</v>
      </c>
      <c r="Q217" s="178">
        <f t="shared" si="620"/>
        <v>0.41958139580149129</v>
      </c>
      <c r="R217" s="178">
        <f t="shared" si="620"/>
        <v>0.41099957193116304</v>
      </c>
      <c r="S217" s="178">
        <f t="shared" si="620"/>
        <v>0.45010647658336489</v>
      </c>
      <c r="T217" s="178">
        <f t="shared" si="620"/>
        <v>0.47179039678237877</v>
      </c>
      <c r="U217" s="178">
        <f t="shared" si="620"/>
        <v>0.44183112916040673</v>
      </c>
      <c r="V217" s="178">
        <f t="shared" si="620"/>
        <v>0.37241314028959871</v>
      </c>
      <c r="W217" s="178">
        <f t="shared" si="620"/>
        <v>0.40823309520465401</v>
      </c>
      <c r="X217" s="179">
        <f t="shared" si="620"/>
        <v>0.37335596732146065</v>
      </c>
      <c r="Y217" s="178">
        <f t="shared" si="620"/>
        <v>0.38800719427594715</v>
      </c>
      <c r="Z217" s="178">
        <v>0.38711047596755832</v>
      </c>
      <c r="AA217" s="178">
        <f t="shared" ref="AA217:AE219" si="621">(Z98+Z206+AA130-AA98-AA206)/(Z98+Z206+AA130-AA206)</f>
        <v>0.43288665155272704</v>
      </c>
      <c r="AB217" s="178">
        <f t="shared" si="621"/>
        <v>0.34501627213560582</v>
      </c>
      <c r="AC217" s="178">
        <f t="shared" si="621"/>
        <v>0.36042310089458979</v>
      </c>
      <c r="AD217" s="178">
        <f t="shared" si="621"/>
        <v>0.37303430646889024</v>
      </c>
      <c r="AE217" s="178">
        <f t="shared" si="621"/>
        <v>0.42294102796806937</v>
      </c>
      <c r="AF217" s="178">
        <f t="shared" ref="AF217:AY217" si="622">(AE98+AE206+AF130-AF98-AF206)/(AE98+AE206+AF130-AF206)</f>
        <v>0.4587465675574352</v>
      </c>
      <c r="AG217" s="178">
        <f t="shared" si="622"/>
        <v>0.44867578072727055</v>
      </c>
      <c r="AH217" s="178">
        <f t="shared" si="622"/>
        <v>0.43422824466082177</v>
      </c>
      <c r="AI217" s="178">
        <f t="shared" si="622"/>
        <v>0.35721990978955126</v>
      </c>
      <c r="AJ217" s="178">
        <f t="shared" si="622"/>
        <v>0.42645159487165507</v>
      </c>
      <c r="AK217" s="178">
        <f t="shared" si="622"/>
        <v>0.42615789145143851</v>
      </c>
      <c r="AL217" s="178">
        <f t="shared" si="622"/>
        <v>0.43768798515766782</v>
      </c>
      <c r="AM217" s="178">
        <f t="shared" si="622"/>
        <v>0.46552543130867435</v>
      </c>
      <c r="AN217" s="178">
        <f t="shared" si="622"/>
        <v>0.43269733505078101</v>
      </c>
      <c r="AO217" s="178">
        <f t="shared" si="622"/>
        <v>0.4047015770130622</v>
      </c>
      <c r="AP217" s="178">
        <f t="shared" si="622"/>
        <v>0.43726070319029858</v>
      </c>
      <c r="AQ217" s="178">
        <f t="shared" si="622"/>
        <v>0.43080986837093049</v>
      </c>
      <c r="AR217" s="178">
        <f t="shared" si="622"/>
        <v>0.5271279520606551</v>
      </c>
      <c r="AS217" s="178">
        <f t="shared" si="622"/>
        <v>0.48863546295665117</v>
      </c>
      <c r="AT217" s="178">
        <f t="shared" si="622"/>
        <v>0.47116319583306232</v>
      </c>
      <c r="AU217" s="178">
        <f t="shared" si="622"/>
        <v>3.4104574019889096E-2</v>
      </c>
      <c r="AV217" s="284">
        <f t="shared" si="622"/>
        <v>-0.17155998614902396</v>
      </c>
      <c r="AW217" s="284">
        <f t="shared" si="622"/>
        <v>0.13520780220833784</v>
      </c>
      <c r="AX217" s="284">
        <f t="shared" si="622"/>
        <v>0.46143958517406075</v>
      </c>
      <c r="AY217" s="284">
        <f t="shared" si="622"/>
        <v>0.2459755128463155</v>
      </c>
      <c r="AZ217" s="178"/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23">P217-D217</f>
        <v>-6.1502946242645962E-2</v>
      </c>
      <c r="BK217" s="178">
        <f t="shared" si="623"/>
        <v>-6.8864247237503451E-2</v>
      </c>
      <c r="BL217" s="178">
        <f t="shared" si="623"/>
        <v>-6.0725161905038794E-2</v>
      </c>
      <c r="BM217" s="178">
        <f t="shared" si="623"/>
        <v>-6.8948363663605239E-2</v>
      </c>
      <c r="BN217" s="178">
        <f t="shared" si="623"/>
        <v>-7.0573331412247087E-2</v>
      </c>
      <c r="BO217" s="178">
        <f t="shared" si="623"/>
        <v>-8.195861416413891E-2</v>
      </c>
      <c r="BP217" s="178">
        <f t="shared" si="623"/>
        <v>-0.13190442653982437</v>
      </c>
      <c r="BQ217" s="178">
        <f t="shared" si="623"/>
        <v>-1.5299113560865163E-2</v>
      </c>
      <c r="BR217" s="178">
        <f t="shared" si="623"/>
        <v>-9.8621755098509567E-2</v>
      </c>
      <c r="BS217" s="178">
        <f t="shared" si="623"/>
        <v>-0.1399776284485939</v>
      </c>
      <c r="BT217" s="178">
        <f t="shared" si="623"/>
        <v>-9.5441023238609257E-2</v>
      </c>
      <c r="BU217" s="178">
        <f t="shared" si="623"/>
        <v>-2.9892129019760794E-2</v>
      </c>
      <c r="BV217" s="178">
        <f t="shared" si="623"/>
        <v>-0.10181464092179593</v>
      </c>
      <c r="BW217" s="178">
        <f t="shared" si="623"/>
        <v>-5.9158294906901498E-2</v>
      </c>
      <c r="BX217" s="178">
        <f t="shared" si="623"/>
        <v>-3.7965265462272801E-2</v>
      </c>
      <c r="BY217" s="178">
        <f t="shared" si="623"/>
        <v>-2.7165448615295518E-2</v>
      </c>
      <c r="BZ217" s="178">
        <f t="shared" si="623"/>
        <v>-1.3043829224943571E-2</v>
      </c>
      <c r="CA217" s="284">
        <f t="shared" si="623"/>
        <v>6.844651566863813E-3</v>
      </c>
      <c r="CB217" s="284">
        <f t="shared" si="623"/>
        <v>6.1815104371223062E-2</v>
      </c>
      <c r="CC217" s="284">
        <f t="shared" si="623"/>
        <v>-5.1013185415102746E-2</v>
      </c>
      <c r="CD217" s="284">
        <f t="shared" si="623"/>
        <v>5.3095627550194424E-2</v>
      </c>
      <c r="CE217" s="318">
        <f t="shared" si="623"/>
        <v>3.8150697175491355E-2</v>
      </c>
      <c r="CF217" s="318">
        <f t="shared" ref="CF217:CR217" si="624">AL217-Z217</f>
        <v>5.0577509190109504E-2</v>
      </c>
      <c r="CG217" s="318">
        <f t="shared" si="624"/>
        <v>3.2638779755947311E-2</v>
      </c>
      <c r="CH217" s="318">
        <f t="shared" si="624"/>
        <v>8.768106291517519E-2</v>
      </c>
      <c r="CI217" s="318">
        <f t="shared" si="624"/>
        <v>4.427847611847241E-2</v>
      </c>
      <c r="CJ217" s="318">
        <f t="shared" si="624"/>
        <v>6.4226396721408341E-2</v>
      </c>
      <c r="CK217" s="318">
        <f t="shared" si="624"/>
        <v>7.8688404028611214E-3</v>
      </c>
      <c r="CL217" s="318">
        <f t="shared" si="624"/>
        <v>6.83813845032199E-2</v>
      </c>
      <c r="CM217" s="318">
        <f t="shared" si="624"/>
        <v>3.9959682229380622E-2</v>
      </c>
      <c r="CN217" s="318">
        <f t="shared" si="624"/>
        <v>3.6934951172240549E-2</v>
      </c>
      <c r="CO217" s="318">
        <f t="shared" si="624"/>
        <v>-0.32311533576966217</v>
      </c>
      <c r="CP217" s="318">
        <f t="shared" si="624"/>
        <v>-0.59801158102067897</v>
      </c>
      <c r="CQ217" s="318">
        <f t="shared" si="624"/>
        <v>-0.29095008924310067</v>
      </c>
      <c r="CR217" s="318">
        <f t="shared" si="624"/>
        <v>2.3751600016392926E-2</v>
      </c>
      <c r="CS217" s="318"/>
      <c r="CT217" s="348"/>
      <c r="CU217" s="67"/>
    </row>
    <row r="218" spans="1:99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621"/>
        <v>0.41321322680487421</v>
      </c>
      <c r="AB218" s="246">
        <f t="shared" si="621"/>
        <v>0.36571647823673636</v>
      </c>
      <c r="AC218" s="246">
        <f t="shared" si="621"/>
        <v>0.37321196213782776</v>
      </c>
      <c r="AD218" s="246">
        <f t="shared" si="621"/>
        <v>0.39940799516366454</v>
      </c>
      <c r="AE218" s="246">
        <f t="shared" si="621"/>
        <v>0.4388562551789803</v>
      </c>
      <c r="AF218" s="246">
        <f t="shared" ref="AF218:AY218" si="625">(AE99+AE207+AF131-AF99-AF207)/(AE99+AE207+AF131-AF207)</f>
        <v>0.47558904975920779</v>
      </c>
      <c r="AG218" s="246">
        <f t="shared" si="625"/>
        <v>0.44933227130208703</v>
      </c>
      <c r="AH218" s="246">
        <f t="shared" si="625"/>
        <v>0.44911884543198999</v>
      </c>
      <c r="AI218" s="246">
        <f t="shared" si="625"/>
        <v>0.38624062614141247</v>
      </c>
      <c r="AJ218" s="246">
        <f t="shared" si="625"/>
        <v>0.44680520164292958</v>
      </c>
      <c r="AK218" s="246">
        <f t="shared" si="625"/>
        <v>0.45788764413677036</v>
      </c>
      <c r="AL218" s="246">
        <f t="shared" si="625"/>
        <v>0.46389881387224885</v>
      </c>
      <c r="AM218" s="246">
        <f t="shared" si="625"/>
        <v>0.49133920884582843</v>
      </c>
      <c r="AN218" s="246">
        <f t="shared" si="625"/>
        <v>0.44118559308696587</v>
      </c>
      <c r="AO218" s="246">
        <f t="shared" si="625"/>
        <v>0.43760023622701671</v>
      </c>
      <c r="AP218" s="246">
        <f t="shared" si="625"/>
        <v>0.44736195267197049</v>
      </c>
      <c r="AQ218" s="246">
        <f t="shared" si="625"/>
        <v>0.44054140733535385</v>
      </c>
      <c r="AR218" s="246">
        <f t="shared" si="625"/>
        <v>0.53681078009981387</v>
      </c>
      <c r="AS218" s="246">
        <f t="shared" si="625"/>
        <v>0.48799882776485387</v>
      </c>
      <c r="AT218" s="246">
        <f t="shared" si="625"/>
        <v>0.49797185781431852</v>
      </c>
      <c r="AU218" s="246">
        <f t="shared" si="625"/>
        <v>-5.5344057571934425E-2</v>
      </c>
      <c r="AV218" s="393">
        <f t="shared" si="625"/>
        <v>-0.14495442817712337</v>
      </c>
      <c r="AW218" s="393">
        <f t="shared" si="625"/>
        <v>0.17243278591729935</v>
      </c>
      <c r="AX218" s="393">
        <f t="shared" si="625"/>
        <v>0.16526042265151952</v>
      </c>
      <c r="AY218" s="393">
        <f t="shared" si="625"/>
        <v>0.54109387873865455</v>
      </c>
      <c r="AZ218" s="246"/>
      <c r="BA218" s="246"/>
      <c r="BB218" s="246"/>
      <c r="BC218" s="246"/>
      <c r="BD218" s="246"/>
      <c r="BE218" s="246"/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48"/>
      <c r="CU218" s="240"/>
    </row>
    <row r="219" spans="1:99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621"/>
        <v>0.44773014968917096</v>
      </c>
      <c r="AB219" s="246">
        <f t="shared" si="621"/>
        <v>0.32756941970839992</v>
      </c>
      <c r="AC219" s="246">
        <f t="shared" si="621"/>
        <v>0.34982608385957314</v>
      </c>
      <c r="AD219" s="246">
        <f t="shared" si="621"/>
        <v>0.35087174481598937</v>
      </c>
      <c r="AE219" s="246">
        <f t="shared" si="621"/>
        <v>0.41007586928406931</v>
      </c>
      <c r="AF219" s="246">
        <f t="shared" ref="AF219:AY219" si="626">(AE100+AE208+AF132-AF100-AF208)/(AE100+AE208+AF132-AF208)</f>
        <v>0.44479570613053337</v>
      </c>
      <c r="AG219" s="246">
        <f t="shared" si="626"/>
        <v>0.4481456456047605</v>
      </c>
      <c r="AH219" s="246">
        <f t="shared" si="626"/>
        <v>0.42137801911834472</v>
      </c>
      <c r="AI219" s="246">
        <f t="shared" si="626"/>
        <v>0.33191155888702428</v>
      </c>
      <c r="AJ219" s="246">
        <f t="shared" si="626"/>
        <v>0.40895123749103501</v>
      </c>
      <c r="AK219" s="246">
        <f t="shared" si="626"/>
        <v>0.39765489757207501</v>
      </c>
      <c r="AL219" s="246">
        <f t="shared" si="626"/>
        <v>0.41460543449031018</v>
      </c>
      <c r="AM219" s="246">
        <f t="shared" si="626"/>
        <v>0.44253598831281898</v>
      </c>
      <c r="AN219" s="246">
        <f t="shared" si="626"/>
        <v>0.4253295030326455</v>
      </c>
      <c r="AO219" s="246">
        <f t="shared" si="626"/>
        <v>0.37425360279229791</v>
      </c>
      <c r="AP219" s="246">
        <f t="shared" si="626"/>
        <v>0.42842522576062408</v>
      </c>
      <c r="AQ219" s="246">
        <f t="shared" si="626"/>
        <v>0.4222799545411568</v>
      </c>
      <c r="AR219" s="246">
        <f t="shared" si="626"/>
        <v>0.51839899996610928</v>
      </c>
      <c r="AS219" s="246">
        <f t="shared" si="626"/>
        <v>0.48920201472302788</v>
      </c>
      <c r="AT219" s="246">
        <f t="shared" si="626"/>
        <v>0.44510663814942186</v>
      </c>
      <c r="AU219" s="246">
        <f t="shared" si="626"/>
        <v>0.10096770775707324</v>
      </c>
      <c r="AV219" s="393">
        <f t="shared" si="626"/>
        <v>-0.19505032320436674</v>
      </c>
      <c r="AW219" s="393">
        <f t="shared" si="626"/>
        <v>9.8261267470248159E-2</v>
      </c>
      <c r="AX219" s="393">
        <f t="shared" si="626"/>
        <v>0.59464534388972845</v>
      </c>
      <c r="AY219" s="393">
        <f t="shared" si="626"/>
        <v>-0.74071454977137374</v>
      </c>
      <c r="AZ219" s="246"/>
      <c r="BA219" s="246"/>
      <c r="BB219" s="246"/>
      <c r="BC219" s="246"/>
      <c r="BD219" s="246"/>
      <c r="BE219" s="246"/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48"/>
      <c r="CU219" s="240"/>
    </row>
    <row r="220" spans="1:99" s="62" customFormat="1" x14ac:dyDescent="0.3">
      <c r="A220" s="150"/>
      <c r="B220" s="63" t="s">
        <v>38</v>
      </c>
      <c r="C220" s="115"/>
      <c r="D220" s="177">
        <f t="shared" ref="D220:AY220" si="627">(C101+C209+D133-D101-D209)/(C101+C209+D133-D209)</f>
        <v>0.16964694494341612</v>
      </c>
      <c r="E220" s="177">
        <f t="shared" si="627"/>
        <v>0.15796110330007282</v>
      </c>
      <c r="F220" s="177">
        <f t="shared" si="627"/>
        <v>0.14863344575139331</v>
      </c>
      <c r="G220" s="177">
        <f t="shared" si="627"/>
        <v>0.15234430332129478</v>
      </c>
      <c r="H220" s="178">
        <f t="shared" si="627"/>
        <v>0.15809233715907064</v>
      </c>
      <c r="I220" s="177">
        <f t="shared" si="627"/>
        <v>0.15612602165117517</v>
      </c>
      <c r="J220" s="178">
        <f t="shared" si="627"/>
        <v>0.16024806450659043</v>
      </c>
      <c r="K220" s="177">
        <f t="shared" si="627"/>
        <v>0.11720664528128168</v>
      </c>
      <c r="L220" s="179">
        <f t="shared" si="627"/>
        <v>0.13259983328284422</v>
      </c>
      <c r="M220" s="178">
        <f t="shared" si="627"/>
        <v>0.15336864960550226</v>
      </c>
      <c r="N220" s="178">
        <f t="shared" si="627"/>
        <v>0.13550663080192921</v>
      </c>
      <c r="O220" s="178">
        <f t="shared" si="627"/>
        <v>0.13798706347785211</v>
      </c>
      <c r="P220" s="178">
        <f t="shared" si="627"/>
        <v>6.6743845583029413E-2</v>
      </c>
      <c r="Q220" s="178">
        <f t="shared" si="627"/>
        <v>0.14649002688010945</v>
      </c>
      <c r="R220" s="178">
        <f t="shared" si="627"/>
        <v>0.13414503084739013</v>
      </c>
      <c r="S220" s="178">
        <f t="shared" si="627"/>
        <v>6.9719029863303403E-2</v>
      </c>
      <c r="T220" s="178">
        <f t="shared" si="627"/>
        <v>0.14542189940273351</v>
      </c>
      <c r="U220" s="178">
        <f t="shared" si="627"/>
        <v>0.14760441353409698</v>
      </c>
      <c r="V220" s="178">
        <f t="shared" si="627"/>
        <v>0.16097462372325697</v>
      </c>
      <c r="W220" s="178">
        <f t="shared" si="627"/>
        <v>5.4606202917977804E-2</v>
      </c>
      <c r="X220" s="179">
        <f t="shared" si="627"/>
        <v>7.3181428548666105E-2</v>
      </c>
      <c r="Y220" s="178">
        <f t="shared" si="627"/>
        <v>0.11988544995235161</v>
      </c>
      <c r="Z220" s="178">
        <v>6.6743472167424073E-2</v>
      </c>
      <c r="AA220" s="178">
        <f t="shared" si="627"/>
        <v>0.1122707310076218</v>
      </c>
      <c r="AB220" s="178">
        <f t="shared" si="627"/>
        <v>0.14187600142281931</v>
      </c>
      <c r="AC220" s="178">
        <f t="shared" si="627"/>
        <v>9.6407514976080286E-2</v>
      </c>
      <c r="AD220" s="178">
        <f t="shared" si="627"/>
        <v>0.10837138367992097</v>
      </c>
      <c r="AE220" s="178">
        <f t="shared" si="627"/>
        <v>9.5073808587442632E-2</v>
      </c>
      <c r="AF220" s="178">
        <f t="shared" si="627"/>
        <v>0.11779063355032048</v>
      </c>
      <c r="AG220" s="178">
        <f t="shared" si="627"/>
        <v>0.14421198230435026</v>
      </c>
      <c r="AH220" s="178">
        <f t="shared" si="627"/>
        <v>0.16847673528869886</v>
      </c>
      <c r="AI220" s="178">
        <f t="shared" si="627"/>
        <v>0.22296991069704664</v>
      </c>
      <c r="AJ220" s="178">
        <f t="shared" si="627"/>
        <v>-4.0729044421587951E-2</v>
      </c>
      <c r="AK220" s="178">
        <f t="shared" si="627"/>
        <v>0.14664566447667199</v>
      </c>
      <c r="AL220" s="178">
        <f t="shared" si="627"/>
        <v>0.13010566371903393</v>
      </c>
      <c r="AM220" s="178">
        <f t="shared" si="627"/>
        <v>0.11585227936029487</v>
      </c>
      <c r="AN220" s="178">
        <f t="shared" si="627"/>
        <v>3.9451423164717982E-2</v>
      </c>
      <c r="AO220" s="178">
        <f t="shared" si="627"/>
        <v>9.9150763679836704E-2</v>
      </c>
      <c r="AP220" s="178">
        <f t="shared" si="627"/>
        <v>0.14627984534447902</v>
      </c>
      <c r="AQ220" s="178">
        <f t="shared" si="627"/>
        <v>0.15524237490167189</v>
      </c>
      <c r="AR220" s="178">
        <f t="shared" si="627"/>
        <v>0.17793903677341874</v>
      </c>
      <c r="AS220" s="178">
        <f t="shared" si="627"/>
        <v>0.11710722144129529</v>
      </c>
      <c r="AT220" s="178">
        <f t="shared" si="627"/>
        <v>0.14203111091406409</v>
      </c>
      <c r="AU220" s="178">
        <f t="shared" si="627"/>
        <v>1.4991389098019928E-2</v>
      </c>
      <c r="AV220" s="284">
        <f t="shared" si="627"/>
        <v>3.788102191471316E-2</v>
      </c>
      <c r="AW220" s="284">
        <f t="shared" si="627"/>
        <v>-0.1550644285102499</v>
      </c>
      <c r="AX220" s="284">
        <f t="shared" si="627"/>
        <v>0.1506189789506979</v>
      </c>
      <c r="AY220" s="284">
        <f t="shared" si="627"/>
        <v>6.2092485698892839E-3</v>
      </c>
      <c r="AZ220" s="178"/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28">P220-D220</f>
        <v>-0.1029030993603867</v>
      </c>
      <c r="BK220" s="178">
        <f t="shared" si="628"/>
        <v>-1.1471076419963366E-2</v>
      </c>
      <c r="BL220" s="178">
        <f t="shared" si="628"/>
        <v>-1.4488414904003183E-2</v>
      </c>
      <c r="BM220" s="178">
        <f t="shared" si="628"/>
        <v>-8.262527345799138E-2</v>
      </c>
      <c r="BN220" s="178">
        <f t="shared" si="628"/>
        <v>-1.2670437756337138E-2</v>
      </c>
      <c r="BO220" s="178">
        <f t="shared" si="628"/>
        <v>-8.5216081170781943E-3</v>
      </c>
      <c r="BP220" s="178">
        <f t="shared" si="628"/>
        <v>7.2655921666653356E-4</v>
      </c>
      <c r="BQ220" s="178">
        <f t="shared" si="628"/>
        <v>-6.2600442363303865E-2</v>
      </c>
      <c r="BR220" s="178">
        <f t="shared" si="628"/>
        <v>-5.9418404734178115E-2</v>
      </c>
      <c r="BS220" s="178">
        <f t="shared" si="628"/>
        <v>-3.348319965315065E-2</v>
      </c>
      <c r="BT220" s="178">
        <f t="shared" si="628"/>
        <v>-6.8763158634505134E-2</v>
      </c>
      <c r="BU220" s="178">
        <f t="shared" si="628"/>
        <v>-2.5716332470230308E-2</v>
      </c>
      <c r="BV220" s="178">
        <f t="shared" si="628"/>
        <v>7.5132155839789896E-2</v>
      </c>
      <c r="BW220" s="178">
        <f t="shared" si="628"/>
        <v>-5.0082511904029167E-2</v>
      </c>
      <c r="BX220" s="178">
        <f t="shared" si="628"/>
        <v>-2.577364716746916E-2</v>
      </c>
      <c r="BY220" s="178">
        <f t="shared" si="628"/>
        <v>2.5354778724139229E-2</v>
      </c>
      <c r="BZ220" s="178">
        <f t="shared" si="628"/>
        <v>-2.7631265852413031E-2</v>
      </c>
      <c r="CA220" s="284">
        <f t="shared" si="628"/>
        <v>-3.392431229746723E-3</v>
      </c>
      <c r="CB220" s="284">
        <f t="shared" si="628"/>
        <v>7.5021115654418935E-3</v>
      </c>
      <c r="CC220" s="284">
        <f t="shared" si="628"/>
        <v>0.16836370777906884</v>
      </c>
      <c r="CD220" s="284">
        <f t="shared" si="628"/>
        <v>-0.11391047297025406</v>
      </c>
      <c r="CE220" s="318">
        <f t="shared" si="628"/>
        <v>2.6760214524320383E-2</v>
      </c>
      <c r="CF220" s="318">
        <f t="shared" ref="CF220:CR220" si="629">AL220-Z220</f>
        <v>6.3362191551609853E-2</v>
      </c>
      <c r="CG220" s="318">
        <f t="shared" si="629"/>
        <v>3.5815483526730613E-3</v>
      </c>
      <c r="CH220" s="318">
        <f t="shared" si="629"/>
        <v>-0.10242457825810133</v>
      </c>
      <c r="CI220" s="318">
        <f t="shared" si="629"/>
        <v>2.7432487037564179E-3</v>
      </c>
      <c r="CJ220" s="318">
        <f t="shared" si="629"/>
        <v>3.7908461664558052E-2</v>
      </c>
      <c r="CK220" s="318">
        <f t="shared" si="629"/>
        <v>6.016856631422926E-2</v>
      </c>
      <c r="CL220" s="318">
        <f t="shared" si="629"/>
        <v>6.0148403223098265E-2</v>
      </c>
      <c r="CM220" s="318">
        <f t="shared" si="629"/>
        <v>-2.7104760863054966E-2</v>
      </c>
      <c r="CN220" s="318">
        <f t="shared" si="629"/>
        <v>-2.6445624374634769E-2</v>
      </c>
      <c r="CO220" s="318">
        <f t="shared" si="629"/>
        <v>-0.20797852159902672</v>
      </c>
      <c r="CP220" s="318">
        <f t="shared" si="629"/>
        <v>7.8610066336301104E-2</v>
      </c>
      <c r="CQ220" s="318">
        <f t="shared" si="629"/>
        <v>-0.30171009298692186</v>
      </c>
      <c r="CR220" s="318">
        <f t="shared" si="629"/>
        <v>2.051331523166397E-2</v>
      </c>
      <c r="CS220" s="318"/>
      <c r="CT220" s="348"/>
      <c r="CU220" s="67"/>
    </row>
    <row r="221" spans="1:99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630">(Z102+Z210+AA134-AA102-AA210)/(Z102+Z210+AA134-AA210)</f>
        <v>0.11651009264025976</v>
      </c>
      <c r="AB221" s="246">
        <f t="shared" si="630"/>
        <v>0.14867898831041637</v>
      </c>
      <c r="AC221" s="246">
        <f t="shared" si="630"/>
        <v>0.10863140922805734</v>
      </c>
      <c r="AD221" s="246">
        <f t="shared" si="630"/>
        <v>0.11636924756074654</v>
      </c>
      <c r="AE221" s="246">
        <f t="shared" si="630"/>
        <v>0.11965780444383796</v>
      </c>
      <c r="AF221" s="246">
        <f t="shared" ref="AF221:AY221" si="631">(AE102+AE210+AF134-AF102-AF210)/(AE102+AE210+AF134-AF210)</f>
        <v>0.12898935495904335</v>
      </c>
      <c r="AG221" s="246">
        <f t="shared" si="631"/>
        <v>0.15409862863889121</v>
      </c>
      <c r="AH221" s="246">
        <f t="shared" si="631"/>
        <v>0.1793971274273706</v>
      </c>
      <c r="AI221" s="246">
        <f t="shared" si="631"/>
        <v>0.24360201110823332</v>
      </c>
      <c r="AJ221" s="246">
        <f t="shared" si="631"/>
        <v>1.7548191191069533E-2</v>
      </c>
      <c r="AK221" s="246">
        <f t="shared" si="631"/>
        <v>0.17606257177149137</v>
      </c>
      <c r="AL221" s="246">
        <f t="shared" si="631"/>
        <v>0.15207065982902868</v>
      </c>
      <c r="AM221" s="246">
        <f t="shared" si="631"/>
        <v>0.15143078371961399</v>
      </c>
      <c r="AN221" s="246">
        <f t="shared" si="631"/>
        <v>4.3951429084529418E-2</v>
      </c>
      <c r="AO221" s="246">
        <f t="shared" si="631"/>
        <v>0.11273331389623892</v>
      </c>
      <c r="AP221" s="246">
        <f t="shared" si="631"/>
        <v>0.14299898892500026</v>
      </c>
      <c r="AQ221" s="246">
        <f t="shared" si="631"/>
        <v>0.1516663247677642</v>
      </c>
      <c r="AR221" s="246">
        <f t="shared" si="631"/>
        <v>0.18989128636763833</v>
      </c>
      <c r="AS221" s="246">
        <f t="shared" si="631"/>
        <v>0.13389627543780103</v>
      </c>
      <c r="AT221" s="246">
        <f t="shared" si="631"/>
        <v>0.16302640640789165</v>
      </c>
      <c r="AU221" s="246">
        <f t="shared" si="631"/>
        <v>-4.9893874821648893E-3</v>
      </c>
      <c r="AV221" s="393">
        <f t="shared" si="631"/>
        <v>2.0143504491842455E-2</v>
      </c>
      <c r="AW221" s="393">
        <f t="shared" si="631"/>
        <v>-0.16320058594319789</v>
      </c>
      <c r="AX221" s="393">
        <f t="shared" si="631"/>
        <v>-6.1755475580887852E-3</v>
      </c>
      <c r="AY221" s="393">
        <f t="shared" si="631"/>
        <v>0.20033640057751628</v>
      </c>
      <c r="AZ221" s="246"/>
      <c r="BA221" s="246"/>
      <c r="BB221" s="246"/>
      <c r="BC221" s="246"/>
      <c r="BD221" s="246"/>
      <c r="BE221" s="246"/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48"/>
      <c r="CU221" s="240"/>
    </row>
    <row r="222" spans="1:99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630"/>
        <v>0.10951791801586093</v>
      </c>
      <c r="AB222" s="246">
        <f t="shared" si="630"/>
        <v>0.13731449106008195</v>
      </c>
      <c r="AC222" s="246">
        <f t="shared" si="630"/>
        <v>8.8037982339516971E-2</v>
      </c>
      <c r="AD222" s="246">
        <f t="shared" si="630"/>
        <v>0.10279799007698473</v>
      </c>
      <c r="AE222" s="246">
        <f t="shared" si="630"/>
        <v>7.7882178358478035E-2</v>
      </c>
      <c r="AF222" s="246">
        <f t="shared" ref="AF222:AY222" si="632">(AE103+AE211+AF135-AF103-AF211)/(AE103+AE211+AF135-AF211)</f>
        <v>0.11008385602077793</v>
      </c>
      <c r="AG222" s="246">
        <f t="shared" si="632"/>
        <v>0.13741696193516376</v>
      </c>
      <c r="AH222" s="246">
        <f t="shared" si="632"/>
        <v>0.16093360077397828</v>
      </c>
      <c r="AI222" s="246">
        <f t="shared" si="632"/>
        <v>0.20869562561346744</v>
      </c>
      <c r="AJ222" s="246">
        <f t="shared" si="632"/>
        <v>-8.0963013773055037E-2</v>
      </c>
      <c r="AK222" s="246">
        <f t="shared" si="632"/>
        <v>0.12715746248275722</v>
      </c>
      <c r="AL222" s="246">
        <f t="shared" si="632"/>
        <v>0.11559404805347033</v>
      </c>
      <c r="AM222" s="246">
        <f t="shared" si="632"/>
        <v>9.1837552286881771E-2</v>
      </c>
      <c r="AN222" s="246">
        <f t="shared" si="632"/>
        <v>3.6482106771147819E-2</v>
      </c>
      <c r="AO222" s="246">
        <f t="shared" si="632"/>
        <v>8.9799032163517659E-2</v>
      </c>
      <c r="AP222" s="246">
        <f t="shared" si="632"/>
        <v>0.14856352969786663</v>
      </c>
      <c r="AQ222" s="246">
        <f t="shared" si="632"/>
        <v>0.15781401570411449</v>
      </c>
      <c r="AR222" s="246">
        <f t="shared" si="632"/>
        <v>0.1689999527675721</v>
      </c>
      <c r="AS222" s="246">
        <f t="shared" si="632"/>
        <v>0.10443546006787438</v>
      </c>
      <c r="AT222" s="246">
        <f t="shared" si="632"/>
        <v>0.12617967796407425</v>
      </c>
      <c r="AU222" s="246">
        <f t="shared" si="632"/>
        <v>2.8926008114784126E-2</v>
      </c>
      <c r="AV222" s="393">
        <f t="shared" si="632"/>
        <v>5.0340381083956637E-2</v>
      </c>
      <c r="AW222" s="393">
        <f t="shared" si="632"/>
        <v>-0.14902815303272399</v>
      </c>
      <c r="AX222" s="393">
        <f t="shared" si="632"/>
        <v>0.24216996151364709</v>
      </c>
      <c r="AY222" s="393">
        <f t="shared" si="632"/>
        <v>-0.22265071034260875</v>
      </c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48"/>
      <c r="CU222" s="240"/>
    </row>
    <row r="223" spans="1:99" s="62" customFormat="1" x14ac:dyDescent="0.3">
      <c r="A223" s="150"/>
      <c r="B223" s="63" t="s">
        <v>39</v>
      </c>
      <c r="C223" s="115"/>
      <c r="D223" s="177">
        <f t="shared" ref="D223:AY223" si="633">(C104+C212+D136-D104-D212)/(C104+C212+D136-D212)</f>
        <v>0.78614974426539397</v>
      </c>
      <c r="E223" s="177">
        <f t="shared" si="633"/>
        <v>0.81423396240345225</v>
      </c>
      <c r="F223" s="177">
        <f t="shared" si="633"/>
        <v>0.79251563294324057</v>
      </c>
      <c r="G223" s="177">
        <f t="shared" si="633"/>
        <v>0.80402139759511881</v>
      </c>
      <c r="H223" s="178">
        <f t="shared" si="633"/>
        <v>0.80337875881114551</v>
      </c>
      <c r="I223" s="177">
        <f t="shared" si="633"/>
        <v>0.79606860911024213</v>
      </c>
      <c r="J223" s="178">
        <f t="shared" si="633"/>
        <v>0.7993062522406823</v>
      </c>
      <c r="K223" s="177">
        <f t="shared" si="633"/>
        <v>0.73402703735626973</v>
      </c>
      <c r="L223" s="179">
        <f t="shared" si="633"/>
        <v>0.75397767158147699</v>
      </c>
      <c r="M223" s="178">
        <f t="shared" si="633"/>
        <v>0.80981538346930215</v>
      </c>
      <c r="N223" s="178">
        <f t="shared" si="633"/>
        <v>0.77767454602502839</v>
      </c>
      <c r="O223" s="178">
        <f t="shared" si="633"/>
        <v>0.75491020110147367</v>
      </c>
      <c r="P223" s="178">
        <f t="shared" si="633"/>
        <v>0.63614389462160736</v>
      </c>
      <c r="Q223" s="178">
        <f t="shared" si="633"/>
        <v>0.67082235779258481</v>
      </c>
      <c r="R223" s="178">
        <f t="shared" si="633"/>
        <v>0.64671500178752495</v>
      </c>
      <c r="S223" s="178">
        <f t="shared" si="633"/>
        <v>0.66533755909971382</v>
      </c>
      <c r="T223" s="178">
        <f t="shared" si="633"/>
        <v>0.68314973967820447</v>
      </c>
      <c r="U223" s="178">
        <f t="shared" si="633"/>
        <v>0.69822824861777122</v>
      </c>
      <c r="V223" s="178">
        <f t="shared" si="633"/>
        <v>0.70223389315181994</v>
      </c>
      <c r="W223" s="178">
        <f t="shared" si="633"/>
        <v>0.67256491304103072</v>
      </c>
      <c r="X223" s="179">
        <f t="shared" si="633"/>
        <v>0.64684279406888101</v>
      </c>
      <c r="Y223" s="178">
        <f t="shared" si="633"/>
        <v>0.64723758392948882</v>
      </c>
      <c r="Z223" s="178">
        <v>0.65195824699315907</v>
      </c>
      <c r="AA223" s="178">
        <f t="shared" si="633"/>
        <v>0.72142970724079147</v>
      </c>
      <c r="AB223" s="178">
        <f t="shared" si="633"/>
        <v>0.66084515319945925</v>
      </c>
      <c r="AC223" s="178">
        <f t="shared" si="633"/>
        <v>0.65177768948838022</v>
      </c>
      <c r="AD223" s="178">
        <f t="shared" si="633"/>
        <v>0.65000051949030035</v>
      </c>
      <c r="AE223" s="178">
        <f t="shared" si="633"/>
        <v>0.69524152919642723</v>
      </c>
      <c r="AF223" s="178">
        <f t="shared" si="633"/>
        <v>0.67983522989415079</v>
      </c>
      <c r="AG223" s="178">
        <f t="shared" si="633"/>
        <v>0.66251228889013258</v>
      </c>
      <c r="AH223" s="178">
        <f t="shared" si="633"/>
        <v>0.6515586761686758</v>
      </c>
      <c r="AI223" s="178">
        <f t="shared" si="633"/>
        <v>0.6126628420772956</v>
      </c>
      <c r="AJ223" s="178">
        <f t="shared" si="633"/>
        <v>0.67110240579389957</v>
      </c>
      <c r="AK223" s="178">
        <f t="shared" si="633"/>
        <v>0.62961799730953505</v>
      </c>
      <c r="AL223" s="178">
        <f t="shared" si="633"/>
        <v>0.677334226429817</v>
      </c>
      <c r="AM223" s="178">
        <f t="shared" si="633"/>
        <v>0.70065960134755567</v>
      </c>
      <c r="AN223" s="178">
        <f t="shared" si="633"/>
        <v>0.66465951116795674</v>
      </c>
      <c r="AO223" s="178">
        <f t="shared" si="633"/>
        <v>0.6479730210022957</v>
      </c>
      <c r="AP223" s="178">
        <f t="shared" si="633"/>
        <v>0.65439485037175171</v>
      </c>
      <c r="AQ223" s="178">
        <f t="shared" si="633"/>
        <v>0.66101620536372696</v>
      </c>
      <c r="AR223" s="178">
        <f t="shared" si="633"/>
        <v>0.71589192100262178</v>
      </c>
      <c r="AS223" s="178">
        <f t="shared" si="633"/>
        <v>0.69201017257878539</v>
      </c>
      <c r="AT223" s="178">
        <f t="shared" si="633"/>
        <v>0.69168940415402447</v>
      </c>
      <c r="AU223" s="178">
        <f t="shared" si="633"/>
        <v>0.11749961896750409</v>
      </c>
      <c r="AV223" s="284">
        <f t="shared" si="633"/>
        <v>-4.2833795135462822E-2</v>
      </c>
      <c r="AW223" s="284">
        <f t="shared" si="633"/>
        <v>0.29390253010260792</v>
      </c>
      <c r="AX223" s="284">
        <f t="shared" si="633"/>
        <v>0.69280273689308303</v>
      </c>
      <c r="AY223" s="284">
        <f t="shared" si="633"/>
        <v>0.56941292864112769</v>
      </c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34">P223-D223</f>
        <v>-0.1500058496437866</v>
      </c>
      <c r="BK223" s="178">
        <f t="shared" si="634"/>
        <v>-0.14341160461086744</v>
      </c>
      <c r="BL223" s="178">
        <f t="shared" si="634"/>
        <v>-0.14580063115571562</v>
      </c>
      <c r="BM223" s="178">
        <f t="shared" si="634"/>
        <v>-0.138683838495405</v>
      </c>
      <c r="BN223" s="178">
        <f t="shared" si="634"/>
        <v>-0.12022901913294104</v>
      </c>
      <c r="BO223" s="178">
        <f t="shared" si="634"/>
        <v>-9.7840360492470912E-2</v>
      </c>
      <c r="BP223" s="178">
        <f t="shared" si="634"/>
        <v>-9.7072359088862359E-2</v>
      </c>
      <c r="BQ223" s="178">
        <f t="shared" si="634"/>
        <v>-6.1462124315239008E-2</v>
      </c>
      <c r="BR223" s="178">
        <f t="shared" si="634"/>
        <v>-0.10713487751259598</v>
      </c>
      <c r="BS223" s="178">
        <f t="shared" si="634"/>
        <v>-0.16257779953981333</v>
      </c>
      <c r="BT223" s="178">
        <f t="shared" ref="BT223:CE226" si="635">Z223-N223</f>
        <v>-0.12571629903186932</v>
      </c>
      <c r="BU223" s="178">
        <f t="shared" si="635"/>
        <v>-3.3480493860682192E-2</v>
      </c>
      <c r="BV223" s="178">
        <f t="shared" si="635"/>
        <v>2.4701258577851881E-2</v>
      </c>
      <c r="BW223" s="178">
        <f t="shared" si="635"/>
        <v>-1.9044668304204593E-2</v>
      </c>
      <c r="BX223" s="178">
        <f t="shared" si="635"/>
        <v>3.285517702775409E-3</v>
      </c>
      <c r="BY223" s="178">
        <f t="shared" si="635"/>
        <v>2.9903970096713417E-2</v>
      </c>
      <c r="BZ223" s="178">
        <f t="shared" si="635"/>
        <v>-3.3145097840536764E-3</v>
      </c>
      <c r="CA223" s="284">
        <f t="shared" si="635"/>
        <v>-3.5715959727638635E-2</v>
      </c>
      <c r="CB223" s="284">
        <f t="shared" si="635"/>
        <v>-5.0675216983144145E-2</v>
      </c>
      <c r="CC223" s="284">
        <f t="shared" si="635"/>
        <v>-5.9902070963735121E-2</v>
      </c>
      <c r="CD223" s="284">
        <f t="shared" si="635"/>
        <v>2.4259611725018559E-2</v>
      </c>
      <c r="CE223" s="318">
        <f t="shared" si="635"/>
        <v>-1.7619586619953775E-2</v>
      </c>
      <c r="CF223" s="318">
        <f t="shared" ref="CF223:CR226" si="636">AL223-Z223</f>
        <v>2.5375979436657925E-2</v>
      </c>
      <c r="CG223" s="318">
        <f t="shared" si="636"/>
        <v>-2.0770105893235802E-2</v>
      </c>
      <c r="CH223" s="318">
        <f t="shared" si="636"/>
        <v>3.8143579684974949E-3</v>
      </c>
      <c r="CI223" s="318">
        <f t="shared" si="636"/>
        <v>-3.804668486084517E-3</v>
      </c>
      <c r="CJ223" s="318">
        <f t="shared" si="636"/>
        <v>4.3943308814513582E-3</v>
      </c>
      <c r="CK223" s="318">
        <f t="shared" si="636"/>
        <v>-3.4225323832700272E-2</v>
      </c>
      <c r="CL223" s="318">
        <f t="shared" si="636"/>
        <v>3.6056691108470984E-2</v>
      </c>
      <c r="CM223" s="318">
        <f t="shared" si="636"/>
        <v>2.9497883688652804E-2</v>
      </c>
      <c r="CN223" s="318">
        <f t="shared" si="636"/>
        <v>4.0130727985348669E-2</v>
      </c>
      <c r="CO223" s="318">
        <f t="shared" si="636"/>
        <v>-0.49516322310979149</v>
      </c>
      <c r="CP223" s="318">
        <f t="shared" si="636"/>
        <v>-0.71393620092936239</v>
      </c>
      <c r="CQ223" s="318">
        <f t="shared" si="636"/>
        <v>-0.33571546720692713</v>
      </c>
      <c r="CR223" s="318">
        <f t="shared" si="636"/>
        <v>1.5468510463266028E-2</v>
      </c>
      <c r="CS223" s="318"/>
      <c r="CT223" s="348"/>
      <c r="CU223" s="67"/>
    </row>
    <row r="224" spans="1:99" s="62" customFormat="1" x14ac:dyDescent="0.3">
      <c r="A224" s="150"/>
      <c r="B224" s="63" t="s">
        <v>40</v>
      </c>
      <c r="C224" s="115"/>
      <c r="D224" s="177">
        <f t="shared" ref="D224:AY224" si="637">(C105+C213+D137-D105-D213)/(C105+C213+D137-D213)</f>
        <v>0.83133147084208825</v>
      </c>
      <c r="E224" s="177">
        <f t="shared" si="637"/>
        <v>0.85655724191658988</v>
      </c>
      <c r="F224" s="177">
        <f t="shared" si="637"/>
        <v>0.8293378896821002</v>
      </c>
      <c r="G224" s="177">
        <f t="shared" si="637"/>
        <v>0.84054330431992463</v>
      </c>
      <c r="H224" s="178">
        <f t="shared" si="637"/>
        <v>0.83766601294117959</v>
      </c>
      <c r="I224" s="177">
        <f t="shared" si="637"/>
        <v>0.83624075064831471</v>
      </c>
      <c r="J224" s="178">
        <f t="shared" si="637"/>
        <v>0.82951589456217611</v>
      </c>
      <c r="K224" s="177">
        <f t="shared" si="637"/>
        <v>0.79381404379861731</v>
      </c>
      <c r="L224" s="179">
        <f t="shared" si="637"/>
        <v>0.78724035925305125</v>
      </c>
      <c r="M224" s="178">
        <f t="shared" si="637"/>
        <v>0.85206280582654104</v>
      </c>
      <c r="N224" s="178">
        <f t="shared" si="637"/>
        <v>0.82373606058347715</v>
      </c>
      <c r="O224" s="178">
        <f t="shared" si="637"/>
        <v>0.81061422215078127</v>
      </c>
      <c r="P224" s="178">
        <f t="shared" si="637"/>
        <v>0.68454730355128102</v>
      </c>
      <c r="Q224" s="178">
        <f t="shared" si="637"/>
        <v>0.73118418079300751</v>
      </c>
      <c r="R224" s="178">
        <f t="shared" si="637"/>
        <v>0.70364209074641615</v>
      </c>
      <c r="S224" s="178">
        <f t="shared" si="637"/>
        <v>0.7886438588463841</v>
      </c>
      <c r="T224" s="178">
        <f t="shared" si="637"/>
        <v>0.8051190335196956</v>
      </c>
      <c r="U224" s="178">
        <f t="shared" si="637"/>
        <v>0.79153096950841573</v>
      </c>
      <c r="V224" s="178">
        <f t="shared" si="637"/>
        <v>0.77930301432142635</v>
      </c>
      <c r="W224" s="178">
        <f t="shared" si="637"/>
        <v>0.78357989119887894</v>
      </c>
      <c r="X224" s="179">
        <f t="shared" si="637"/>
        <v>0.73980902855435182</v>
      </c>
      <c r="Y224" s="178">
        <f t="shared" si="637"/>
        <v>0.71789452422410316</v>
      </c>
      <c r="Z224" s="178">
        <v>0.7213473987734943</v>
      </c>
      <c r="AA224" s="178">
        <f t="shared" si="637"/>
        <v>0.78265915647456419</v>
      </c>
      <c r="AB224" s="178">
        <f t="shared" si="637"/>
        <v>0.76440752983629678</v>
      </c>
      <c r="AC224" s="178">
        <f t="shared" si="637"/>
        <v>0.7483963037528425</v>
      </c>
      <c r="AD224" s="178">
        <f t="shared" si="637"/>
        <v>0.73787126142983783</v>
      </c>
      <c r="AE224" s="178">
        <f t="shared" si="637"/>
        <v>0.73073230431538605</v>
      </c>
      <c r="AF224" s="178">
        <f t="shared" si="637"/>
        <v>0.77183690585217168</v>
      </c>
      <c r="AG224" s="178">
        <f t="shared" si="637"/>
        <v>0.73901557574572774</v>
      </c>
      <c r="AH224" s="178">
        <f t="shared" si="637"/>
        <v>0.6865296926047243</v>
      </c>
      <c r="AI224" s="178">
        <f t="shared" si="637"/>
        <v>0.67343614138429175</v>
      </c>
      <c r="AJ224" s="178">
        <f t="shared" si="637"/>
        <v>0.69895864643561834</v>
      </c>
      <c r="AK224" s="178">
        <f t="shared" si="637"/>
        <v>0.66462349671252841</v>
      </c>
      <c r="AL224" s="178">
        <f t="shared" si="637"/>
        <v>0.72665709627354225</v>
      </c>
      <c r="AM224" s="178">
        <f t="shared" si="637"/>
        <v>0.76020995128511359</v>
      </c>
      <c r="AN224" s="178">
        <f t="shared" si="637"/>
        <v>0.75551218588747782</v>
      </c>
      <c r="AO224" s="178">
        <f t="shared" si="637"/>
        <v>0.72593856347887853</v>
      </c>
      <c r="AP224" s="178">
        <f t="shared" si="637"/>
        <v>0.72933915619622181</v>
      </c>
      <c r="AQ224" s="178">
        <f t="shared" si="637"/>
        <v>0.71928958811021848</v>
      </c>
      <c r="AR224" s="178">
        <f t="shared" si="637"/>
        <v>0.76159468706617761</v>
      </c>
      <c r="AS224" s="178">
        <f t="shared" si="637"/>
        <v>0.75315466713728085</v>
      </c>
      <c r="AT224" s="178">
        <f t="shared" si="637"/>
        <v>0.73567189938319755</v>
      </c>
      <c r="AU224" s="178">
        <f t="shared" si="637"/>
        <v>0.27562148040925605</v>
      </c>
      <c r="AV224" s="284">
        <f t="shared" si="637"/>
        <v>0.26443606748101678</v>
      </c>
      <c r="AW224" s="284">
        <f t="shared" si="637"/>
        <v>0.30317895962209246</v>
      </c>
      <c r="AX224" s="284">
        <f t="shared" si="637"/>
        <v>0.30770768019937311</v>
      </c>
      <c r="AY224" s="284">
        <f t="shared" si="637"/>
        <v>0.77355888302933118</v>
      </c>
      <c r="AZ224" s="178"/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34"/>
        <v>-0.14678416729080723</v>
      </c>
      <c r="BK224" s="178">
        <f t="shared" si="634"/>
        <v>-0.12537306112358237</v>
      </c>
      <c r="BL224" s="178">
        <f t="shared" si="634"/>
        <v>-0.12569579893568406</v>
      </c>
      <c r="BM224" s="178">
        <f t="shared" si="634"/>
        <v>-5.1899445473540529E-2</v>
      </c>
      <c r="BN224" s="178">
        <f t="shared" si="634"/>
        <v>-3.254697942148399E-2</v>
      </c>
      <c r="BO224" s="178">
        <f t="shared" si="634"/>
        <v>-4.4709781139898985E-2</v>
      </c>
      <c r="BP224" s="178">
        <f t="shared" si="634"/>
        <v>-5.0212880240749769E-2</v>
      </c>
      <c r="BQ224" s="178">
        <f t="shared" si="634"/>
        <v>-1.0234152599738366E-2</v>
      </c>
      <c r="BR224" s="178">
        <f t="shared" si="634"/>
        <v>-4.7431330698699425E-2</v>
      </c>
      <c r="BS224" s="178">
        <f t="shared" si="634"/>
        <v>-0.13416828160243788</v>
      </c>
      <c r="BT224" s="178">
        <f t="shared" si="635"/>
        <v>-0.10238866180998285</v>
      </c>
      <c r="BU224" s="178">
        <f t="shared" si="635"/>
        <v>-2.7955065676217083E-2</v>
      </c>
      <c r="BV224" s="178">
        <f t="shared" si="635"/>
        <v>7.9860226285015767E-2</v>
      </c>
      <c r="BW224" s="178">
        <f t="shared" si="635"/>
        <v>1.7212122959834986E-2</v>
      </c>
      <c r="BX224" s="178">
        <f t="shared" si="635"/>
        <v>3.4229170683421684E-2</v>
      </c>
      <c r="BY224" s="178">
        <f t="shared" si="635"/>
        <v>-5.7911554530998055E-2</v>
      </c>
      <c r="BZ224" s="178">
        <f t="shared" si="635"/>
        <v>-3.328212766752392E-2</v>
      </c>
      <c r="CA224" s="284">
        <f t="shared" si="635"/>
        <v>-5.251539376268799E-2</v>
      </c>
      <c r="CB224" s="284">
        <f t="shared" si="635"/>
        <v>-9.2773321716702051E-2</v>
      </c>
      <c r="CC224" s="284">
        <f t="shared" si="635"/>
        <v>-0.11014374981458719</v>
      </c>
      <c r="CD224" s="284">
        <f t="shared" si="635"/>
        <v>-4.0850382118733486E-2</v>
      </c>
      <c r="CE224" s="318">
        <f t="shared" si="635"/>
        <v>-5.3271027511574753E-2</v>
      </c>
      <c r="CF224" s="318">
        <f t="shared" si="636"/>
        <v>5.3096975000479496E-3</v>
      </c>
      <c r="CG224" s="318">
        <f t="shared" si="636"/>
        <v>-2.2449205189450594E-2</v>
      </c>
      <c r="CH224" s="318">
        <f t="shared" si="636"/>
        <v>-8.8953439488189678E-3</v>
      </c>
      <c r="CI224" s="318">
        <f t="shared" si="636"/>
        <v>-2.2457740273963966E-2</v>
      </c>
      <c r="CJ224" s="318">
        <f t="shared" si="636"/>
        <v>-8.5321052336160275E-3</v>
      </c>
      <c r="CK224" s="318">
        <f t="shared" si="636"/>
        <v>-1.1442716205167569E-2</v>
      </c>
      <c r="CL224" s="318">
        <f t="shared" si="636"/>
        <v>-1.0242218785994073E-2</v>
      </c>
      <c r="CM224" s="318">
        <f t="shared" si="636"/>
        <v>1.4139091391553116E-2</v>
      </c>
      <c r="CN224" s="318">
        <f t="shared" si="636"/>
        <v>4.9142206778473252E-2</v>
      </c>
      <c r="CO224" s="318">
        <f t="shared" si="636"/>
        <v>-0.39781466097503571</v>
      </c>
      <c r="CP224" s="318">
        <f t="shared" si="636"/>
        <v>-0.43452257895460156</v>
      </c>
      <c r="CQ224" s="318">
        <f t="shared" si="636"/>
        <v>-0.36144453709043595</v>
      </c>
      <c r="CR224" s="318">
        <f t="shared" si="636"/>
        <v>-0.41894941607416913</v>
      </c>
      <c r="CS224" s="318"/>
      <c r="CT224" s="348"/>
      <c r="CU224" s="67"/>
    </row>
    <row r="225" spans="1:99" s="62" customFormat="1" x14ac:dyDescent="0.3">
      <c r="A225" s="150"/>
      <c r="B225" s="63" t="s">
        <v>41</v>
      </c>
      <c r="C225" s="115"/>
      <c r="D225" s="177">
        <f t="shared" ref="D225:AY225" si="638">(C106+C214+D138-D106-D214)/(C106+C214+D138-D214)</f>
        <v>0.85288789492434613</v>
      </c>
      <c r="E225" s="177">
        <f t="shared" si="638"/>
        <v>0.85922293142760109</v>
      </c>
      <c r="F225" s="177">
        <f t="shared" si="638"/>
        <v>0.83651896881154297</v>
      </c>
      <c r="G225" s="177">
        <f t="shared" si="638"/>
        <v>0.86192073187901386</v>
      </c>
      <c r="H225" s="178">
        <f t="shared" si="638"/>
        <v>0.84850253094815031</v>
      </c>
      <c r="I225" s="177">
        <f t="shared" si="638"/>
        <v>0.84358349188611859</v>
      </c>
      <c r="J225" s="178">
        <f t="shared" si="638"/>
        <v>0.87859965378669802</v>
      </c>
      <c r="K225" s="177">
        <f t="shared" si="638"/>
        <v>0.79942619476121513</v>
      </c>
      <c r="L225" s="179">
        <f t="shared" si="638"/>
        <v>0.83943597367875455</v>
      </c>
      <c r="M225" s="178">
        <f t="shared" si="638"/>
        <v>0.83939085313547823</v>
      </c>
      <c r="N225" s="178">
        <f t="shared" si="638"/>
        <v>0.80393213639382288</v>
      </c>
      <c r="O225" s="178">
        <f t="shared" si="638"/>
        <v>0.79749715048140346</v>
      </c>
      <c r="P225" s="178">
        <f t="shared" si="638"/>
        <v>0.75242218762138413</v>
      </c>
      <c r="Q225" s="178">
        <f t="shared" si="638"/>
        <v>0.72758485943767259</v>
      </c>
      <c r="R225" s="178">
        <f t="shared" si="638"/>
        <v>0.73802474539627738</v>
      </c>
      <c r="S225" s="178">
        <f t="shared" si="638"/>
        <v>0.75601795555316198</v>
      </c>
      <c r="T225" s="178">
        <f t="shared" si="638"/>
        <v>0.76777521555268369</v>
      </c>
      <c r="U225" s="178">
        <f t="shared" si="638"/>
        <v>0.79873440134244467</v>
      </c>
      <c r="V225" s="178">
        <f t="shared" si="638"/>
        <v>0.80825098944842</v>
      </c>
      <c r="W225" s="178">
        <f t="shared" si="638"/>
        <v>0.76742116889620038</v>
      </c>
      <c r="X225" s="179">
        <f t="shared" si="638"/>
        <v>0.7779523405480353</v>
      </c>
      <c r="Y225" s="178">
        <f t="shared" si="638"/>
        <v>0.72415308379264931</v>
      </c>
      <c r="Z225" s="178">
        <v>0.76293443558901897</v>
      </c>
      <c r="AA225" s="178">
        <f t="shared" si="638"/>
        <v>0.83739959831138855</v>
      </c>
      <c r="AB225" s="178">
        <f t="shared" si="638"/>
        <v>0.77302193279690257</v>
      </c>
      <c r="AC225" s="178">
        <f t="shared" si="638"/>
        <v>0.79309002596056632</v>
      </c>
      <c r="AD225" s="178">
        <f t="shared" si="638"/>
        <v>0.77976946215799048</v>
      </c>
      <c r="AE225" s="178">
        <f t="shared" si="638"/>
        <v>0.76120066852517732</v>
      </c>
      <c r="AF225" s="178">
        <f t="shared" si="638"/>
        <v>0.81035232023112214</v>
      </c>
      <c r="AG225" s="178">
        <f t="shared" si="638"/>
        <v>0.79645528668249455</v>
      </c>
      <c r="AH225" s="178">
        <f t="shared" si="638"/>
        <v>0.68601800210107111</v>
      </c>
      <c r="AI225" s="178">
        <f t="shared" si="638"/>
        <v>0.69705089964909595</v>
      </c>
      <c r="AJ225" s="178">
        <f t="shared" si="638"/>
        <v>0.74785612338243457</v>
      </c>
      <c r="AK225" s="178">
        <f t="shared" si="638"/>
        <v>0.64567927941003078</v>
      </c>
      <c r="AL225" s="178">
        <f t="shared" si="638"/>
        <v>0.7256840485280619</v>
      </c>
      <c r="AM225" s="178">
        <f t="shared" si="638"/>
        <v>0.7515123658883005</v>
      </c>
      <c r="AN225" s="178">
        <f t="shared" si="638"/>
        <v>0.74438165392335853</v>
      </c>
      <c r="AO225" s="178">
        <f t="shared" si="638"/>
        <v>0.73253588401116398</v>
      </c>
      <c r="AP225" s="178">
        <f t="shared" si="638"/>
        <v>0.74920705014917588</v>
      </c>
      <c r="AQ225" s="178">
        <f t="shared" si="638"/>
        <v>0.70879693188262483</v>
      </c>
      <c r="AR225" s="178">
        <f t="shared" si="638"/>
        <v>0.77659368963560549</v>
      </c>
      <c r="AS225" s="178">
        <f t="shared" si="638"/>
        <v>0.75395690911734004</v>
      </c>
      <c r="AT225" s="178">
        <f t="shared" si="638"/>
        <v>0.75136991446620993</v>
      </c>
      <c r="AU225" s="178">
        <f t="shared" si="638"/>
        <v>0.1726208625679333</v>
      </c>
      <c r="AV225" s="284">
        <f t="shared" si="638"/>
        <v>9.5655249958940286E-2</v>
      </c>
      <c r="AW225" s="284">
        <f t="shared" si="638"/>
        <v>0.29197876118428429</v>
      </c>
      <c r="AX225" s="284">
        <f t="shared" si="638"/>
        <v>0.23776995049907343</v>
      </c>
      <c r="AY225" s="284">
        <f t="shared" si="638"/>
        <v>0.73494483429034063</v>
      </c>
      <c r="AZ225" s="178"/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34"/>
        <v>-0.100465707302962</v>
      </c>
      <c r="BK225" s="178">
        <f t="shared" si="634"/>
        <v>-0.1316380719899285</v>
      </c>
      <c r="BL225" s="178">
        <f t="shared" si="634"/>
        <v>-9.8494223415265592E-2</v>
      </c>
      <c r="BM225" s="178">
        <f t="shared" si="634"/>
        <v>-0.10590277632585188</v>
      </c>
      <c r="BN225" s="178">
        <f t="shared" si="634"/>
        <v>-8.0727315395466626E-2</v>
      </c>
      <c r="BO225" s="178">
        <f t="shared" si="634"/>
        <v>-4.484909054367392E-2</v>
      </c>
      <c r="BP225" s="178">
        <f t="shared" si="634"/>
        <v>-7.0348664338278022E-2</v>
      </c>
      <c r="BQ225" s="178">
        <f t="shared" si="634"/>
        <v>-3.2005025865014747E-2</v>
      </c>
      <c r="BR225" s="178">
        <f t="shared" si="634"/>
        <v>-6.1483633130719251E-2</v>
      </c>
      <c r="BS225" s="178">
        <f t="shared" si="634"/>
        <v>-0.11523776934282892</v>
      </c>
      <c r="BT225" s="178">
        <f t="shared" si="635"/>
        <v>-4.0997700804803916E-2</v>
      </c>
      <c r="BU225" s="178">
        <f t="shared" si="635"/>
        <v>3.9902447829985088E-2</v>
      </c>
      <c r="BV225" s="178">
        <f t="shared" si="635"/>
        <v>2.0599745175518436E-2</v>
      </c>
      <c r="BW225" s="178">
        <f t="shared" si="635"/>
        <v>6.5505166522893732E-2</v>
      </c>
      <c r="BX225" s="178">
        <f t="shared" si="635"/>
        <v>4.1744716761713097E-2</v>
      </c>
      <c r="BY225" s="178">
        <f t="shared" si="635"/>
        <v>5.1827129720153353E-3</v>
      </c>
      <c r="BZ225" s="178">
        <f t="shared" si="635"/>
        <v>4.2577104678438449E-2</v>
      </c>
      <c r="CA225" s="284">
        <f t="shared" si="635"/>
        <v>-2.2791146599501211E-3</v>
      </c>
      <c r="CB225" s="284">
        <f t="shared" si="635"/>
        <v>-0.12223298734734889</v>
      </c>
      <c r="CC225" s="284">
        <f t="shared" si="635"/>
        <v>-7.0370269247104433E-2</v>
      </c>
      <c r="CD225" s="284">
        <f t="shared" si="635"/>
        <v>-3.0096217165600736E-2</v>
      </c>
      <c r="CE225" s="318">
        <f t="shared" si="635"/>
        <v>-7.8473804382618528E-2</v>
      </c>
      <c r="CF225" s="318">
        <f t="shared" si="636"/>
        <v>-3.7250387060957069E-2</v>
      </c>
      <c r="CG225" s="318">
        <f t="shared" si="636"/>
        <v>-8.5887232423088045E-2</v>
      </c>
      <c r="CH225" s="318">
        <f t="shared" si="636"/>
        <v>-2.8640278873544034E-2</v>
      </c>
      <c r="CI225" s="318">
        <f t="shared" si="636"/>
        <v>-6.055414194940234E-2</v>
      </c>
      <c r="CJ225" s="318">
        <f t="shared" si="636"/>
        <v>-3.0562412008814599E-2</v>
      </c>
      <c r="CK225" s="318">
        <f t="shared" si="636"/>
        <v>-5.240373664255249E-2</v>
      </c>
      <c r="CL225" s="318">
        <f t="shared" si="636"/>
        <v>-3.3758630595516648E-2</v>
      </c>
      <c r="CM225" s="318">
        <f t="shared" si="636"/>
        <v>-4.249837756515451E-2</v>
      </c>
      <c r="CN225" s="318">
        <f t="shared" si="636"/>
        <v>6.535191236513882E-2</v>
      </c>
      <c r="CO225" s="318">
        <f t="shared" si="636"/>
        <v>-0.52443003708116265</v>
      </c>
      <c r="CP225" s="318">
        <f t="shared" si="636"/>
        <v>-0.65220087342349431</v>
      </c>
      <c r="CQ225" s="318">
        <f t="shared" si="636"/>
        <v>-0.3537005182257465</v>
      </c>
      <c r="CR225" s="318">
        <f t="shared" si="636"/>
        <v>-0.48791409802898844</v>
      </c>
      <c r="CS225" s="318"/>
      <c r="CT225" s="348"/>
      <c r="CU225" s="67"/>
    </row>
    <row r="226" spans="1:99" s="76" customFormat="1" ht="15" thickBot="1" x14ac:dyDescent="0.35">
      <c r="A226" s="151"/>
      <c r="B226" s="116" t="s">
        <v>42</v>
      </c>
      <c r="C226" s="117"/>
      <c r="D226" s="180">
        <f t="shared" ref="D226:AY226" si="639">(C107+C215+D139-D107-D215)/(C107+C215+D139-D215)</f>
        <v>0.56443258813095887</v>
      </c>
      <c r="E226" s="180">
        <f t="shared" si="639"/>
        <v>0.56075971135964442</v>
      </c>
      <c r="F226" s="180">
        <f t="shared" si="639"/>
        <v>0.52863750219125083</v>
      </c>
      <c r="G226" s="180">
        <f t="shared" si="639"/>
        <v>0.57079279322973575</v>
      </c>
      <c r="H226" s="181">
        <f t="shared" si="639"/>
        <v>0.57877199787810185</v>
      </c>
      <c r="I226" s="180">
        <f t="shared" si="639"/>
        <v>0.56714890916693483</v>
      </c>
      <c r="J226" s="181">
        <f t="shared" si="639"/>
        <v>0.564204810050837</v>
      </c>
      <c r="K226" s="180">
        <f t="shared" si="639"/>
        <v>0.47795421049473225</v>
      </c>
      <c r="L226" s="182">
        <f t="shared" si="639"/>
        <v>0.51830681983226834</v>
      </c>
      <c r="M226" s="181">
        <f t="shared" si="639"/>
        <v>0.57332491548616915</v>
      </c>
      <c r="N226" s="181">
        <f t="shared" si="639"/>
        <v>0.52510581954441682</v>
      </c>
      <c r="O226" s="181">
        <f t="shared" si="639"/>
        <v>0.51572608828317668</v>
      </c>
      <c r="P226" s="181">
        <f t="shared" si="639"/>
        <v>0.46080392031655765</v>
      </c>
      <c r="Q226" s="181">
        <f t="shared" si="639"/>
        <v>0.46170336691635477</v>
      </c>
      <c r="R226" s="181">
        <f t="shared" si="639"/>
        <v>0.44958425417388936</v>
      </c>
      <c r="S226" s="181">
        <f t="shared" si="639"/>
        <v>0.47800592087811128</v>
      </c>
      <c r="T226" s="181">
        <f t="shared" si="639"/>
        <v>0.50715685503899854</v>
      </c>
      <c r="U226" s="181">
        <f t="shared" si="639"/>
        <v>0.49297572624286534</v>
      </c>
      <c r="V226" s="181">
        <f t="shared" si="639"/>
        <v>0.45862160589220602</v>
      </c>
      <c r="W226" s="181">
        <f t="shared" si="639"/>
        <v>0.45393147854248123</v>
      </c>
      <c r="X226" s="182">
        <f t="shared" si="639"/>
        <v>0.42327210993671677</v>
      </c>
      <c r="Y226" s="181">
        <f t="shared" si="639"/>
        <v>0.42411907420934808</v>
      </c>
      <c r="Z226" s="181">
        <v>0.42612980699444042</v>
      </c>
      <c r="AA226" s="181">
        <f t="shared" si="639"/>
        <v>0.48474577461105889</v>
      </c>
      <c r="AB226" s="181">
        <f t="shared" si="639"/>
        <v>0.41334396934654272</v>
      </c>
      <c r="AC226" s="181">
        <f t="shared" si="639"/>
        <v>0.41438664813953491</v>
      </c>
      <c r="AD226" s="181">
        <f t="shared" si="639"/>
        <v>0.42225259068049642</v>
      </c>
      <c r="AE226" s="181">
        <f t="shared" si="639"/>
        <v>0.45167241573324829</v>
      </c>
      <c r="AF226" s="181">
        <f t="shared" si="639"/>
        <v>0.48548575907020375</v>
      </c>
      <c r="AG226" s="181">
        <f t="shared" si="639"/>
        <v>0.47546452050259513</v>
      </c>
      <c r="AH226" s="181">
        <f t="shared" si="639"/>
        <v>0.45654836867499049</v>
      </c>
      <c r="AI226" s="181">
        <f t="shared" si="639"/>
        <v>0.4296591953702843</v>
      </c>
      <c r="AJ226" s="181">
        <f t="shared" si="639"/>
        <v>0.4467552376280885</v>
      </c>
      <c r="AK226" s="181">
        <f t="shared" si="639"/>
        <v>0.44622057579211449</v>
      </c>
      <c r="AL226" s="181">
        <f t="shared" si="639"/>
        <v>0.47967756696011643</v>
      </c>
      <c r="AM226" s="181">
        <f t="shared" si="639"/>
        <v>0.50360111948175279</v>
      </c>
      <c r="AN226" s="181">
        <f t="shared" si="639"/>
        <v>0.45913692054741223</v>
      </c>
      <c r="AO226" s="181">
        <f t="shared" si="639"/>
        <v>0.43846872241353263</v>
      </c>
      <c r="AP226" s="181">
        <f t="shared" si="639"/>
        <v>0.46741293410979035</v>
      </c>
      <c r="AQ226" s="181">
        <f t="shared" si="639"/>
        <v>0.46095013411815045</v>
      </c>
      <c r="AR226" s="181">
        <f t="shared" si="639"/>
        <v>0.54445359761383549</v>
      </c>
      <c r="AS226" s="181">
        <f t="shared" si="639"/>
        <v>0.51120411400584087</v>
      </c>
      <c r="AT226" s="181">
        <f t="shared" si="639"/>
        <v>0.50238241081862667</v>
      </c>
      <c r="AU226" s="181">
        <f t="shared" si="639"/>
        <v>6.1804834210602323E-2</v>
      </c>
      <c r="AV226" s="285">
        <f t="shared" si="639"/>
        <v>-5.1601421339450025E-2</v>
      </c>
      <c r="AW226" s="285">
        <f t="shared" si="639"/>
        <v>0.10975847433335466</v>
      </c>
      <c r="AX226" s="285">
        <f t="shared" si="639"/>
        <v>0.40990731448320183</v>
      </c>
      <c r="AY226" s="285">
        <f t="shared" si="639"/>
        <v>0.3766578463915774</v>
      </c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34"/>
        <v>-0.10362866781440122</v>
      </c>
      <c r="BK226" s="181">
        <f t="shared" si="634"/>
        <v>-9.9056344443289646E-2</v>
      </c>
      <c r="BL226" s="181">
        <f t="shared" si="634"/>
        <v>-7.9053248017361466E-2</v>
      </c>
      <c r="BM226" s="181">
        <f t="shared" si="634"/>
        <v>-9.2786872351624472E-2</v>
      </c>
      <c r="BN226" s="181">
        <f t="shared" si="634"/>
        <v>-7.1615142839103307E-2</v>
      </c>
      <c r="BO226" s="181">
        <f t="shared" si="634"/>
        <v>-7.4173182924069492E-2</v>
      </c>
      <c r="BP226" s="181">
        <f t="shared" si="634"/>
        <v>-0.10558320415863098</v>
      </c>
      <c r="BQ226" s="181">
        <f t="shared" si="634"/>
        <v>-2.402273195225102E-2</v>
      </c>
      <c r="BR226" s="181">
        <f t="shared" si="634"/>
        <v>-9.5034709895551572E-2</v>
      </c>
      <c r="BS226" s="181">
        <f t="shared" si="634"/>
        <v>-0.14920584127682107</v>
      </c>
      <c r="BT226" s="181">
        <f t="shared" si="635"/>
        <v>-9.89760125499764E-2</v>
      </c>
      <c r="BU226" s="181">
        <f t="shared" si="635"/>
        <v>-3.0980313672117787E-2</v>
      </c>
      <c r="BV226" s="181">
        <f t="shared" si="635"/>
        <v>-4.745995097001493E-2</v>
      </c>
      <c r="BW226" s="181">
        <f t="shared" si="635"/>
        <v>-4.7316718776819866E-2</v>
      </c>
      <c r="BX226" s="181">
        <f t="shared" si="635"/>
        <v>-2.7331663493392944E-2</v>
      </c>
      <c r="BY226" s="181">
        <f t="shared" si="635"/>
        <v>-2.633350514486299E-2</v>
      </c>
      <c r="BZ226" s="181">
        <f t="shared" si="635"/>
        <v>-2.1671095968794796E-2</v>
      </c>
      <c r="CA226" s="285">
        <f t="shared" si="635"/>
        <v>-1.7511205740270208E-2</v>
      </c>
      <c r="CB226" s="285">
        <f t="shared" si="635"/>
        <v>-2.0732372172155289E-3</v>
      </c>
      <c r="CC226" s="285">
        <f t="shared" si="635"/>
        <v>-2.4272283172196929E-2</v>
      </c>
      <c r="CD226" s="285">
        <f t="shared" si="635"/>
        <v>2.348312769137173E-2</v>
      </c>
      <c r="CE226" s="182">
        <f t="shared" si="635"/>
        <v>2.2101501582766414E-2</v>
      </c>
      <c r="CF226" s="182">
        <f t="shared" si="636"/>
        <v>5.3547759965676012E-2</v>
      </c>
      <c r="CG226" s="182">
        <f t="shared" si="636"/>
        <v>1.8855344870693902E-2</v>
      </c>
      <c r="CH226" s="182">
        <f t="shared" si="636"/>
        <v>4.5792951200869514E-2</v>
      </c>
      <c r="CI226" s="182">
        <f t="shared" si="636"/>
        <v>2.4082074273997722E-2</v>
      </c>
      <c r="CJ226" s="182">
        <f t="shared" si="636"/>
        <v>4.5160343429293925E-2</v>
      </c>
      <c r="CK226" s="182">
        <f t="shared" si="636"/>
        <v>9.2777183849021561E-3</v>
      </c>
      <c r="CL226" s="182">
        <f t="shared" si="636"/>
        <v>5.8967838543631745E-2</v>
      </c>
      <c r="CM226" s="182">
        <f t="shared" si="636"/>
        <v>3.5739593503245737E-2</v>
      </c>
      <c r="CN226" s="182">
        <f t="shared" si="636"/>
        <v>4.5834042143636178E-2</v>
      </c>
      <c r="CO226" s="182">
        <f t="shared" si="636"/>
        <v>-0.36785436115968195</v>
      </c>
      <c r="CP226" s="285">
        <f t="shared" si="636"/>
        <v>-0.4983566589675385</v>
      </c>
      <c r="CQ226" s="285">
        <f t="shared" si="636"/>
        <v>-0.33646210145875982</v>
      </c>
      <c r="CR226" s="285">
        <f t="shared" si="636"/>
        <v>-6.9770252476914596E-2</v>
      </c>
      <c r="CS226" s="285"/>
      <c r="CT226" s="349"/>
      <c r="CU226" s="119"/>
    </row>
    <row r="227" spans="1:99" ht="15" thickTop="1" x14ac:dyDescent="0.3">
      <c r="A227" s="150"/>
    </row>
    <row r="228" spans="1:99" x14ac:dyDescent="0.3">
      <c r="B228" s="1" t="s">
        <v>24</v>
      </c>
    </row>
    <row r="229" spans="1:99" x14ac:dyDescent="0.3">
      <c r="B229" s="33" t="s">
        <v>153</v>
      </c>
    </row>
    <row r="230" spans="1:99" x14ac:dyDescent="0.3">
      <c r="B230" s="2" t="s">
        <v>128</v>
      </c>
    </row>
    <row r="232" spans="1:99" x14ac:dyDescent="0.3">
      <c r="B232" s="34" t="s">
        <v>23</v>
      </c>
    </row>
    <row r="233" spans="1:99" x14ac:dyDescent="0.3">
      <c r="B233" s="2" t="s">
        <v>25</v>
      </c>
    </row>
    <row r="234" spans="1:99" x14ac:dyDescent="0.3">
      <c r="B234" s="2" t="s">
        <v>26</v>
      </c>
    </row>
    <row r="235" spans="1:99" x14ac:dyDescent="0.3">
      <c r="B235" s="2" t="s">
        <v>27</v>
      </c>
    </row>
    <row r="236" spans="1:99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S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Y236"/>
  <sheetViews>
    <sheetView zoomScaleNormal="100" workbookViewId="0">
      <pane xSplit="2" ySplit="8" topLeftCell="C9" activePane="bottomRight" state="frozen"/>
      <selection activeCell="CU1" sqref="CU1:CU1048576"/>
      <selection pane="topRight" activeCell="CU1" sqref="CU1:CU1048576"/>
      <selection pane="bottomLeft" activeCell="CU1" sqref="CU1:CU1048576"/>
      <selection pane="bottomRight" activeCell="CU1" sqref="CU1:CU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7" width="13.77734375" style="2" customWidth="1"/>
    <col min="98" max="98" width="6.21875" style="345" customWidth="1"/>
    <col min="99" max="99" width="13.77734375" style="2" hidden="1" customWidth="1"/>
    <col min="100" max="100" width="14.21875" style="2" customWidth="1"/>
    <col min="101" max="101" width="9.21875" style="2" customWidth="1"/>
    <col min="102" max="102" width="14.21875" style="2" customWidth="1"/>
    <col min="103" max="16384" width="9.21875" style="2"/>
  </cols>
  <sheetData>
    <row r="1" spans="1:99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</row>
    <row r="2" spans="1:99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225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U6" s="23">
        <v>4</v>
      </c>
    </row>
    <row r="7" spans="1:9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7"/>
      <c r="CT7" s="346"/>
      <c r="CU7" s="260" t="s">
        <v>84</v>
      </c>
    </row>
    <row r="8" spans="1:99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2" t="s">
        <v>223</v>
      </c>
      <c r="CT8" s="347"/>
      <c r="CU8" s="261">
        <v>45010</v>
      </c>
    </row>
    <row r="9" spans="1:9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48"/>
      <c r="CU9" s="59"/>
    </row>
    <row r="10" spans="1:99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/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R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/>
      <c r="CT10" s="348"/>
      <c r="CU10" s="67">
        <f>'MONTHLY SUMMARIES'!F10</f>
        <v>12076</v>
      </c>
    </row>
    <row r="11" spans="1:99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/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48"/>
      <c r="CU11" s="67">
        <f>GETPIVOTDATA("VALUE",'CSS ESCO pvt'!$I$3,"DATE_FILE",$CU$8,"COMPANY",$CU$6,"TRIM_CAT","Residential-GRID","TRIM_LINE",$A9)</f>
        <v>1782</v>
      </c>
    </row>
    <row r="12" spans="1:99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/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48"/>
      <c r="CU12" s="81">
        <f>CU10-CU11</f>
        <v>10294</v>
      </c>
    </row>
    <row r="13" spans="1:99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/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R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/>
      <c r="CT13" s="348"/>
      <c r="CU13" s="67">
        <f>'MONTHLY SUMMARIES'!F11</f>
        <v>149</v>
      </c>
    </row>
    <row r="14" spans="1:99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/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48"/>
      <c r="CU14" s="67">
        <f>GETPIVOTDATA("VALUE",'CSS ESCO pvt'!$I$3,"DATE_FILE",$CU$8,"COMPANY",$CU$6,"TRIM_CAT","Low Income Residential-GRID","TRIM_LINE",$A9)</f>
        <v>41</v>
      </c>
    </row>
    <row r="15" spans="1:99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/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48"/>
      <c r="CU15" s="81">
        <f>CU13-CU14</f>
        <v>108</v>
      </c>
    </row>
    <row r="16" spans="1:99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/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R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/>
      <c r="CT16" s="348"/>
      <c r="CU16" s="67">
        <f>'MONTHLY SUMMARIES'!F12</f>
        <v>1602</v>
      </c>
    </row>
    <row r="17" spans="1:99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/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/>
      <c r="CT17" s="348"/>
      <c r="CU17" s="67">
        <f>'MONTHLY SUMMARIES'!F13</f>
        <v>77</v>
      </c>
    </row>
    <row r="18" spans="1:99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/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/>
      <c r="CT18" s="348"/>
      <c r="CU18" s="67">
        <f>'MONTHLY SUMMARIES'!F14</f>
        <v>11</v>
      </c>
    </row>
    <row r="19" spans="1:99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/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:CS19" si="26">SUM(CQ10:CQ18)</f>
        <v>84</v>
      </c>
      <c r="CR19" s="365">
        <f t="shared" ref="CR19" si="27">SUM(CR10:CR18)</f>
        <v>96</v>
      </c>
      <c r="CS19" s="365"/>
      <c r="CT19" s="349"/>
      <c r="CU19" s="74">
        <f>CU10+CU13+CU16+CU17+CU18</f>
        <v>13915</v>
      </c>
    </row>
    <row r="20" spans="1:9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48"/>
      <c r="CU20" s="81"/>
    </row>
    <row r="21" spans="1:99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/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R21" si="28">O21-C21</f>
        <v>331</v>
      </c>
      <c r="BJ21" s="87">
        <f t="shared" si="28"/>
        <v>447</v>
      </c>
      <c r="BK21" s="87">
        <f t="shared" si="28"/>
        <v>413</v>
      </c>
      <c r="BL21" s="87">
        <f t="shared" si="28"/>
        <v>621</v>
      </c>
      <c r="BM21" s="87">
        <f t="shared" si="28"/>
        <v>540</v>
      </c>
      <c r="BN21" s="87">
        <f t="shared" si="28"/>
        <v>468</v>
      </c>
      <c r="BO21" s="87">
        <f t="shared" si="28"/>
        <v>348</v>
      </c>
      <c r="BP21" s="87">
        <f t="shared" si="28"/>
        <v>306</v>
      </c>
      <c r="BQ21" s="87">
        <f t="shared" si="28"/>
        <v>317</v>
      </c>
      <c r="BR21" s="87">
        <f t="shared" si="28"/>
        <v>193</v>
      </c>
      <c r="BS21" s="87">
        <f t="shared" si="28"/>
        <v>167</v>
      </c>
      <c r="BT21" s="87">
        <f t="shared" si="28"/>
        <v>231</v>
      </c>
      <c r="BU21" s="87">
        <f t="shared" si="28"/>
        <v>-44</v>
      </c>
      <c r="BV21" s="87">
        <f t="shared" si="28"/>
        <v>-254</v>
      </c>
      <c r="BW21" s="87">
        <f t="shared" si="28"/>
        <v>-334</v>
      </c>
      <c r="BX21" s="87">
        <f t="shared" si="28"/>
        <v>-310</v>
      </c>
      <c r="BY21" s="87">
        <f t="shared" si="28"/>
        <v>-429</v>
      </c>
      <c r="BZ21" s="87">
        <f t="shared" si="28"/>
        <v>-260</v>
      </c>
      <c r="CA21" s="267">
        <f t="shared" si="28"/>
        <v>-278</v>
      </c>
      <c r="CB21" s="267">
        <f t="shared" si="28"/>
        <v>-225</v>
      </c>
      <c r="CC21" s="267">
        <f t="shared" si="28"/>
        <v>-538</v>
      </c>
      <c r="CD21" s="267">
        <f t="shared" si="28"/>
        <v>-327</v>
      </c>
      <c r="CE21" s="309">
        <f t="shared" si="28"/>
        <v>-166</v>
      </c>
      <c r="CF21" s="309">
        <f t="shared" si="28"/>
        <v>-260</v>
      </c>
      <c r="CG21" s="309">
        <f t="shared" si="28"/>
        <v>-116</v>
      </c>
      <c r="CH21" s="309">
        <f t="shared" si="28"/>
        <v>-343</v>
      </c>
      <c r="CI21" s="309">
        <f t="shared" si="28"/>
        <v>-190</v>
      </c>
      <c r="CJ21" s="309">
        <f t="shared" si="28"/>
        <v>-172</v>
      </c>
      <c r="CK21" s="309">
        <f t="shared" si="28"/>
        <v>-30</v>
      </c>
      <c r="CL21" s="309">
        <f t="shared" si="28"/>
        <v>-134</v>
      </c>
      <c r="CM21" s="309">
        <f t="shared" si="28"/>
        <v>-43</v>
      </c>
      <c r="CN21" s="309">
        <f t="shared" si="28"/>
        <v>-220</v>
      </c>
      <c r="CO21" s="309">
        <f t="shared" si="28"/>
        <v>-35</v>
      </c>
      <c r="CP21" s="309">
        <f t="shared" si="28"/>
        <v>-167</v>
      </c>
      <c r="CQ21" s="309">
        <f t="shared" si="28"/>
        <v>-275</v>
      </c>
      <c r="CR21" s="309">
        <f t="shared" si="28"/>
        <v>95</v>
      </c>
      <c r="CS21" s="309"/>
      <c r="CT21" s="348"/>
      <c r="CU21" s="67">
        <f>'MONTHLY SUMMARIES'!F17</f>
        <v>1103</v>
      </c>
    </row>
    <row r="22" spans="1:99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/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48"/>
      <c r="CU22" s="67">
        <f>GETPIVOTDATA("VALUE",'CSS ESCO pvt'!$I$3,"DATE_FILE",$CU$8,"COMPANY",$CU$6,"TRIM_CAT","Residential-GRID","TRIM_LINE",$A20)</f>
        <v>199</v>
      </c>
    </row>
    <row r="23" spans="1:99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/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48"/>
      <c r="CU23" s="81">
        <f>CU21-CU22</f>
        <v>904</v>
      </c>
    </row>
    <row r="24" spans="1:99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/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R24" si="29">O24-C24</f>
        <v>8</v>
      </c>
      <c r="BJ24" s="87">
        <f t="shared" si="29"/>
        <v>4</v>
      </c>
      <c r="BK24" s="87">
        <f t="shared" si="29"/>
        <v>3</v>
      </c>
      <c r="BL24" s="87">
        <f t="shared" si="29"/>
        <v>7</v>
      </c>
      <c r="BM24" s="87">
        <f t="shared" si="29"/>
        <v>11</v>
      </c>
      <c r="BN24" s="87">
        <f t="shared" si="29"/>
        <v>6</v>
      </c>
      <c r="BO24" s="87">
        <f t="shared" si="29"/>
        <v>6</v>
      </c>
      <c r="BP24" s="87">
        <f t="shared" si="29"/>
        <v>0</v>
      </c>
      <c r="BQ24" s="87">
        <f t="shared" si="29"/>
        <v>0</v>
      </c>
      <c r="BR24" s="87">
        <f t="shared" si="29"/>
        <v>2</v>
      </c>
      <c r="BS24" s="87">
        <f t="shared" si="29"/>
        <v>4</v>
      </c>
      <c r="BT24" s="87">
        <f t="shared" si="29"/>
        <v>15</v>
      </c>
      <c r="BU24" s="87">
        <f t="shared" si="29"/>
        <v>8</v>
      </c>
      <c r="BV24" s="87">
        <f t="shared" si="29"/>
        <v>14</v>
      </c>
      <c r="BW24" s="87">
        <f t="shared" si="29"/>
        <v>8</v>
      </c>
      <c r="BX24" s="87">
        <f t="shared" si="29"/>
        <v>6</v>
      </c>
      <c r="BY24" s="87">
        <f t="shared" si="29"/>
        <v>5</v>
      </c>
      <c r="BZ24" s="87">
        <f t="shared" si="29"/>
        <v>3</v>
      </c>
      <c r="CA24" s="267">
        <f t="shared" si="29"/>
        <v>10</v>
      </c>
      <c r="CB24" s="267">
        <f t="shared" si="29"/>
        <v>7</v>
      </c>
      <c r="CC24" s="267">
        <f t="shared" si="29"/>
        <v>-17</v>
      </c>
      <c r="CD24" s="267">
        <f t="shared" si="29"/>
        <v>-9</v>
      </c>
      <c r="CE24" s="309">
        <f t="shared" si="29"/>
        <v>-2</v>
      </c>
      <c r="CF24" s="309">
        <f t="shared" si="29"/>
        <v>-17</v>
      </c>
      <c r="CG24" s="309">
        <f t="shared" si="29"/>
        <v>-14</v>
      </c>
      <c r="CH24" s="309">
        <f t="shared" si="29"/>
        <v>-13</v>
      </c>
      <c r="CI24" s="309">
        <f t="shared" si="29"/>
        <v>-15</v>
      </c>
      <c r="CJ24" s="309">
        <f t="shared" si="29"/>
        <v>-7</v>
      </c>
      <c r="CK24" s="309">
        <f t="shared" si="29"/>
        <v>-14</v>
      </c>
      <c r="CL24" s="309">
        <f t="shared" si="29"/>
        <v>-19</v>
      </c>
      <c r="CM24" s="309">
        <f t="shared" si="29"/>
        <v>-13</v>
      </c>
      <c r="CN24" s="309">
        <f t="shared" si="29"/>
        <v>-14</v>
      </c>
      <c r="CO24" s="309">
        <f t="shared" si="29"/>
        <v>3</v>
      </c>
      <c r="CP24" s="309">
        <f t="shared" si="29"/>
        <v>5</v>
      </c>
      <c r="CQ24" s="309">
        <f t="shared" si="29"/>
        <v>-2</v>
      </c>
      <c r="CR24" s="309">
        <f t="shared" si="29"/>
        <v>9</v>
      </c>
      <c r="CS24" s="309"/>
      <c r="CT24" s="348"/>
      <c r="CU24" s="67">
        <f>'MONTHLY SUMMARIES'!F18</f>
        <v>38</v>
      </c>
    </row>
    <row r="25" spans="1:99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/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48"/>
      <c r="CU25" s="67">
        <f>GETPIVOTDATA("VALUE",'CSS ESCO pvt'!$I$3,"DATE_FILE",$CU$8,"COMPANY",$CU$6,"TRIM_CAT","Low Income Residential-GRID","TRIM_LINE",$A20)</f>
        <v>8</v>
      </c>
    </row>
    <row r="26" spans="1:99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/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48"/>
      <c r="CU26" s="81">
        <f>CU24-CU25</f>
        <v>30</v>
      </c>
    </row>
    <row r="27" spans="1:99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/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0">O27-C27</f>
        <v>-6</v>
      </c>
      <c r="BJ27" s="87">
        <f t="shared" si="30"/>
        <v>135</v>
      </c>
      <c r="BK27" s="87">
        <f t="shared" si="30"/>
        <v>180</v>
      </c>
      <c r="BL27" s="87">
        <f t="shared" si="30"/>
        <v>-49</v>
      </c>
      <c r="BM27" s="87">
        <f t="shared" si="30"/>
        <v>50</v>
      </c>
      <c r="BN27" s="87">
        <f t="shared" si="30"/>
        <v>-68</v>
      </c>
      <c r="BO27" s="87">
        <f t="shared" si="30"/>
        <v>30</v>
      </c>
      <c r="BP27" s="87">
        <f t="shared" si="30"/>
        <v>29</v>
      </c>
      <c r="BQ27" s="87">
        <f t="shared" si="30"/>
        <v>43</v>
      </c>
      <c r="BR27" s="87">
        <f t="shared" si="30"/>
        <v>15</v>
      </c>
      <c r="BS27" s="87">
        <f t="shared" ref="BS27:CB29" si="31">Y27-M27</f>
        <v>-79</v>
      </c>
      <c r="BT27" s="87">
        <f t="shared" si="31"/>
        <v>-114</v>
      </c>
      <c r="BU27" s="87">
        <f t="shared" si="31"/>
        <v>-72</v>
      </c>
      <c r="BV27" s="87">
        <f t="shared" si="31"/>
        <v>-211</v>
      </c>
      <c r="BW27" s="87">
        <f t="shared" si="31"/>
        <v>-204</v>
      </c>
      <c r="BX27" s="87">
        <f t="shared" si="31"/>
        <v>-32</v>
      </c>
      <c r="BY27" s="87">
        <f t="shared" si="31"/>
        <v>-90</v>
      </c>
      <c r="BZ27" s="87">
        <f t="shared" si="31"/>
        <v>-19</v>
      </c>
      <c r="CA27" s="267">
        <f t="shared" si="31"/>
        <v>4</v>
      </c>
      <c r="CB27" s="267">
        <f t="shared" si="31"/>
        <v>-3</v>
      </c>
      <c r="CC27" s="267">
        <f t="shared" ref="CC27:CL29" si="32">AI27-W27</f>
        <v>-57</v>
      </c>
      <c r="CD27" s="267">
        <f t="shared" si="32"/>
        <v>-26</v>
      </c>
      <c r="CE27" s="309">
        <f t="shared" si="32"/>
        <v>142</v>
      </c>
      <c r="CF27" s="309">
        <f t="shared" si="32"/>
        <v>151</v>
      </c>
      <c r="CG27" s="309">
        <f t="shared" si="32"/>
        <v>86</v>
      </c>
      <c r="CH27" s="309">
        <f t="shared" si="32"/>
        <v>-20</v>
      </c>
      <c r="CI27" s="309">
        <f t="shared" si="32"/>
        <v>1</v>
      </c>
      <c r="CJ27" s="309">
        <f t="shared" si="32"/>
        <v>73</v>
      </c>
      <c r="CK27" s="309">
        <f t="shared" si="32"/>
        <v>136</v>
      </c>
      <c r="CL27" s="309">
        <f t="shared" si="32"/>
        <v>71</v>
      </c>
      <c r="CM27" s="309">
        <f t="shared" ref="CM27:CR29" si="33">AS27-AG27</f>
        <v>87</v>
      </c>
      <c r="CN27" s="309">
        <f t="shared" si="33"/>
        <v>56</v>
      </c>
      <c r="CO27" s="309">
        <f t="shared" si="33"/>
        <v>61</v>
      </c>
      <c r="CP27" s="309">
        <f t="shared" si="33"/>
        <v>32</v>
      </c>
      <c r="CQ27" s="309">
        <f t="shared" si="33"/>
        <v>-109</v>
      </c>
      <c r="CR27" s="309">
        <f t="shared" si="33"/>
        <v>-45</v>
      </c>
      <c r="CS27" s="309"/>
      <c r="CT27" s="348"/>
      <c r="CU27" s="67">
        <f>'MONTHLY SUMMARIES'!F19</f>
        <v>234</v>
      </c>
    </row>
    <row r="28" spans="1:99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/>
      <c r="BA28" s="293"/>
      <c r="BB28" s="293"/>
      <c r="BC28" s="293"/>
      <c r="BD28" s="293"/>
      <c r="BE28" s="293"/>
      <c r="BF28" s="293"/>
      <c r="BG28" s="293"/>
      <c r="BH28" s="293"/>
      <c r="BI28" s="86">
        <f t="shared" si="30"/>
        <v>12</v>
      </c>
      <c r="BJ28" s="87">
        <f t="shared" si="30"/>
        <v>14</v>
      </c>
      <c r="BK28" s="87">
        <f t="shared" si="30"/>
        <v>9</v>
      </c>
      <c r="BL28" s="87">
        <f t="shared" si="30"/>
        <v>4</v>
      </c>
      <c r="BM28" s="87">
        <f t="shared" si="30"/>
        <v>7</v>
      </c>
      <c r="BN28" s="87">
        <f t="shared" si="30"/>
        <v>-2</v>
      </c>
      <c r="BO28" s="87">
        <f t="shared" si="30"/>
        <v>0</v>
      </c>
      <c r="BP28" s="87">
        <f t="shared" si="30"/>
        <v>5</v>
      </c>
      <c r="BQ28" s="87">
        <f t="shared" si="30"/>
        <v>1</v>
      </c>
      <c r="BR28" s="87">
        <f t="shared" si="30"/>
        <v>2</v>
      </c>
      <c r="BS28" s="87">
        <f t="shared" si="31"/>
        <v>-4</v>
      </c>
      <c r="BT28" s="87">
        <f t="shared" si="31"/>
        <v>-18</v>
      </c>
      <c r="BU28" s="87">
        <f t="shared" si="31"/>
        <v>-19</v>
      </c>
      <c r="BV28" s="87">
        <f t="shared" si="31"/>
        <v>-16</v>
      </c>
      <c r="BW28" s="87">
        <f t="shared" si="31"/>
        <v>-19</v>
      </c>
      <c r="BX28" s="87">
        <f t="shared" si="31"/>
        <v>-4</v>
      </c>
      <c r="BY28" s="87">
        <f t="shared" si="31"/>
        <v>-10</v>
      </c>
      <c r="BZ28" s="87">
        <f t="shared" si="31"/>
        <v>-8</v>
      </c>
      <c r="CA28" s="267">
        <f t="shared" si="31"/>
        <v>-1</v>
      </c>
      <c r="CB28" s="267">
        <f t="shared" si="31"/>
        <v>9</v>
      </c>
      <c r="CC28" s="267">
        <f t="shared" si="32"/>
        <v>-11</v>
      </c>
      <c r="CD28" s="267">
        <f t="shared" si="32"/>
        <v>-3</v>
      </c>
      <c r="CE28" s="309">
        <f t="shared" si="32"/>
        <v>11</v>
      </c>
      <c r="CF28" s="309">
        <f t="shared" si="32"/>
        <v>20</v>
      </c>
      <c r="CG28" s="309">
        <f t="shared" si="32"/>
        <v>7</v>
      </c>
      <c r="CH28" s="309">
        <f t="shared" si="32"/>
        <v>-5</v>
      </c>
      <c r="CI28" s="309">
        <f t="shared" si="32"/>
        <v>6</v>
      </c>
      <c r="CJ28" s="309">
        <f t="shared" si="32"/>
        <v>-4</v>
      </c>
      <c r="CK28" s="309">
        <f t="shared" si="32"/>
        <v>6</v>
      </c>
      <c r="CL28" s="309">
        <f t="shared" si="32"/>
        <v>4</v>
      </c>
      <c r="CM28" s="309">
        <f t="shared" si="33"/>
        <v>-6</v>
      </c>
      <c r="CN28" s="309">
        <f t="shared" si="33"/>
        <v>-2</v>
      </c>
      <c r="CO28" s="309">
        <f t="shared" si="33"/>
        <v>9</v>
      </c>
      <c r="CP28" s="309">
        <f t="shared" si="33"/>
        <v>4</v>
      </c>
      <c r="CQ28" s="309">
        <f t="shared" si="33"/>
        <v>-16</v>
      </c>
      <c r="CR28" s="309">
        <f t="shared" si="33"/>
        <v>-6</v>
      </c>
      <c r="CS28" s="309"/>
      <c r="CT28" s="348"/>
      <c r="CU28" s="67">
        <f>'MONTHLY SUMMARIES'!F20</f>
        <v>12</v>
      </c>
    </row>
    <row r="29" spans="1:99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/>
      <c r="BA29" s="293"/>
      <c r="BB29" s="293"/>
      <c r="BC29" s="293"/>
      <c r="BD29" s="293"/>
      <c r="BE29" s="293"/>
      <c r="BF29" s="293"/>
      <c r="BG29" s="293"/>
      <c r="BH29" s="293"/>
      <c r="BI29" s="86">
        <f t="shared" si="30"/>
        <v>1</v>
      </c>
      <c r="BJ29" s="87">
        <f t="shared" si="30"/>
        <v>0</v>
      </c>
      <c r="BK29" s="87">
        <f t="shared" si="30"/>
        <v>5</v>
      </c>
      <c r="BL29" s="87">
        <f t="shared" si="30"/>
        <v>-2</v>
      </c>
      <c r="BM29" s="87">
        <f t="shared" si="30"/>
        <v>-3</v>
      </c>
      <c r="BN29" s="87">
        <f t="shared" si="30"/>
        <v>1</v>
      </c>
      <c r="BO29" s="87">
        <f t="shared" si="30"/>
        <v>1</v>
      </c>
      <c r="BP29" s="87">
        <f t="shared" si="30"/>
        <v>1</v>
      </c>
      <c r="BQ29" s="87">
        <f t="shared" si="30"/>
        <v>0</v>
      </c>
      <c r="BR29" s="87">
        <f t="shared" si="30"/>
        <v>2</v>
      </c>
      <c r="BS29" s="87">
        <f t="shared" si="31"/>
        <v>-1</v>
      </c>
      <c r="BT29" s="87">
        <f t="shared" si="31"/>
        <v>-1</v>
      </c>
      <c r="BU29" s="87">
        <f t="shared" si="31"/>
        <v>-1</v>
      </c>
      <c r="BV29" s="87">
        <f t="shared" si="31"/>
        <v>0</v>
      </c>
      <c r="BW29" s="87">
        <f t="shared" si="31"/>
        <v>-3</v>
      </c>
      <c r="BX29" s="87">
        <f t="shared" si="31"/>
        <v>-1</v>
      </c>
      <c r="BY29" s="87">
        <f t="shared" si="31"/>
        <v>2</v>
      </c>
      <c r="BZ29" s="87">
        <f t="shared" si="31"/>
        <v>2</v>
      </c>
      <c r="CA29" s="267">
        <f t="shared" si="31"/>
        <v>-1</v>
      </c>
      <c r="CB29" s="267">
        <f t="shared" si="31"/>
        <v>1</v>
      </c>
      <c r="CC29" s="267">
        <f t="shared" si="32"/>
        <v>1</v>
      </c>
      <c r="CD29" s="267">
        <f t="shared" si="32"/>
        <v>0</v>
      </c>
      <c r="CE29" s="309">
        <f t="shared" si="32"/>
        <v>5</v>
      </c>
      <c r="CF29" s="309">
        <f t="shared" si="32"/>
        <v>1</v>
      </c>
      <c r="CG29" s="309">
        <f t="shared" si="32"/>
        <v>3</v>
      </c>
      <c r="CH29" s="309">
        <f t="shared" si="32"/>
        <v>-1</v>
      </c>
      <c r="CI29" s="309">
        <f t="shared" si="32"/>
        <v>2</v>
      </c>
      <c r="CJ29" s="309">
        <f t="shared" si="32"/>
        <v>2</v>
      </c>
      <c r="CK29" s="309">
        <f t="shared" si="32"/>
        <v>-1</v>
      </c>
      <c r="CL29" s="309">
        <f t="shared" si="32"/>
        <v>-2</v>
      </c>
      <c r="CM29" s="309">
        <f t="shared" si="33"/>
        <v>2</v>
      </c>
      <c r="CN29" s="309">
        <f t="shared" si="33"/>
        <v>-1</v>
      </c>
      <c r="CO29" s="309">
        <f t="shared" si="33"/>
        <v>-1</v>
      </c>
      <c r="CP29" s="309">
        <f t="shared" si="33"/>
        <v>1</v>
      </c>
      <c r="CQ29" s="309">
        <f t="shared" si="33"/>
        <v>-2</v>
      </c>
      <c r="CR29" s="309">
        <f t="shared" si="33"/>
        <v>-2</v>
      </c>
      <c r="CS29" s="309"/>
      <c r="CT29" s="348"/>
      <c r="CU29" s="67">
        <f>'MONTHLY SUMMARIES'!F21</f>
        <v>4</v>
      </c>
    </row>
    <row r="30" spans="1:99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4">SUM(D21:D29)</f>
        <v>1416</v>
      </c>
      <c r="E30" s="141">
        <f t="shared" si="34"/>
        <v>1337</v>
      </c>
      <c r="F30" s="141">
        <f t="shared" si="34"/>
        <v>1164</v>
      </c>
      <c r="G30" s="141">
        <f t="shared" si="34"/>
        <v>1287</v>
      </c>
      <c r="H30" s="141">
        <f t="shared" si="34"/>
        <v>1096</v>
      </c>
      <c r="I30" s="141">
        <f t="shared" si="34"/>
        <v>1211</v>
      </c>
      <c r="J30" s="141">
        <f t="shared" si="34"/>
        <v>1449</v>
      </c>
      <c r="K30" s="141">
        <f t="shared" si="34"/>
        <v>1804</v>
      </c>
      <c r="L30" s="142">
        <f t="shared" si="34"/>
        <v>1692</v>
      </c>
      <c r="M30" s="141">
        <f t="shared" si="34"/>
        <v>1571</v>
      </c>
      <c r="N30" s="141">
        <f t="shared" si="34"/>
        <v>1480</v>
      </c>
      <c r="O30" s="141">
        <f t="shared" si="34"/>
        <v>1620</v>
      </c>
      <c r="P30" s="141">
        <f t="shared" si="34"/>
        <v>2016</v>
      </c>
      <c r="Q30" s="141">
        <f t="shared" si="34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/>
      <c r="BA30" s="294"/>
      <c r="BB30" s="294"/>
      <c r="BC30" s="294"/>
      <c r="BD30" s="294"/>
      <c r="BE30" s="294"/>
      <c r="BF30" s="294"/>
      <c r="BG30" s="294"/>
      <c r="BH30" s="294"/>
      <c r="BI30" s="88">
        <f t="shared" si="34"/>
        <v>346</v>
      </c>
      <c r="BJ30" s="143">
        <f t="shared" ref="BJ30:BL30" si="35">SUM(BJ21:BJ29)</f>
        <v>600</v>
      </c>
      <c r="BK30" s="143">
        <f t="shared" si="35"/>
        <v>610</v>
      </c>
      <c r="BL30" s="143">
        <f t="shared" si="35"/>
        <v>581</v>
      </c>
      <c r="BM30" s="143">
        <f t="shared" ref="BM30:BN30" si="36">SUM(BM21:BM29)</f>
        <v>605</v>
      </c>
      <c r="BN30" s="143">
        <f t="shared" si="36"/>
        <v>405</v>
      </c>
      <c r="BO30" s="143">
        <f t="shared" ref="BO30:BP30" si="37">SUM(BO21:BO29)</f>
        <v>385</v>
      </c>
      <c r="BP30" s="143">
        <f t="shared" si="37"/>
        <v>341</v>
      </c>
      <c r="BQ30" s="143">
        <f t="shared" ref="BQ30:BR30" si="38">SUM(BQ21:BQ29)</f>
        <v>361</v>
      </c>
      <c r="BR30" s="143">
        <f t="shared" si="38"/>
        <v>214</v>
      </c>
      <c r="BS30" s="143">
        <f t="shared" ref="BS30:BT30" si="39">SUM(BS21:BS29)</f>
        <v>87</v>
      </c>
      <c r="BT30" s="143">
        <f t="shared" si="39"/>
        <v>113</v>
      </c>
      <c r="BU30" s="143">
        <f t="shared" ref="BU30:BV30" si="40">SUM(BU21:BU29)</f>
        <v>-128</v>
      </c>
      <c r="BV30" s="143">
        <f t="shared" si="40"/>
        <v>-467</v>
      </c>
      <c r="BW30" s="143">
        <f t="shared" ref="BW30:BX30" si="41">SUM(BW21:BW29)</f>
        <v>-552</v>
      </c>
      <c r="BX30" s="143">
        <f t="shared" si="41"/>
        <v>-341</v>
      </c>
      <c r="BY30" s="143">
        <f t="shared" ref="BY30:BZ30" si="42">SUM(BY21:BY29)</f>
        <v>-522</v>
      </c>
      <c r="BZ30" s="143">
        <f t="shared" si="42"/>
        <v>-282</v>
      </c>
      <c r="CA30" s="268">
        <f t="shared" ref="CA30:CB30" si="43">SUM(CA21:CA29)</f>
        <v>-266</v>
      </c>
      <c r="CB30" s="268">
        <f t="shared" si="43"/>
        <v>-211</v>
      </c>
      <c r="CC30" s="268">
        <f t="shared" ref="CC30:CE30" si="44">SUM(CC21:CC29)</f>
        <v>-622</v>
      </c>
      <c r="CD30" s="268">
        <f t="shared" si="44"/>
        <v>-365</v>
      </c>
      <c r="CE30" s="310">
        <f t="shared" si="44"/>
        <v>-10</v>
      </c>
      <c r="CF30" s="310">
        <f t="shared" ref="CF30:CG30" si="45">SUM(CF21:CF29)</f>
        <v>-105</v>
      </c>
      <c r="CG30" s="310">
        <f t="shared" si="45"/>
        <v>-34</v>
      </c>
      <c r="CH30" s="310">
        <f t="shared" ref="CH30:CI30" si="46">SUM(CH21:CH29)</f>
        <v>-382</v>
      </c>
      <c r="CI30" s="310">
        <f t="shared" si="46"/>
        <v>-196</v>
      </c>
      <c r="CJ30" s="310">
        <f t="shared" ref="CJ30" si="47">SUM(CJ21:CJ29)</f>
        <v>-108</v>
      </c>
      <c r="CK30" s="310">
        <f t="shared" ref="CK30" si="48">SUM(CK21:CK29)</f>
        <v>97</v>
      </c>
      <c r="CL30" s="310">
        <f t="shared" ref="CL30" si="49">SUM(CL21:CL29)</f>
        <v>-80</v>
      </c>
      <c r="CM30" s="310">
        <f t="shared" ref="CM30" si="50">SUM(CM21:CM29)</f>
        <v>27</v>
      </c>
      <c r="CN30" s="310">
        <f t="shared" ref="CN30" si="51">SUM(CN21:CN29)</f>
        <v>-181</v>
      </c>
      <c r="CO30" s="310">
        <f t="shared" ref="CO30" si="52">SUM(CO21:CO29)</f>
        <v>37</v>
      </c>
      <c r="CP30" s="310">
        <f t="shared" ref="CP30" si="53">SUM(CP21:CP29)</f>
        <v>-125</v>
      </c>
      <c r="CQ30" s="310">
        <f t="shared" ref="CQ30:CS30" si="54">SUM(CQ21:CQ29)</f>
        <v>-404</v>
      </c>
      <c r="CR30" s="310">
        <f t="shared" ref="CR30" si="55">SUM(CR21:CR29)</f>
        <v>51</v>
      </c>
      <c r="CS30" s="310"/>
      <c r="CT30" s="349"/>
      <c r="CU30" s="262">
        <f>CU21+CU24+CU27+CU28+CU29</f>
        <v>1391</v>
      </c>
    </row>
    <row r="31" spans="1:9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48"/>
      <c r="CU31" s="93"/>
    </row>
    <row r="32" spans="1:99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/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R32" si="56">O32-C32</f>
        <v>157</v>
      </c>
      <c r="BJ32" s="87">
        <f t="shared" si="56"/>
        <v>85</v>
      </c>
      <c r="BK32" s="87">
        <f t="shared" si="56"/>
        <v>41</v>
      </c>
      <c r="BL32" s="87">
        <f t="shared" si="56"/>
        <v>193</v>
      </c>
      <c r="BM32" s="87">
        <f t="shared" si="56"/>
        <v>159</v>
      </c>
      <c r="BN32" s="87">
        <f t="shared" si="56"/>
        <v>150</v>
      </c>
      <c r="BO32" s="87">
        <f t="shared" si="56"/>
        <v>-32</v>
      </c>
      <c r="BP32" s="87">
        <f t="shared" si="56"/>
        <v>-18</v>
      </c>
      <c r="BQ32" s="87">
        <f t="shared" si="56"/>
        <v>-54</v>
      </c>
      <c r="BR32" s="87">
        <f t="shared" si="56"/>
        <v>-85</v>
      </c>
      <c r="BS32" s="87">
        <f t="shared" si="56"/>
        <v>-67</v>
      </c>
      <c r="BT32" s="87">
        <f t="shared" si="56"/>
        <v>-78</v>
      </c>
      <c r="BU32" s="87">
        <f t="shared" si="56"/>
        <v>-195</v>
      </c>
      <c r="BV32" s="87">
        <f t="shared" si="56"/>
        <v>-149</v>
      </c>
      <c r="BW32" s="87">
        <f t="shared" si="56"/>
        <v>-158</v>
      </c>
      <c r="BX32" s="87">
        <f t="shared" si="56"/>
        <v>-86</v>
      </c>
      <c r="BY32" s="87">
        <f t="shared" si="56"/>
        <v>-186</v>
      </c>
      <c r="BZ32" s="87">
        <f t="shared" si="56"/>
        <v>-38</v>
      </c>
      <c r="CA32" s="267">
        <f t="shared" si="56"/>
        <v>-21</v>
      </c>
      <c r="CB32" s="267">
        <f t="shared" si="56"/>
        <v>42</v>
      </c>
      <c r="CC32" s="267">
        <f t="shared" si="56"/>
        <v>-293</v>
      </c>
      <c r="CD32" s="267">
        <f t="shared" si="56"/>
        <v>-123</v>
      </c>
      <c r="CE32" s="309">
        <f t="shared" si="56"/>
        <v>81</v>
      </c>
      <c r="CF32" s="309">
        <f t="shared" si="56"/>
        <v>-46</v>
      </c>
      <c r="CG32" s="309">
        <f t="shared" si="56"/>
        <v>87</v>
      </c>
      <c r="CH32" s="309">
        <f t="shared" si="56"/>
        <v>-203</v>
      </c>
      <c r="CI32" s="309">
        <f t="shared" si="56"/>
        <v>-11</v>
      </c>
      <c r="CJ32" s="309">
        <f t="shared" si="56"/>
        <v>-6</v>
      </c>
      <c r="CK32" s="309">
        <f t="shared" si="56"/>
        <v>123</v>
      </c>
      <c r="CL32" s="309">
        <f t="shared" si="56"/>
        <v>-65</v>
      </c>
      <c r="CM32" s="309">
        <f t="shared" si="56"/>
        <v>36</v>
      </c>
      <c r="CN32" s="309">
        <f t="shared" si="56"/>
        <v>-116</v>
      </c>
      <c r="CO32" s="309">
        <f t="shared" si="56"/>
        <v>60</v>
      </c>
      <c r="CP32" s="309">
        <f t="shared" si="56"/>
        <v>-57</v>
      </c>
      <c r="CQ32" s="309">
        <f t="shared" si="56"/>
        <v>-147</v>
      </c>
      <c r="CR32" s="309">
        <f t="shared" si="56"/>
        <v>175</v>
      </c>
      <c r="CS32" s="309"/>
      <c r="CT32" s="348"/>
      <c r="CU32" s="67">
        <f>'MONTHLY SUMMARIES'!F24</f>
        <v>628</v>
      </c>
    </row>
    <row r="33" spans="1:99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/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48"/>
      <c r="CU33" s="67">
        <f>GETPIVOTDATA("VALUE",'CSS ESCO pvt'!$I$3,"DATE_FILE",$CU$8,"COMPANY",$CU$6,"TRIM_CAT","Residential-GRID","TRIM_LINE",$A31)</f>
        <v>109</v>
      </c>
    </row>
    <row r="34" spans="1:99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/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48"/>
      <c r="CU34" s="81">
        <f>CU32-CU33</f>
        <v>519</v>
      </c>
    </row>
    <row r="35" spans="1:99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/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R35" si="57">O35-C35</f>
        <v>9</v>
      </c>
      <c r="BJ35" s="87">
        <f t="shared" si="57"/>
        <v>3</v>
      </c>
      <c r="BK35" s="87">
        <f t="shared" si="57"/>
        <v>1</v>
      </c>
      <c r="BL35" s="87">
        <f t="shared" si="57"/>
        <v>0</v>
      </c>
      <c r="BM35" s="87">
        <f t="shared" si="57"/>
        <v>-1</v>
      </c>
      <c r="BN35" s="87">
        <f t="shared" si="57"/>
        <v>-8</v>
      </c>
      <c r="BO35" s="87">
        <f t="shared" si="57"/>
        <v>-9</v>
      </c>
      <c r="BP35" s="87">
        <f t="shared" si="57"/>
        <v>-2</v>
      </c>
      <c r="BQ35" s="87">
        <f t="shared" si="57"/>
        <v>-6</v>
      </c>
      <c r="BR35" s="87">
        <f t="shared" si="57"/>
        <v>-4</v>
      </c>
      <c r="BS35" s="87">
        <f t="shared" si="57"/>
        <v>0</v>
      </c>
      <c r="BT35" s="87">
        <f t="shared" si="57"/>
        <v>5</v>
      </c>
      <c r="BU35" s="87">
        <f t="shared" si="57"/>
        <v>-7</v>
      </c>
      <c r="BV35" s="87">
        <f t="shared" si="57"/>
        <v>0</v>
      </c>
      <c r="BW35" s="87">
        <f t="shared" si="57"/>
        <v>-5</v>
      </c>
      <c r="BX35" s="87">
        <f t="shared" si="57"/>
        <v>-3</v>
      </c>
      <c r="BY35" s="87">
        <f t="shared" si="57"/>
        <v>5</v>
      </c>
      <c r="BZ35" s="87">
        <f t="shared" si="57"/>
        <v>-5</v>
      </c>
      <c r="CA35" s="267">
        <f t="shared" si="57"/>
        <v>6</v>
      </c>
      <c r="CB35" s="267">
        <f t="shared" si="57"/>
        <v>0</v>
      </c>
      <c r="CC35" s="267">
        <f t="shared" si="57"/>
        <v>-10</v>
      </c>
      <c r="CD35" s="267">
        <f t="shared" si="57"/>
        <v>1</v>
      </c>
      <c r="CE35" s="309">
        <f t="shared" si="57"/>
        <v>0</v>
      </c>
      <c r="CF35" s="309">
        <f t="shared" si="57"/>
        <v>-9</v>
      </c>
      <c r="CG35" s="309">
        <f t="shared" si="57"/>
        <v>2</v>
      </c>
      <c r="CH35" s="309">
        <f t="shared" si="57"/>
        <v>2</v>
      </c>
      <c r="CI35" s="309">
        <f t="shared" si="57"/>
        <v>-3</v>
      </c>
      <c r="CJ35" s="309">
        <f t="shared" si="57"/>
        <v>4</v>
      </c>
      <c r="CK35" s="309">
        <f t="shared" si="57"/>
        <v>-4</v>
      </c>
      <c r="CL35" s="309">
        <f t="shared" si="57"/>
        <v>4</v>
      </c>
      <c r="CM35" s="309">
        <f t="shared" si="57"/>
        <v>5</v>
      </c>
      <c r="CN35" s="309">
        <f t="shared" si="57"/>
        <v>1</v>
      </c>
      <c r="CO35" s="309">
        <f t="shared" si="57"/>
        <v>3</v>
      </c>
      <c r="CP35" s="309">
        <f t="shared" si="57"/>
        <v>10</v>
      </c>
      <c r="CQ35" s="309">
        <f t="shared" si="57"/>
        <v>3</v>
      </c>
      <c r="CR35" s="309">
        <f t="shared" si="57"/>
        <v>12</v>
      </c>
      <c r="CS35" s="309"/>
      <c r="CT35" s="348"/>
      <c r="CU35" s="67">
        <f>'MONTHLY SUMMARIES'!F25</f>
        <v>10</v>
      </c>
    </row>
    <row r="36" spans="1:99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/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48"/>
      <c r="CU36" s="67">
        <f>GETPIVOTDATA("VALUE",'CSS ESCO pvt'!$I$3,"DATE_FILE",$CU$8,"COMPANY",$CU$6,"TRIM_CAT","Low Income Residential-GRID","TRIM_LINE",$A31)</f>
        <v>3</v>
      </c>
    </row>
    <row r="37" spans="1:99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/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48"/>
      <c r="CU37" s="81">
        <f>CU35-CU36</f>
        <v>7</v>
      </c>
    </row>
    <row r="38" spans="1:99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/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58">O38-C38</f>
        <v>3</v>
      </c>
      <c r="BJ38" s="87">
        <f t="shared" si="58"/>
        <v>55</v>
      </c>
      <c r="BK38" s="87">
        <f t="shared" si="58"/>
        <v>108</v>
      </c>
      <c r="BL38" s="87">
        <f t="shared" si="58"/>
        <v>-99</v>
      </c>
      <c r="BM38" s="87">
        <f t="shared" si="58"/>
        <v>18</v>
      </c>
      <c r="BN38" s="87">
        <f t="shared" si="58"/>
        <v>-70</v>
      </c>
      <c r="BO38" s="87">
        <f t="shared" si="58"/>
        <v>3</v>
      </c>
      <c r="BP38" s="87">
        <f t="shared" si="58"/>
        <v>2</v>
      </c>
      <c r="BQ38" s="87">
        <f t="shared" si="58"/>
        <v>18</v>
      </c>
      <c r="BR38" s="87">
        <f t="shared" si="58"/>
        <v>8</v>
      </c>
      <c r="BS38" s="87">
        <f t="shared" ref="BS38:CB40" si="59">Y38-M38</f>
        <v>-89</v>
      </c>
      <c r="BT38" s="87">
        <f t="shared" si="59"/>
        <v>-129</v>
      </c>
      <c r="BU38" s="87">
        <f t="shared" si="59"/>
        <v>-85</v>
      </c>
      <c r="BV38" s="87">
        <f t="shared" si="59"/>
        <v>-156</v>
      </c>
      <c r="BW38" s="87">
        <f t="shared" si="59"/>
        <v>-136</v>
      </c>
      <c r="BX38" s="87">
        <f t="shared" si="59"/>
        <v>15</v>
      </c>
      <c r="BY38" s="87">
        <f t="shared" si="59"/>
        <v>-54</v>
      </c>
      <c r="BZ38" s="87">
        <f t="shared" si="59"/>
        <v>8</v>
      </c>
      <c r="CA38" s="267">
        <f t="shared" si="59"/>
        <v>25</v>
      </c>
      <c r="CB38" s="267">
        <f t="shared" si="59"/>
        <v>23</v>
      </c>
      <c r="CC38" s="267">
        <f t="shared" ref="CC38:CL40" si="60">AI38-W38</f>
        <v>-41</v>
      </c>
      <c r="CD38" s="267">
        <f t="shared" si="60"/>
        <v>-49</v>
      </c>
      <c r="CE38" s="309">
        <f t="shared" si="60"/>
        <v>139</v>
      </c>
      <c r="CF38" s="309">
        <f t="shared" si="60"/>
        <v>158</v>
      </c>
      <c r="CG38" s="309">
        <f t="shared" si="60"/>
        <v>77</v>
      </c>
      <c r="CH38" s="309">
        <f t="shared" si="60"/>
        <v>-14</v>
      </c>
      <c r="CI38" s="309">
        <f t="shared" si="60"/>
        <v>-2</v>
      </c>
      <c r="CJ38" s="309">
        <f t="shared" si="60"/>
        <v>78</v>
      </c>
      <c r="CK38" s="309">
        <f t="shared" si="60"/>
        <v>55</v>
      </c>
      <c r="CL38" s="309">
        <f t="shared" si="60"/>
        <v>67</v>
      </c>
      <c r="CM38" s="309">
        <f t="shared" ref="CM38:CR40" si="61">AS38-AG38</f>
        <v>73</v>
      </c>
      <c r="CN38" s="309">
        <f t="shared" si="61"/>
        <v>37</v>
      </c>
      <c r="CO38" s="309">
        <f t="shared" si="61"/>
        <v>-16</v>
      </c>
      <c r="CP38" s="309">
        <f t="shared" si="61"/>
        <v>14</v>
      </c>
      <c r="CQ38" s="309">
        <f t="shared" si="61"/>
        <v>-92</v>
      </c>
      <c r="CR38" s="309">
        <f t="shared" si="61"/>
        <v>-50</v>
      </c>
      <c r="CS38" s="309"/>
      <c r="CT38" s="348"/>
      <c r="CU38" s="67">
        <f>'MONTHLY SUMMARIES'!F26</f>
        <v>187</v>
      </c>
    </row>
    <row r="39" spans="1:99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/>
      <c r="BA39" s="293"/>
      <c r="BB39" s="293"/>
      <c r="BC39" s="293"/>
      <c r="BD39" s="293"/>
      <c r="BE39" s="293"/>
      <c r="BF39" s="293"/>
      <c r="BG39" s="293"/>
      <c r="BH39" s="293"/>
      <c r="BI39" s="86">
        <f t="shared" si="58"/>
        <v>13</v>
      </c>
      <c r="BJ39" s="87">
        <f t="shared" si="58"/>
        <v>0</v>
      </c>
      <c r="BK39" s="87">
        <f t="shared" si="58"/>
        <v>5</v>
      </c>
      <c r="BL39" s="87">
        <f t="shared" si="58"/>
        <v>4</v>
      </c>
      <c r="BM39" s="87">
        <f t="shared" si="58"/>
        <v>5</v>
      </c>
      <c r="BN39" s="87">
        <f t="shared" si="58"/>
        <v>-3</v>
      </c>
      <c r="BO39" s="87">
        <f t="shared" si="58"/>
        <v>-2</v>
      </c>
      <c r="BP39" s="87">
        <f t="shared" si="58"/>
        <v>0</v>
      </c>
      <c r="BQ39" s="87">
        <f t="shared" si="58"/>
        <v>0</v>
      </c>
      <c r="BR39" s="87">
        <f t="shared" si="58"/>
        <v>-1</v>
      </c>
      <c r="BS39" s="87">
        <f t="shared" si="59"/>
        <v>-4</v>
      </c>
      <c r="BT39" s="87">
        <f t="shared" si="59"/>
        <v>-15</v>
      </c>
      <c r="BU39" s="87">
        <f t="shared" si="59"/>
        <v>-17</v>
      </c>
      <c r="BV39" s="87">
        <f t="shared" si="59"/>
        <v>-3</v>
      </c>
      <c r="BW39" s="87">
        <f t="shared" si="59"/>
        <v>-14</v>
      </c>
      <c r="BX39" s="87">
        <f t="shared" si="59"/>
        <v>-3</v>
      </c>
      <c r="BY39" s="87">
        <f t="shared" si="59"/>
        <v>-6</v>
      </c>
      <c r="BZ39" s="87">
        <f t="shared" si="59"/>
        <v>-4</v>
      </c>
      <c r="CA39" s="267">
        <f t="shared" si="59"/>
        <v>2</v>
      </c>
      <c r="CB39" s="267">
        <f t="shared" si="59"/>
        <v>14</v>
      </c>
      <c r="CC39" s="267">
        <f t="shared" si="60"/>
        <v>-7</v>
      </c>
      <c r="CD39" s="267">
        <f t="shared" si="60"/>
        <v>-2</v>
      </c>
      <c r="CE39" s="309">
        <f t="shared" si="60"/>
        <v>12</v>
      </c>
      <c r="CF39" s="309">
        <f t="shared" si="60"/>
        <v>17</v>
      </c>
      <c r="CG39" s="309">
        <f t="shared" si="60"/>
        <v>5</v>
      </c>
      <c r="CH39" s="309">
        <f t="shared" si="60"/>
        <v>-6</v>
      </c>
      <c r="CI39" s="309">
        <f t="shared" si="60"/>
        <v>6</v>
      </c>
      <c r="CJ39" s="309">
        <f t="shared" si="60"/>
        <v>-5</v>
      </c>
      <c r="CK39" s="309">
        <f t="shared" si="60"/>
        <v>5</v>
      </c>
      <c r="CL39" s="309">
        <f t="shared" si="60"/>
        <v>4</v>
      </c>
      <c r="CM39" s="309">
        <f t="shared" si="61"/>
        <v>-8</v>
      </c>
      <c r="CN39" s="309">
        <f t="shared" si="61"/>
        <v>-4</v>
      </c>
      <c r="CO39" s="309">
        <f t="shared" si="61"/>
        <v>9</v>
      </c>
      <c r="CP39" s="309">
        <f t="shared" si="61"/>
        <v>5</v>
      </c>
      <c r="CQ39" s="309">
        <f t="shared" si="61"/>
        <v>-16</v>
      </c>
      <c r="CR39" s="309">
        <f t="shared" si="61"/>
        <v>-5</v>
      </c>
      <c r="CS39" s="309"/>
      <c r="CT39" s="348"/>
      <c r="CU39" s="67">
        <f>'MONTHLY SUMMARIES'!F27</f>
        <v>10</v>
      </c>
    </row>
    <row r="40" spans="1:99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/>
      <c r="BA40" s="293"/>
      <c r="BB40" s="293"/>
      <c r="BC40" s="293"/>
      <c r="BD40" s="293"/>
      <c r="BE40" s="293"/>
      <c r="BF40" s="293"/>
      <c r="BG40" s="293"/>
      <c r="BH40" s="293"/>
      <c r="BI40" s="86">
        <f t="shared" si="58"/>
        <v>-1</v>
      </c>
      <c r="BJ40" s="87">
        <f t="shared" si="58"/>
        <v>-2</v>
      </c>
      <c r="BK40" s="87">
        <f t="shared" si="58"/>
        <v>3</v>
      </c>
      <c r="BL40" s="87">
        <f t="shared" si="58"/>
        <v>-2</v>
      </c>
      <c r="BM40" s="87">
        <f t="shared" si="58"/>
        <v>-3</v>
      </c>
      <c r="BN40" s="87">
        <f t="shared" si="58"/>
        <v>1</v>
      </c>
      <c r="BO40" s="87">
        <f t="shared" si="58"/>
        <v>1</v>
      </c>
      <c r="BP40" s="87">
        <f t="shared" si="58"/>
        <v>-1</v>
      </c>
      <c r="BQ40" s="87">
        <f t="shared" si="58"/>
        <v>-1</v>
      </c>
      <c r="BR40" s="87">
        <f t="shared" si="58"/>
        <v>1</v>
      </c>
      <c r="BS40" s="87">
        <f t="shared" si="59"/>
        <v>-1</v>
      </c>
      <c r="BT40" s="87">
        <f t="shared" si="59"/>
        <v>-1</v>
      </c>
      <c r="BU40" s="87">
        <f t="shared" si="59"/>
        <v>0</v>
      </c>
      <c r="BV40" s="87">
        <f t="shared" si="59"/>
        <v>2</v>
      </c>
      <c r="BW40" s="87">
        <f t="shared" si="59"/>
        <v>-2</v>
      </c>
      <c r="BX40" s="87">
        <f t="shared" si="59"/>
        <v>-2</v>
      </c>
      <c r="BY40" s="87">
        <f t="shared" si="59"/>
        <v>2</v>
      </c>
      <c r="BZ40" s="87">
        <f t="shared" si="59"/>
        <v>1</v>
      </c>
      <c r="CA40" s="267">
        <f t="shared" si="59"/>
        <v>-2</v>
      </c>
      <c r="CB40" s="267">
        <f t="shared" si="59"/>
        <v>0</v>
      </c>
      <c r="CC40" s="267">
        <f t="shared" si="60"/>
        <v>-1</v>
      </c>
      <c r="CD40" s="267">
        <f t="shared" si="60"/>
        <v>-1</v>
      </c>
      <c r="CE40" s="309">
        <f t="shared" si="60"/>
        <v>4</v>
      </c>
      <c r="CF40" s="309">
        <f t="shared" si="60"/>
        <v>-1</v>
      </c>
      <c r="CG40" s="309">
        <f t="shared" si="60"/>
        <v>2</v>
      </c>
      <c r="CH40" s="309">
        <f t="shared" si="60"/>
        <v>-3</v>
      </c>
      <c r="CI40" s="309">
        <f t="shared" si="60"/>
        <v>1</v>
      </c>
      <c r="CJ40" s="309">
        <f t="shared" si="60"/>
        <v>0</v>
      </c>
      <c r="CK40" s="309">
        <f t="shared" si="60"/>
        <v>-2</v>
      </c>
      <c r="CL40" s="309">
        <f t="shared" si="60"/>
        <v>-2</v>
      </c>
      <c r="CM40" s="309">
        <f t="shared" si="61"/>
        <v>0</v>
      </c>
      <c r="CN40" s="309">
        <f t="shared" si="61"/>
        <v>1</v>
      </c>
      <c r="CO40" s="309">
        <f t="shared" si="61"/>
        <v>1</v>
      </c>
      <c r="CP40" s="309">
        <f t="shared" si="61"/>
        <v>2</v>
      </c>
      <c r="CQ40" s="309">
        <f t="shared" si="61"/>
        <v>-2</v>
      </c>
      <c r="CR40" s="309">
        <f t="shared" si="61"/>
        <v>-1</v>
      </c>
      <c r="CS40" s="309"/>
      <c r="CT40" s="348"/>
      <c r="CU40" s="67">
        <f>'MONTHLY SUMMARIES'!F28</f>
        <v>1</v>
      </c>
    </row>
    <row r="41" spans="1:99" s="76" customFormat="1" x14ac:dyDescent="0.3">
      <c r="A41" s="152"/>
      <c r="B41" s="63" t="s">
        <v>42</v>
      </c>
      <c r="C41" s="140">
        <f t="shared" ref="C41:Q41" si="62">SUM(C32:C40)</f>
        <v>770</v>
      </c>
      <c r="D41" s="141">
        <f t="shared" si="62"/>
        <v>894</v>
      </c>
      <c r="E41" s="141">
        <f t="shared" si="62"/>
        <v>781</v>
      </c>
      <c r="F41" s="141">
        <f t="shared" si="62"/>
        <v>659</v>
      </c>
      <c r="G41" s="141">
        <f t="shared" si="62"/>
        <v>792</v>
      </c>
      <c r="H41" s="141">
        <f t="shared" si="62"/>
        <v>612</v>
      </c>
      <c r="I41" s="141">
        <f t="shared" si="62"/>
        <v>778</v>
      </c>
      <c r="J41" s="141">
        <f t="shared" si="62"/>
        <v>940</v>
      </c>
      <c r="K41" s="141">
        <f t="shared" si="62"/>
        <v>1289</v>
      </c>
      <c r="L41" s="142">
        <f t="shared" si="62"/>
        <v>1084</v>
      </c>
      <c r="M41" s="141">
        <f t="shared" si="62"/>
        <v>942</v>
      </c>
      <c r="N41" s="141">
        <f t="shared" si="62"/>
        <v>966</v>
      </c>
      <c r="O41" s="141">
        <f t="shared" si="62"/>
        <v>951</v>
      </c>
      <c r="P41" s="141">
        <f t="shared" si="62"/>
        <v>1035</v>
      </c>
      <c r="Q41" s="141">
        <f t="shared" si="62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/>
      <c r="BA41" s="294"/>
      <c r="BB41" s="294"/>
      <c r="BC41" s="294"/>
      <c r="BD41" s="294"/>
      <c r="BE41" s="294"/>
      <c r="BF41" s="294"/>
      <c r="BG41" s="294"/>
      <c r="BH41" s="294"/>
      <c r="BI41" s="88">
        <f>SUM(BI32:BI40)</f>
        <v>181</v>
      </c>
      <c r="BJ41" s="143">
        <f t="shared" ref="BJ41:BL41" si="63">SUM(BJ32:BJ40)</f>
        <v>141</v>
      </c>
      <c r="BK41" s="143">
        <f t="shared" si="63"/>
        <v>158</v>
      </c>
      <c r="BL41" s="143">
        <f t="shared" si="63"/>
        <v>96</v>
      </c>
      <c r="BM41" s="143">
        <f t="shared" ref="BM41:BN41" si="64">SUM(BM32:BM40)</f>
        <v>178</v>
      </c>
      <c r="BN41" s="143">
        <f t="shared" si="64"/>
        <v>70</v>
      </c>
      <c r="BO41" s="143">
        <f t="shared" ref="BO41:BP41" si="65">SUM(BO32:BO40)</f>
        <v>-39</v>
      </c>
      <c r="BP41" s="143">
        <f t="shared" si="65"/>
        <v>-19</v>
      </c>
      <c r="BQ41" s="143">
        <f t="shared" ref="BQ41:BR41" si="66">SUM(BQ32:BQ40)</f>
        <v>-43</v>
      </c>
      <c r="BR41" s="143">
        <f t="shared" si="66"/>
        <v>-81</v>
      </c>
      <c r="BS41" s="143">
        <f t="shared" ref="BS41:BT41" si="67">SUM(BS32:BS40)</f>
        <v>-161</v>
      </c>
      <c r="BT41" s="143">
        <f t="shared" si="67"/>
        <v>-218</v>
      </c>
      <c r="BU41" s="143">
        <f t="shared" ref="BU41:BV41" si="68">SUM(BU32:BU40)</f>
        <v>-304</v>
      </c>
      <c r="BV41" s="143">
        <f t="shared" si="68"/>
        <v>-306</v>
      </c>
      <c r="BW41" s="143">
        <f t="shared" ref="BW41:BX41" si="69">SUM(BW32:BW40)</f>
        <v>-315</v>
      </c>
      <c r="BX41" s="143">
        <f t="shared" si="69"/>
        <v>-79</v>
      </c>
      <c r="BY41" s="143">
        <f t="shared" ref="BY41:BZ41" si="70">SUM(BY32:BY40)</f>
        <v>-239</v>
      </c>
      <c r="BZ41" s="143">
        <f t="shared" si="70"/>
        <v>-38</v>
      </c>
      <c r="CA41" s="268">
        <f t="shared" ref="CA41:CB41" si="71">SUM(CA32:CA40)</f>
        <v>10</v>
      </c>
      <c r="CB41" s="268">
        <f t="shared" si="71"/>
        <v>79</v>
      </c>
      <c r="CC41" s="268">
        <f t="shared" ref="CC41:CE41" si="72">SUM(CC32:CC40)</f>
        <v>-352</v>
      </c>
      <c r="CD41" s="268">
        <f t="shared" si="72"/>
        <v>-174</v>
      </c>
      <c r="CE41" s="310">
        <f t="shared" si="72"/>
        <v>236</v>
      </c>
      <c r="CF41" s="310">
        <f t="shared" ref="CF41:CG41" si="73">SUM(CF32:CF40)</f>
        <v>119</v>
      </c>
      <c r="CG41" s="310">
        <f t="shared" si="73"/>
        <v>173</v>
      </c>
      <c r="CH41" s="310">
        <f t="shared" ref="CH41:CI41" si="74">SUM(CH32:CH40)</f>
        <v>-224</v>
      </c>
      <c r="CI41" s="310">
        <f t="shared" si="74"/>
        <v>-9</v>
      </c>
      <c r="CJ41" s="310">
        <f t="shared" ref="CJ41" si="75">SUM(CJ32:CJ40)</f>
        <v>71</v>
      </c>
      <c r="CK41" s="310">
        <f t="shared" ref="CK41" si="76">SUM(CK32:CK40)</f>
        <v>177</v>
      </c>
      <c r="CL41" s="310">
        <f t="shared" ref="CL41" si="77">SUM(CL32:CL40)</f>
        <v>8</v>
      </c>
      <c r="CM41" s="310">
        <f t="shared" ref="CM41" si="78">SUM(CM32:CM40)</f>
        <v>106</v>
      </c>
      <c r="CN41" s="310">
        <f t="shared" ref="CN41" si="79">SUM(CN32:CN40)</f>
        <v>-81</v>
      </c>
      <c r="CO41" s="310">
        <f t="shared" ref="CO41" si="80">SUM(CO32:CO40)</f>
        <v>57</v>
      </c>
      <c r="CP41" s="310">
        <f t="shared" ref="CP41" si="81">SUM(CP32:CP40)</f>
        <v>-26</v>
      </c>
      <c r="CQ41" s="310">
        <f t="shared" ref="CQ41:CS41" si="82">SUM(CQ32:CQ40)</f>
        <v>-254</v>
      </c>
      <c r="CR41" s="310">
        <f t="shared" ref="CR41" si="83">SUM(CR32:CR40)</f>
        <v>131</v>
      </c>
      <c r="CS41" s="310"/>
      <c r="CT41" s="349"/>
      <c r="CU41" s="262">
        <f>CU32+CU35+CU38+CU39+CU40</f>
        <v>836</v>
      </c>
    </row>
    <row r="42" spans="1:9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48"/>
      <c r="CU42" s="93"/>
    </row>
    <row r="43" spans="1:99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/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R43" si="84">O43-C43</f>
        <v>98</v>
      </c>
      <c r="BJ43" s="87">
        <f t="shared" si="84"/>
        <v>197</v>
      </c>
      <c r="BK43" s="87">
        <f t="shared" si="84"/>
        <v>96</v>
      </c>
      <c r="BL43" s="87">
        <f t="shared" si="84"/>
        <v>89</v>
      </c>
      <c r="BM43" s="87">
        <f t="shared" si="84"/>
        <v>56</v>
      </c>
      <c r="BN43" s="87">
        <f t="shared" si="84"/>
        <v>-25</v>
      </c>
      <c r="BO43" s="87">
        <f t="shared" si="84"/>
        <v>57</v>
      </c>
      <c r="BP43" s="87">
        <f t="shared" si="84"/>
        <v>18</v>
      </c>
      <c r="BQ43" s="87">
        <f t="shared" si="84"/>
        <v>106</v>
      </c>
      <c r="BR43" s="87">
        <f t="shared" si="84"/>
        <v>-32</v>
      </c>
      <c r="BS43" s="87">
        <f t="shared" si="84"/>
        <v>-53</v>
      </c>
      <c r="BT43" s="87">
        <f t="shared" si="84"/>
        <v>64</v>
      </c>
      <c r="BU43" s="87">
        <f t="shared" si="84"/>
        <v>-77</v>
      </c>
      <c r="BV43" s="87">
        <f t="shared" si="84"/>
        <v>-170</v>
      </c>
      <c r="BW43" s="87">
        <f t="shared" si="84"/>
        <v>-125</v>
      </c>
      <c r="BX43" s="87">
        <f t="shared" si="84"/>
        <v>-73</v>
      </c>
      <c r="BY43" s="87">
        <f t="shared" si="84"/>
        <v>-73</v>
      </c>
      <c r="BZ43" s="87">
        <f t="shared" si="84"/>
        <v>-42</v>
      </c>
      <c r="CA43" s="267">
        <f t="shared" si="84"/>
        <v>-50</v>
      </c>
      <c r="CB43" s="267">
        <f t="shared" si="84"/>
        <v>-82</v>
      </c>
      <c r="CC43" s="267">
        <f t="shared" si="84"/>
        <v>-69</v>
      </c>
      <c r="CD43" s="267">
        <f t="shared" si="84"/>
        <v>-20</v>
      </c>
      <c r="CE43" s="309">
        <f t="shared" si="84"/>
        <v>-35</v>
      </c>
      <c r="CF43" s="309">
        <f t="shared" si="84"/>
        <v>-32</v>
      </c>
      <c r="CG43" s="309">
        <f t="shared" si="84"/>
        <v>-4</v>
      </c>
      <c r="CH43" s="309">
        <f t="shared" si="84"/>
        <v>32</v>
      </c>
      <c r="CI43" s="309">
        <f t="shared" si="84"/>
        <v>-11</v>
      </c>
      <c r="CJ43" s="309">
        <f t="shared" si="84"/>
        <v>-9</v>
      </c>
      <c r="CK43" s="309">
        <f t="shared" si="84"/>
        <v>-24</v>
      </c>
      <c r="CL43" s="309">
        <f t="shared" si="84"/>
        <v>21</v>
      </c>
      <c r="CM43" s="309">
        <f t="shared" si="84"/>
        <v>-22</v>
      </c>
      <c r="CN43" s="309">
        <f t="shared" si="84"/>
        <v>-33</v>
      </c>
      <c r="CO43" s="309">
        <f t="shared" si="84"/>
        <v>-22</v>
      </c>
      <c r="CP43" s="309">
        <f t="shared" si="84"/>
        <v>-2</v>
      </c>
      <c r="CQ43" s="309">
        <f t="shared" si="84"/>
        <v>-36</v>
      </c>
      <c r="CR43" s="309">
        <f t="shared" si="84"/>
        <v>3</v>
      </c>
      <c r="CS43" s="309"/>
      <c r="CT43" s="348"/>
      <c r="CU43" s="67">
        <f>'MONTHLY SUMMARIES'!F31</f>
        <v>212</v>
      </c>
    </row>
    <row r="44" spans="1:99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/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48"/>
      <c r="CU44" s="67">
        <f>GETPIVOTDATA("VALUE",'CSS ESCO pvt'!$I$3,"DATE_FILE",$CU$8,"COMPANY",$CU$6,"TRIM_CAT","Residential-GRID","TRIM_LINE",$A42)</f>
        <v>35</v>
      </c>
    </row>
    <row r="45" spans="1:99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/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48"/>
      <c r="CU45" s="81">
        <f>CU43-CU44</f>
        <v>177</v>
      </c>
    </row>
    <row r="46" spans="1:99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/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R46" si="85">O46-C46</f>
        <v>-4</v>
      </c>
      <c r="BJ46" s="87">
        <f t="shared" si="85"/>
        <v>3</v>
      </c>
      <c r="BK46" s="87">
        <f t="shared" si="85"/>
        <v>-1</v>
      </c>
      <c r="BL46" s="87">
        <f t="shared" si="85"/>
        <v>0</v>
      </c>
      <c r="BM46" s="87">
        <f t="shared" si="85"/>
        <v>2</v>
      </c>
      <c r="BN46" s="87">
        <f t="shared" si="85"/>
        <v>-1</v>
      </c>
      <c r="BO46" s="87">
        <f t="shared" si="85"/>
        <v>0</v>
      </c>
      <c r="BP46" s="87">
        <f t="shared" si="85"/>
        <v>-7</v>
      </c>
      <c r="BQ46" s="87">
        <f t="shared" si="85"/>
        <v>-1</v>
      </c>
      <c r="BR46" s="87">
        <f t="shared" si="85"/>
        <v>-2</v>
      </c>
      <c r="BS46" s="87">
        <f t="shared" si="85"/>
        <v>-2</v>
      </c>
      <c r="BT46" s="87">
        <f t="shared" si="85"/>
        <v>-5</v>
      </c>
      <c r="BU46" s="87">
        <f t="shared" si="85"/>
        <v>2</v>
      </c>
      <c r="BV46" s="87">
        <f t="shared" si="85"/>
        <v>-2</v>
      </c>
      <c r="BW46" s="87">
        <f t="shared" si="85"/>
        <v>-1</v>
      </c>
      <c r="BX46" s="87">
        <f t="shared" si="85"/>
        <v>-4</v>
      </c>
      <c r="BY46" s="87">
        <f t="shared" si="85"/>
        <v>-4</v>
      </c>
      <c r="BZ46" s="87">
        <f t="shared" si="85"/>
        <v>1</v>
      </c>
      <c r="CA46" s="267">
        <f t="shared" si="85"/>
        <v>0</v>
      </c>
      <c r="CB46" s="267">
        <f t="shared" si="85"/>
        <v>3</v>
      </c>
      <c r="CC46" s="267">
        <f t="shared" si="85"/>
        <v>-1</v>
      </c>
      <c r="CD46" s="267">
        <f t="shared" si="85"/>
        <v>-5</v>
      </c>
      <c r="CE46" s="309">
        <f t="shared" si="85"/>
        <v>0</v>
      </c>
      <c r="CF46" s="309">
        <f t="shared" si="85"/>
        <v>1</v>
      </c>
      <c r="CG46" s="309">
        <f t="shared" si="85"/>
        <v>-3</v>
      </c>
      <c r="CH46" s="309">
        <f t="shared" si="85"/>
        <v>-2</v>
      </c>
      <c r="CI46" s="309">
        <f t="shared" si="85"/>
        <v>1</v>
      </c>
      <c r="CJ46" s="309">
        <f t="shared" si="85"/>
        <v>1</v>
      </c>
      <c r="CK46" s="309">
        <f t="shared" si="85"/>
        <v>3</v>
      </c>
      <c r="CL46" s="309">
        <f t="shared" si="85"/>
        <v>-3</v>
      </c>
      <c r="CM46" s="309">
        <f t="shared" si="85"/>
        <v>-1</v>
      </c>
      <c r="CN46" s="309">
        <f t="shared" si="85"/>
        <v>-4</v>
      </c>
      <c r="CO46" s="309">
        <f t="shared" si="85"/>
        <v>5</v>
      </c>
      <c r="CP46" s="309">
        <f t="shared" si="85"/>
        <v>5</v>
      </c>
      <c r="CQ46" s="309">
        <f t="shared" si="85"/>
        <v>3</v>
      </c>
      <c r="CR46" s="309">
        <f t="shared" si="85"/>
        <v>4</v>
      </c>
      <c r="CS46" s="309"/>
      <c r="CT46" s="348"/>
      <c r="CU46" s="67">
        <f>'MONTHLY SUMMARIES'!F32</f>
        <v>9</v>
      </c>
    </row>
    <row r="47" spans="1:99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/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48"/>
      <c r="CU47" s="67">
        <f>GETPIVOTDATA("VALUE",'CSS ESCO pvt'!$I$3,"DATE_FILE",$CU$8,"COMPANY",$CU$6,"TRIM_CAT","Low Income Residential-GRID","TRIM_LINE",$A42)</f>
        <v>1</v>
      </c>
    </row>
    <row r="48" spans="1:99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/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48"/>
      <c r="CU48" s="81">
        <f>CU46-CU47</f>
        <v>8</v>
      </c>
    </row>
    <row r="49" spans="1:99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/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86">O49-C49</f>
        <v>-20</v>
      </c>
      <c r="BJ49" s="87">
        <f t="shared" si="86"/>
        <v>48</v>
      </c>
      <c r="BK49" s="87">
        <f t="shared" si="86"/>
        <v>17</v>
      </c>
      <c r="BL49" s="87">
        <f t="shared" si="86"/>
        <v>12</v>
      </c>
      <c r="BM49" s="87">
        <f t="shared" si="86"/>
        <v>0</v>
      </c>
      <c r="BN49" s="87">
        <f t="shared" si="86"/>
        <v>-31</v>
      </c>
      <c r="BO49" s="87">
        <f t="shared" si="86"/>
        <v>-9</v>
      </c>
      <c r="BP49" s="87">
        <f t="shared" si="86"/>
        <v>9</v>
      </c>
      <c r="BQ49" s="87">
        <f t="shared" si="86"/>
        <v>2</v>
      </c>
      <c r="BR49" s="87">
        <f t="shared" si="86"/>
        <v>-5</v>
      </c>
      <c r="BS49" s="87">
        <f t="shared" ref="BS49:CB51" si="87">Y49-M49</f>
        <v>-10</v>
      </c>
      <c r="BT49" s="87">
        <f t="shared" si="87"/>
        <v>-8</v>
      </c>
      <c r="BU49" s="87">
        <f t="shared" si="87"/>
        <v>-13</v>
      </c>
      <c r="BV49" s="87">
        <f t="shared" si="87"/>
        <v>-43</v>
      </c>
      <c r="BW49" s="87">
        <f t="shared" si="87"/>
        <v>-32</v>
      </c>
      <c r="BX49" s="87">
        <f t="shared" si="87"/>
        <v>-17</v>
      </c>
      <c r="BY49" s="87">
        <f t="shared" si="87"/>
        <v>4</v>
      </c>
      <c r="BZ49" s="87">
        <f t="shared" si="87"/>
        <v>-5</v>
      </c>
      <c r="CA49" s="267">
        <f t="shared" si="87"/>
        <v>2</v>
      </c>
      <c r="CB49" s="267">
        <f t="shared" si="87"/>
        <v>-19</v>
      </c>
      <c r="CC49" s="267">
        <f t="shared" ref="CC49:CL51" si="88">AI49-W49</f>
        <v>-7</v>
      </c>
      <c r="CD49" s="267">
        <f t="shared" si="88"/>
        <v>36</v>
      </c>
      <c r="CE49" s="309">
        <f t="shared" si="88"/>
        <v>6</v>
      </c>
      <c r="CF49" s="309">
        <f t="shared" si="88"/>
        <v>-1</v>
      </c>
      <c r="CG49" s="309">
        <f t="shared" si="88"/>
        <v>29</v>
      </c>
      <c r="CH49" s="309">
        <f t="shared" si="88"/>
        <v>3</v>
      </c>
      <c r="CI49" s="309">
        <f t="shared" si="88"/>
        <v>19</v>
      </c>
      <c r="CJ49" s="309">
        <f t="shared" si="88"/>
        <v>0</v>
      </c>
      <c r="CK49" s="309">
        <f t="shared" si="88"/>
        <v>81</v>
      </c>
      <c r="CL49" s="309">
        <f t="shared" si="88"/>
        <v>9</v>
      </c>
      <c r="CM49" s="309">
        <f t="shared" ref="CM49:CR51" si="89">AS49-AG49</f>
        <v>7</v>
      </c>
      <c r="CN49" s="309">
        <f t="shared" si="89"/>
        <v>12</v>
      </c>
      <c r="CO49" s="309">
        <f t="shared" si="89"/>
        <v>74</v>
      </c>
      <c r="CP49" s="309">
        <f t="shared" si="89"/>
        <v>14</v>
      </c>
      <c r="CQ49" s="309">
        <f t="shared" si="89"/>
        <v>-8</v>
      </c>
      <c r="CR49" s="309">
        <f t="shared" si="89"/>
        <v>3</v>
      </c>
      <c r="CS49" s="309"/>
      <c r="CT49" s="348"/>
      <c r="CU49" s="67">
        <f>'MONTHLY SUMMARIES'!F33</f>
        <v>13</v>
      </c>
    </row>
    <row r="50" spans="1:99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/>
      <c r="BA50" s="293"/>
      <c r="BB50" s="293"/>
      <c r="BC50" s="293"/>
      <c r="BD50" s="293"/>
      <c r="BE50" s="293"/>
      <c r="BF50" s="293"/>
      <c r="BG50" s="293"/>
      <c r="BH50" s="293"/>
      <c r="BI50" s="86">
        <f t="shared" si="86"/>
        <v>-4</v>
      </c>
      <c r="BJ50" s="87">
        <f t="shared" si="86"/>
        <v>12</v>
      </c>
      <c r="BK50" s="87">
        <f t="shared" si="86"/>
        <v>2</v>
      </c>
      <c r="BL50" s="87">
        <f t="shared" si="86"/>
        <v>-1</v>
      </c>
      <c r="BM50" s="87">
        <f t="shared" si="86"/>
        <v>-1</v>
      </c>
      <c r="BN50" s="87">
        <f t="shared" si="86"/>
        <v>0</v>
      </c>
      <c r="BO50" s="87">
        <f t="shared" si="86"/>
        <v>1</v>
      </c>
      <c r="BP50" s="87">
        <f t="shared" si="86"/>
        <v>2</v>
      </c>
      <c r="BQ50" s="87">
        <f t="shared" si="86"/>
        <v>-1</v>
      </c>
      <c r="BR50" s="87">
        <f t="shared" si="86"/>
        <v>1</v>
      </c>
      <c r="BS50" s="87">
        <f t="shared" si="87"/>
        <v>-2</v>
      </c>
      <c r="BT50" s="87">
        <f t="shared" si="87"/>
        <v>-2</v>
      </c>
      <c r="BU50" s="87">
        <f t="shared" si="87"/>
        <v>1</v>
      </c>
      <c r="BV50" s="87">
        <f t="shared" si="87"/>
        <v>-10</v>
      </c>
      <c r="BW50" s="87">
        <f t="shared" si="87"/>
        <v>-3</v>
      </c>
      <c r="BX50" s="87">
        <f t="shared" si="87"/>
        <v>1</v>
      </c>
      <c r="BY50" s="87">
        <f t="shared" si="87"/>
        <v>-1</v>
      </c>
      <c r="BZ50" s="87">
        <f t="shared" si="87"/>
        <v>-2</v>
      </c>
      <c r="CA50" s="267">
        <f t="shared" si="87"/>
        <v>0</v>
      </c>
      <c r="CB50" s="267">
        <f t="shared" si="87"/>
        <v>-1</v>
      </c>
      <c r="CC50" s="267">
        <f t="shared" si="88"/>
        <v>-1</v>
      </c>
      <c r="CD50" s="267">
        <f t="shared" si="88"/>
        <v>1</v>
      </c>
      <c r="CE50" s="309">
        <f t="shared" si="88"/>
        <v>0</v>
      </c>
      <c r="CF50" s="309">
        <f t="shared" si="88"/>
        <v>3</v>
      </c>
      <c r="CG50" s="309">
        <f t="shared" si="88"/>
        <v>3</v>
      </c>
      <c r="CH50" s="309">
        <f t="shared" si="88"/>
        <v>2</v>
      </c>
      <c r="CI50" s="309">
        <f t="shared" si="88"/>
        <v>1</v>
      </c>
      <c r="CJ50" s="309">
        <f t="shared" si="88"/>
        <v>1</v>
      </c>
      <c r="CK50" s="309">
        <f t="shared" si="88"/>
        <v>1</v>
      </c>
      <c r="CL50" s="309">
        <f t="shared" si="88"/>
        <v>-1</v>
      </c>
      <c r="CM50" s="309">
        <f t="shared" si="89"/>
        <v>0</v>
      </c>
      <c r="CN50" s="309">
        <f t="shared" si="89"/>
        <v>0</v>
      </c>
      <c r="CO50" s="309">
        <f t="shared" si="89"/>
        <v>-1</v>
      </c>
      <c r="CP50" s="309">
        <f t="shared" si="89"/>
        <v>-1</v>
      </c>
      <c r="CQ50" s="309">
        <f t="shared" si="89"/>
        <v>1</v>
      </c>
      <c r="CR50" s="309">
        <f t="shared" si="89"/>
        <v>-2</v>
      </c>
      <c r="CS50" s="309"/>
      <c r="CT50" s="348"/>
      <c r="CU50" s="67">
        <f>'MONTHLY SUMMARIES'!F34</f>
        <v>0</v>
      </c>
    </row>
    <row r="51" spans="1:99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/>
      <c r="BA51" s="293"/>
      <c r="BB51" s="293"/>
      <c r="BC51" s="293"/>
      <c r="BD51" s="293"/>
      <c r="BE51" s="293"/>
      <c r="BF51" s="293"/>
      <c r="BG51" s="293"/>
      <c r="BH51" s="293"/>
      <c r="BI51" s="86">
        <f t="shared" si="86"/>
        <v>2</v>
      </c>
      <c r="BJ51" s="87">
        <f t="shared" si="86"/>
        <v>2</v>
      </c>
      <c r="BK51" s="87">
        <f t="shared" si="86"/>
        <v>2</v>
      </c>
      <c r="BL51" s="87">
        <f t="shared" si="86"/>
        <v>0</v>
      </c>
      <c r="BM51" s="87">
        <f t="shared" si="86"/>
        <v>0</v>
      </c>
      <c r="BN51" s="87">
        <f t="shared" si="86"/>
        <v>0</v>
      </c>
      <c r="BO51" s="87">
        <f t="shared" si="86"/>
        <v>0</v>
      </c>
      <c r="BP51" s="87">
        <f t="shared" si="86"/>
        <v>2</v>
      </c>
      <c r="BQ51" s="87">
        <f t="shared" si="86"/>
        <v>1</v>
      </c>
      <c r="BR51" s="87">
        <f t="shared" si="86"/>
        <v>1</v>
      </c>
      <c r="BS51" s="87">
        <f t="shared" si="87"/>
        <v>0</v>
      </c>
      <c r="BT51" s="87">
        <f t="shared" si="87"/>
        <v>0</v>
      </c>
      <c r="BU51" s="87">
        <f t="shared" si="87"/>
        <v>-1</v>
      </c>
      <c r="BV51" s="87">
        <f t="shared" si="87"/>
        <v>-2</v>
      </c>
      <c r="BW51" s="87">
        <f t="shared" si="87"/>
        <v>-1</v>
      </c>
      <c r="BX51" s="87">
        <f t="shared" si="87"/>
        <v>1</v>
      </c>
      <c r="BY51" s="87">
        <f t="shared" si="87"/>
        <v>0</v>
      </c>
      <c r="BZ51" s="87">
        <f t="shared" si="87"/>
        <v>1</v>
      </c>
      <c r="CA51" s="267">
        <f t="shared" si="87"/>
        <v>0</v>
      </c>
      <c r="CB51" s="267">
        <f t="shared" si="87"/>
        <v>0</v>
      </c>
      <c r="CC51" s="267">
        <f t="shared" si="88"/>
        <v>0</v>
      </c>
      <c r="CD51" s="267">
        <f t="shared" si="88"/>
        <v>-1</v>
      </c>
      <c r="CE51" s="309">
        <f t="shared" si="88"/>
        <v>0</v>
      </c>
      <c r="CF51" s="309">
        <f t="shared" si="88"/>
        <v>1</v>
      </c>
      <c r="CG51" s="309">
        <f t="shared" si="88"/>
        <v>-1</v>
      </c>
      <c r="CH51" s="309">
        <f t="shared" si="88"/>
        <v>0</v>
      </c>
      <c r="CI51" s="309">
        <f t="shared" si="88"/>
        <v>-1</v>
      </c>
      <c r="CJ51" s="309">
        <f t="shared" si="88"/>
        <v>0</v>
      </c>
      <c r="CK51" s="309">
        <f t="shared" si="88"/>
        <v>-1</v>
      </c>
      <c r="CL51" s="309">
        <f t="shared" si="88"/>
        <v>-1</v>
      </c>
      <c r="CM51" s="309">
        <f t="shared" si="89"/>
        <v>2</v>
      </c>
      <c r="CN51" s="309">
        <f t="shared" si="89"/>
        <v>-2</v>
      </c>
      <c r="CO51" s="309">
        <f t="shared" si="89"/>
        <v>-1</v>
      </c>
      <c r="CP51" s="309">
        <f t="shared" si="89"/>
        <v>1</v>
      </c>
      <c r="CQ51" s="309">
        <f t="shared" si="89"/>
        <v>1</v>
      </c>
      <c r="CR51" s="309">
        <f t="shared" si="89"/>
        <v>-1</v>
      </c>
      <c r="CS51" s="309"/>
      <c r="CT51" s="348"/>
      <c r="CU51" s="67">
        <f>'MONTHLY SUMMARIES'!F35</f>
        <v>2</v>
      </c>
    </row>
    <row r="52" spans="1:99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90">SUM(D43:D51)</f>
        <v>204</v>
      </c>
      <c r="E52" s="141">
        <f t="shared" si="90"/>
        <v>239</v>
      </c>
      <c r="F52" s="141">
        <f t="shared" si="90"/>
        <v>201</v>
      </c>
      <c r="G52" s="141">
        <f t="shared" si="90"/>
        <v>193</v>
      </c>
      <c r="H52" s="141">
        <f t="shared" si="90"/>
        <v>251</v>
      </c>
      <c r="I52" s="141">
        <f t="shared" si="90"/>
        <v>198</v>
      </c>
      <c r="J52" s="141">
        <f t="shared" si="90"/>
        <v>265</v>
      </c>
      <c r="K52" s="141">
        <f t="shared" si="90"/>
        <v>227</v>
      </c>
      <c r="L52" s="142">
        <f t="shared" si="90"/>
        <v>309</v>
      </c>
      <c r="M52" s="141">
        <f t="shared" si="90"/>
        <v>290</v>
      </c>
      <c r="N52" s="141">
        <f t="shared" si="90"/>
        <v>193</v>
      </c>
      <c r="O52" s="141">
        <f t="shared" si="90"/>
        <v>300</v>
      </c>
      <c r="P52" s="141">
        <f t="shared" si="90"/>
        <v>466</v>
      </c>
      <c r="Q52" s="141">
        <f t="shared" si="90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/>
      <c r="BA52" s="294"/>
      <c r="BB52" s="294"/>
      <c r="BC52" s="294"/>
      <c r="BD52" s="294"/>
      <c r="BE52" s="294"/>
      <c r="BF52" s="294"/>
      <c r="BG52" s="294"/>
      <c r="BH52" s="294"/>
      <c r="BI52" s="88">
        <f>SUM(BI43:BI51)</f>
        <v>72</v>
      </c>
      <c r="BJ52" s="143">
        <f t="shared" ref="BJ52" si="91">SUM(BJ43:BJ51)</f>
        <v>262</v>
      </c>
      <c r="BK52" s="143">
        <f t="shared" ref="BK52:BP52" si="92">SUM(BK43:BK51)</f>
        <v>116</v>
      </c>
      <c r="BL52" s="143">
        <f t="shared" si="92"/>
        <v>100</v>
      </c>
      <c r="BM52" s="143">
        <f t="shared" si="92"/>
        <v>57</v>
      </c>
      <c r="BN52" s="143">
        <f t="shared" si="92"/>
        <v>-57</v>
      </c>
      <c r="BO52" s="143">
        <f t="shared" si="92"/>
        <v>49</v>
      </c>
      <c r="BP52" s="143">
        <f t="shared" si="92"/>
        <v>24</v>
      </c>
      <c r="BQ52" s="143">
        <f t="shared" ref="BQ52:BR52" si="93">SUM(BQ43:BQ51)</f>
        <v>107</v>
      </c>
      <c r="BR52" s="143">
        <f t="shared" si="93"/>
        <v>-37</v>
      </c>
      <c r="BS52" s="143">
        <f t="shared" ref="BS52:BT52" si="94">SUM(BS43:BS51)</f>
        <v>-67</v>
      </c>
      <c r="BT52" s="143">
        <f t="shared" si="94"/>
        <v>49</v>
      </c>
      <c r="BU52" s="143">
        <f t="shared" ref="BU52:BV52" si="95">SUM(BU43:BU51)</f>
        <v>-88</v>
      </c>
      <c r="BV52" s="143">
        <f t="shared" si="95"/>
        <v>-227</v>
      </c>
      <c r="BW52" s="143">
        <f t="shared" ref="BW52:BX52" si="96">SUM(BW43:BW51)</f>
        <v>-162</v>
      </c>
      <c r="BX52" s="143">
        <f t="shared" si="96"/>
        <v>-92</v>
      </c>
      <c r="BY52" s="143">
        <f t="shared" ref="BY52:BZ52" si="97">SUM(BY43:BY51)</f>
        <v>-74</v>
      </c>
      <c r="BZ52" s="143">
        <f t="shared" si="97"/>
        <v>-47</v>
      </c>
      <c r="CA52" s="268">
        <f t="shared" ref="CA52:CB52" si="98">SUM(CA43:CA51)</f>
        <v>-48</v>
      </c>
      <c r="CB52" s="268">
        <f t="shared" si="98"/>
        <v>-99</v>
      </c>
      <c r="CC52" s="268">
        <f t="shared" ref="CC52:CE52" si="99">SUM(CC43:CC51)</f>
        <v>-78</v>
      </c>
      <c r="CD52" s="268">
        <f t="shared" si="99"/>
        <v>11</v>
      </c>
      <c r="CE52" s="310">
        <f t="shared" si="99"/>
        <v>-29</v>
      </c>
      <c r="CF52" s="310">
        <f t="shared" ref="CF52:CG52" si="100">SUM(CF43:CF51)</f>
        <v>-28</v>
      </c>
      <c r="CG52" s="310">
        <f t="shared" si="100"/>
        <v>24</v>
      </c>
      <c r="CH52" s="310">
        <f t="shared" ref="CH52:CI52" si="101">SUM(CH43:CH51)</f>
        <v>35</v>
      </c>
      <c r="CI52" s="310">
        <f t="shared" si="101"/>
        <v>9</v>
      </c>
      <c r="CJ52" s="310">
        <f t="shared" ref="CJ52" si="102">SUM(CJ43:CJ51)</f>
        <v>-7</v>
      </c>
      <c r="CK52" s="310">
        <f t="shared" ref="CK52" si="103">SUM(CK43:CK51)</f>
        <v>60</v>
      </c>
      <c r="CL52" s="310">
        <f t="shared" ref="CL52" si="104">SUM(CL43:CL51)</f>
        <v>25</v>
      </c>
      <c r="CM52" s="310">
        <f t="shared" ref="CM52" si="105">SUM(CM43:CM51)</f>
        <v>-14</v>
      </c>
      <c r="CN52" s="310">
        <f t="shared" ref="CN52" si="106">SUM(CN43:CN51)</f>
        <v>-27</v>
      </c>
      <c r="CO52" s="310">
        <f t="shared" ref="CO52" si="107">SUM(CO43:CO51)</f>
        <v>55</v>
      </c>
      <c r="CP52" s="310">
        <f t="shared" ref="CP52" si="108">SUM(CP43:CP51)</f>
        <v>17</v>
      </c>
      <c r="CQ52" s="310">
        <f t="shared" ref="CQ52:CS52" si="109">SUM(CQ43:CQ51)</f>
        <v>-39</v>
      </c>
      <c r="CR52" s="310">
        <f t="shared" ref="CR52" si="110">SUM(CR43:CR51)</f>
        <v>7</v>
      </c>
      <c r="CS52" s="310"/>
      <c r="CT52" s="349"/>
      <c r="CU52" s="262">
        <f>CU43+CU46+CU49+CU50+CU51</f>
        <v>236</v>
      </c>
    </row>
    <row r="53" spans="1:9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48"/>
      <c r="CU53" s="93"/>
    </row>
    <row r="54" spans="1:99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/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R54" si="111">O54-C54</f>
        <v>76</v>
      </c>
      <c r="BJ54" s="87">
        <f t="shared" si="111"/>
        <v>165</v>
      </c>
      <c r="BK54" s="87">
        <f t="shared" si="111"/>
        <v>276</v>
      </c>
      <c r="BL54" s="87">
        <f t="shared" si="111"/>
        <v>339</v>
      </c>
      <c r="BM54" s="87">
        <f t="shared" si="111"/>
        <v>325</v>
      </c>
      <c r="BN54" s="87">
        <f t="shared" si="111"/>
        <v>343</v>
      </c>
      <c r="BO54" s="87">
        <f t="shared" si="111"/>
        <v>323</v>
      </c>
      <c r="BP54" s="87">
        <f t="shared" si="111"/>
        <v>306</v>
      </c>
      <c r="BQ54" s="87">
        <f t="shared" si="111"/>
        <v>265</v>
      </c>
      <c r="BR54" s="87">
        <f t="shared" si="111"/>
        <v>310</v>
      </c>
      <c r="BS54" s="87">
        <f t="shared" si="111"/>
        <v>287</v>
      </c>
      <c r="BT54" s="87">
        <f t="shared" si="111"/>
        <v>245</v>
      </c>
      <c r="BU54" s="87">
        <f t="shared" si="111"/>
        <v>228</v>
      </c>
      <c r="BV54" s="87">
        <f t="shared" si="111"/>
        <v>65</v>
      </c>
      <c r="BW54" s="87">
        <f t="shared" si="111"/>
        <v>-51</v>
      </c>
      <c r="BX54" s="87">
        <f t="shared" si="111"/>
        <v>-151</v>
      </c>
      <c r="BY54" s="87">
        <f t="shared" si="111"/>
        <v>-170</v>
      </c>
      <c r="BZ54" s="87">
        <f t="shared" si="111"/>
        <v>-180</v>
      </c>
      <c r="CA54" s="267">
        <f t="shared" si="111"/>
        <v>-207</v>
      </c>
      <c r="CB54" s="267">
        <f t="shared" si="111"/>
        <v>-185</v>
      </c>
      <c r="CC54" s="267">
        <f t="shared" si="111"/>
        <v>-176</v>
      </c>
      <c r="CD54" s="267">
        <f t="shared" si="111"/>
        <v>-184</v>
      </c>
      <c r="CE54" s="309">
        <f t="shared" si="111"/>
        <v>-212</v>
      </c>
      <c r="CF54" s="309">
        <f t="shared" si="111"/>
        <v>-182</v>
      </c>
      <c r="CG54" s="309">
        <f t="shared" si="111"/>
        <v>-199</v>
      </c>
      <c r="CH54" s="309">
        <f t="shared" si="111"/>
        <v>-172</v>
      </c>
      <c r="CI54" s="309">
        <f t="shared" si="111"/>
        <v>-168</v>
      </c>
      <c r="CJ54" s="309">
        <f t="shared" si="111"/>
        <v>-157</v>
      </c>
      <c r="CK54" s="309">
        <f t="shared" si="111"/>
        <v>-129</v>
      </c>
      <c r="CL54" s="309">
        <f t="shared" si="111"/>
        <v>-90</v>
      </c>
      <c r="CM54" s="309">
        <f t="shared" si="111"/>
        <v>-57</v>
      </c>
      <c r="CN54" s="309">
        <f t="shared" si="111"/>
        <v>-71</v>
      </c>
      <c r="CO54" s="309">
        <f t="shared" si="111"/>
        <v>-73</v>
      </c>
      <c r="CP54" s="309">
        <f t="shared" si="111"/>
        <v>-108</v>
      </c>
      <c r="CQ54" s="309">
        <f t="shared" si="111"/>
        <v>-92</v>
      </c>
      <c r="CR54" s="309">
        <f t="shared" si="111"/>
        <v>-83</v>
      </c>
      <c r="CS54" s="309"/>
      <c r="CT54" s="348"/>
      <c r="CU54" s="67">
        <f>'MONTHLY SUMMARIES'!F38</f>
        <v>263</v>
      </c>
    </row>
    <row r="55" spans="1:99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/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48"/>
      <c r="CU55" s="67">
        <f>GETPIVOTDATA("VALUE",'CSS ESCO pvt'!$I$3,"DATE_FILE",$CU$8,"COMPANY",$CU$6,"TRIM_CAT","Residential-GRID","TRIM_LINE",$A53)</f>
        <v>55</v>
      </c>
    </row>
    <row r="56" spans="1:99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/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48"/>
      <c r="CU56" s="81">
        <f>CU54-CU55</f>
        <v>208</v>
      </c>
    </row>
    <row r="57" spans="1:99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/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R57" si="112">O57-C57</f>
        <v>3</v>
      </c>
      <c r="BJ57" s="87">
        <f t="shared" si="112"/>
        <v>-2</v>
      </c>
      <c r="BK57" s="87">
        <f t="shared" si="112"/>
        <v>3</v>
      </c>
      <c r="BL57" s="87">
        <f t="shared" si="112"/>
        <v>7</v>
      </c>
      <c r="BM57" s="87">
        <f t="shared" si="112"/>
        <v>10</v>
      </c>
      <c r="BN57" s="87">
        <f t="shared" si="112"/>
        <v>15</v>
      </c>
      <c r="BO57" s="87">
        <f t="shared" si="112"/>
        <v>15</v>
      </c>
      <c r="BP57" s="87">
        <f t="shared" si="112"/>
        <v>9</v>
      </c>
      <c r="BQ57" s="87">
        <f t="shared" si="112"/>
        <v>7</v>
      </c>
      <c r="BR57" s="87">
        <f t="shared" si="112"/>
        <v>8</v>
      </c>
      <c r="BS57" s="87">
        <f t="shared" si="112"/>
        <v>6</v>
      </c>
      <c r="BT57" s="87">
        <f t="shared" si="112"/>
        <v>15</v>
      </c>
      <c r="BU57" s="87">
        <f t="shared" si="112"/>
        <v>13</v>
      </c>
      <c r="BV57" s="87">
        <f t="shared" si="112"/>
        <v>16</v>
      </c>
      <c r="BW57" s="87">
        <f t="shared" si="112"/>
        <v>14</v>
      </c>
      <c r="BX57" s="87">
        <f t="shared" si="112"/>
        <v>13</v>
      </c>
      <c r="BY57" s="87">
        <f t="shared" si="112"/>
        <v>4</v>
      </c>
      <c r="BZ57" s="87">
        <f t="shared" si="112"/>
        <v>7</v>
      </c>
      <c r="CA57" s="267">
        <f t="shared" si="112"/>
        <v>4</v>
      </c>
      <c r="CB57" s="267">
        <f t="shared" si="112"/>
        <v>4</v>
      </c>
      <c r="CC57" s="267">
        <f t="shared" si="112"/>
        <v>-6</v>
      </c>
      <c r="CD57" s="267">
        <f t="shared" si="112"/>
        <v>-5</v>
      </c>
      <c r="CE57" s="309">
        <f t="shared" si="112"/>
        <v>-2</v>
      </c>
      <c r="CF57" s="309">
        <f t="shared" si="112"/>
        <v>-9</v>
      </c>
      <c r="CG57" s="309">
        <f t="shared" si="112"/>
        <v>-13</v>
      </c>
      <c r="CH57" s="309">
        <f t="shared" si="112"/>
        <v>-13</v>
      </c>
      <c r="CI57" s="309">
        <f t="shared" si="112"/>
        <v>-13</v>
      </c>
      <c r="CJ57" s="309">
        <f t="shared" si="112"/>
        <v>-12</v>
      </c>
      <c r="CK57" s="309">
        <f t="shared" si="112"/>
        <v>-13</v>
      </c>
      <c r="CL57" s="309">
        <f t="shared" si="112"/>
        <v>-20</v>
      </c>
      <c r="CM57" s="309">
        <f t="shared" si="112"/>
        <v>-17</v>
      </c>
      <c r="CN57" s="309">
        <f t="shared" si="112"/>
        <v>-11</v>
      </c>
      <c r="CO57" s="309">
        <f t="shared" si="112"/>
        <v>-5</v>
      </c>
      <c r="CP57" s="309">
        <f t="shared" si="112"/>
        <v>-10</v>
      </c>
      <c r="CQ57" s="309">
        <f t="shared" si="112"/>
        <v>-8</v>
      </c>
      <c r="CR57" s="309">
        <f t="shared" si="112"/>
        <v>-7</v>
      </c>
      <c r="CS57" s="309"/>
      <c r="CT57" s="348"/>
      <c r="CU57" s="67">
        <f>'MONTHLY SUMMARIES'!F39</f>
        <v>19</v>
      </c>
    </row>
    <row r="58" spans="1:99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/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48"/>
      <c r="CU58" s="67">
        <f>GETPIVOTDATA("VALUE",'CSS ESCO pvt'!$I$3,"DATE_FILE",$CU$8,"COMPANY",$CU$6,"TRIM_CAT","Low Income Residential-GRID","TRIM_LINE",$A53)</f>
        <v>4</v>
      </c>
    </row>
    <row r="59" spans="1:99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/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48"/>
      <c r="CU59" s="81">
        <f>CU57-CU58</f>
        <v>15</v>
      </c>
    </row>
    <row r="60" spans="1:99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/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13">O60-C60</f>
        <v>11</v>
      </c>
      <c r="BJ60" s="87">
        <f t="shared" si="113"/>
        <v>32</v>
      </c>
      <c r="BK60" s="87">
        <f t="shared" si="113"/>
        <v>55</v>
      </c>
      <c r="BL60" s="87">
        <f t="shared" si="113"/>
        <v>38</v>
      </c>
      <c r="BM60" s="87">
        <f t="shared" si="113"/>
        <v>32</v>
      </c>
      <c r="BN60" s="87">
        <f t="shared" si="113"/>
        <v>33</v>
      </c>
      <c r="BO60" s="87">
        <f t="shared" si="113"/>
        <v>36</v>
      </c>
      <c r="BP60" s="87">
        <f t="shared" si="113"/>
        <v>18</v>
      </c>
      <c r="BQ60" s="87">
        <f t="shared" si="113"/>
        <v>23</v>
      </c>
      <c r="BR60" s="87">
        <f t="shared" si="113"/>
        <v>12</v>
      </c>
      <c r="BS60" s="87">
        <f t="shared" ref="BS60:CB62" si="114">Y60-M60</f>
        <v>20</v>
      </c>
      <c r="BT60" s="87">
        <f t="shared" si="114"/>
        <v>23</v>
      </c>
      <c r="BU60" s="87">
        <f t="shared" si="114"/>
        <v>26</v>
      </c>
      <c r="BV60" s="87">
        <f t="shared" si="114"/>
        <v>-12</v>
      </c>
      <c r="BW60" s="87">
        <f t="shared" si="114"/>
        <v>-36</v>
      </c>
      <c r="BX60" s="87">
        <f t="shared" si="114"/>
        <v>-30</v>
      </c>
      <c r="BY60" s="87">
        <f t="shared" si="114"/>
        <v>-40</v>
      </c>
      <c r="BZ60" s="87">
        <f t="shared" si="114"/>
        <v>-22</v>
      </c>
      <c r="CA60" s="267">
        <f t="shared" si="114"/>
        <v>-23</v>
      </c>
      <c r="CB60" s="267">
        <f t="shared" si="114"/>
        <v>-7</v>
      </c>
      <c r="CC60" s="267">
        <f t="shared" ref="CC60:CL62" si="115">AI60-W60</f>
        <v>-9</v>
      </c>
      <c r="CD60" s="267">
        <f t="shared" si="115"/>
        <v>-13</v>
      </c>
      <c r="CE60" s="309">
        <f t="shared" si="115"/>
        <v>-3</v>
      </c>
      <c r="CF60" s="309">
        <f t="shared" si="115"/>
        <v>-6</v>
      </c>
      <c r="CG60" s="309">
        <f t="shared" si="115"/>
        <v>-20</v>
      </c>
      <c r="CH60" s="309">
        <f t="shared" si="115"/>
        <v>-9</v>
      </c>
      <c r="CI60" s="309">
        <f t="shared" si="115"/>
        <v>-16</v>
      </c>
      <c r="CJ60" s="309">
        <f t="shared" si="115"/>
        <v>-5</v>
      </c>
      <c r="CK60" s="309">
        <f t="shared" si="115"/>
        <v>0</v>
      </c>
      <c r="CL60" s="309">
        <f t="shared" si="115"/>
        <v>-5</v>
      </c>
      <c r="CM60" s="309">
        <f t="shared" ref="CM60:CR62" si="116">AS60-AG60</f>
        <v>7</v>
      </c>
      <c r="CN60" s="309">
        <f t="shared" si="116"/>
        <v>7</v>
      </c>
      <c r="CO60" s="309">
        <f t="shared" si="116"/>
        <v>3</v>
      </c>
      <c r="CP60" s="309">
        <f t="shared" si="116"/>
        <v>4</v>
      </c>
      <c r="CQ60" s="309">
        <f t="shared" si="116"/>
        <v>-9</v>
      </c>
      <c r="CR60" s="309">
        <f t="shared" si="116"/>
        <v>2</v>
      </c>
      <c r="CS60" s="309"/>
      <c r="CT60" s="348"/>
      <c r="CU60" s="67">
        <f>'MONTHLY SUMMARIES'!F40</f>
        <v>34</v>
      </c>
    </row>
    <row r="61" spans="1:99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/>
      <c r="BA61" s="293"/>
      <c r="BB61" s="293"/>
      <c r="BC61" s="293"/>
      <c r="BD61" s="293"/>
      <c r="BE61" s="293"/>
      <c r="BF61" s="293"/>
      <c r="BG61" s="293"/>
      <c r="BH61" s="293"/>
      <c r="BI61" s="86">
        <f t="shared" si="113"/>
        <v>3</v>
      </c>
      <c r="BJ61" s="87">
        <f t="shared" si="113"/>
        <v>2</v>
      </c>
      <c r="BK61" s="87">
        <f t="shared" si="113"/>
        <v>2</v>
      </c>
      <c r="BL61" s="87">
        <f t="shared" si="113"/>
        <v>1</v>
      </c>
      <c r="BM61" s="87">
        <f t="shared" si="113"/>
        <v>3</v>
      </c>
      <c r="BN61" s="87">
        <f t="shared" si="113"/>
        <v>1</v>
      </c>
      <c r="BO61" s="87">
        <f t="shared" si="113"/>
        <v>1</v>
      </c>
      <c r="BP61" s="87">
        <f t="shared" si="113"/>
        <v>3</v>
      </c>
      <c r="BQ61" s="87">
        <f t="shared" si="113"/>
        <v>2</v>
      </c>
      <c r="BR61" s="87">
        <f t="shared" si="113"/>
        <v>2</v>
      </c>
      <c r="BS61" s="87">
        <f t="shared" si="114"/>
        <v>2</v>
      </c>
      <c r="BT61" s="87">
        <f t="shared" si="114"/>
        <v>-1</v>
      </c>
      <c r="BU61" s="87">
        <f t="shared" si="114"/>
        <v>-3</v>
      </c>
      <c r="BV61" s="87">
        <f t="shared" si="114"/>
        <v>-3</v>
      </c>
      <c r="BW61" s="87">
        <f t="shared" si="114"/>
        <v>-2</v>
      </c>
      <c r="BX61" s="87">
        <f t="shared" si="114"/>
        <v>-2</v>
      </c>
      <c r="BY61" s="87">
        <f t="shared" si="114"/>
        <v>-3</v>
      </c>
      <c r="BZ61" s="87">
        <f t="shared" si="114"/>
        <v>-2</v>
      </c>
      <c r="CA61" s="267">
        <f t="shared" si="114"/>
        <v>-3</v>
      </c>
      <c r="CB61" s="267">
        <f t="shared" si="114"/>
        <v>-4</v>
      </c>
      <c r="CC61" s="267">
        <f t="shared" si="115"/>
        <v>-3</v>
      </c>
      <c r="CD61" s="267">
        <f t="shared" si="115"/>
        <v>-2</v>
      </c>
      <c r="CE61" s="309">
        <f t="shared" si="115"/>
        <v>-1</v>
      </c>
      <c r="CF61" s="309">
        <f t="shared" si="115"/>
        <v>0</v>
      </c>
      <c r="CG61" s="309">
        <f t="shared" si="115"/>
        <v>-1</v>
      </c>
      <c r="CH61" s="309">
        <f t="shared" si="115"/>
        <v>-1</v>
      </c>
      <c r="CI61" s="309">
        <f t="shared" si="115"/>
        <v>-1</v>
      </c>
      <c r="CJ61" s="309">
        <f t="shared" si="115"/>
        <v>0</v>
      </c>
      <c r="CK61" s="309">
        <f t="shared" si="115"/>
        <v>0</v>
      </c>
      <c r="CL61" s="309">
        <f t="shared" si="115"/>
        <v>1</v>
      </c>
      <c r="CM61" s="309">
        <f t="shared" si="116"/>
        <v>2</v>
      </c>
      <c r="CN61" s="309">
        <f t="shared" si="116"/>
        <v>2</v>
      </c>
      <c r="CO61" s="309">
        <f t="shared" si="116"/>
        <v>1</v>
      </c>
      <c r="CP61" s="309">
        <f t="shared" si="116"/>
        <v>0</v>
      </c>
      <c r="CQ61" s="309">
        <f t="shared" si="116"/>
        <v>-1</v>
      </c>
      <c r="CR61" s="309">
        <f t="shared" si="116"/>
        <v>1</v>
      </c>
      <c r="CS61" s="309"/>
      <c r="CT61" s="348"/>
      <c r="CU61" s="67">
        <f>'MONTHLY SUMMARIES'!F41</f>
        <v>2</v>
      </c>
    </row>
    <row r="62" spans="1:99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/>
      <c r="BA62" s="293"/>
      <c r="BB62" s="293"/>
      <c r="BC62" s="293"/>
      <c r="BD62" s="293"/>
      <c r="BE62" s="293"/>
      <c r="BF62" s="293"/>
      <c r="BG62" s="293"/>
      <c r="BH62" s="293"/>
      <c r="BI62" s="86">
        <f t="shared" si="113"/>
        <v>0</v>
      </c>
      <c r="BJ62" s="87">
        <f t="shared" si="113"/>
        <v>0</v>
      </c>
      <c r="BK62" s="87">
        <f t="shared" si="113"/>
        <v>0</v>
      </c>
      <c r="BL62" s="87">
        <f t="shared" si="113"/>
        <v>0</v>
      </c>
      <c r="BM62" s="87">
        <f t="shared" si="113"/>
        <v>0</v>
      </c>
      <c r="BN62" s="87">
        <f t="shared" si="113"/>
        <v>0</v>
      </c>
      <c r="BO62" s="87">
        <f t="shared" si="113"/>
        <v>0</v>
      </c>
      <c r="BP62" s="87">
        <f t="shared" si="113"/>
        <v>0</v>
      </c>
      <c r="BQ62" s="87">
        <f t="shared" si="113"/>
        <v>0</v>
      </c>
      <c r="BR62" s="87">
        <f t="shared" si="113"/>
        <v>0</v>
      </c>
      <c r="BS62" s="87">
        <f t="shared" si="114"/>
        <v>0</v>
      </c>
      <c r="BT62" s="87">
        <f t="shared" si="114"/>
        <v>0</v>
      </c>
      <c r="BU62" s="87">
        <f t="shared" si="114"/>
        <v>0</v>
      </c>
      <c r="BV62" s="87">
        <f t="shared" si="114"/>
        <v>0</v>
      </c>
      <c r="BW62" s="87">
        <f t="shared" si="114"/>
        <v>0</v>
      </c>
      <c r="BX62" s="87">
        <f t="shared" si="114"/>
        <v>0</v>
      </c>
      <c r="BY62" s="87">
        <f t="shared" si="114"/>
        <v>0</v>
      </c>
      <c r="BZ62" s="87">
        <f t="shared" si="114"/>
        <v>0</v>
      </c>
      <c r="CA62" s="267">
        <f t="shared" si="114"/>
        <v>1</v>
      </c>
      <c r="CB62" s="267">
        <f t="shared" si="114"/>
        <v>1</v>
      </c>
      <c r="CC62" s="267">
        <f t="shared" si="115"/>
        <v>2</v>
      </c>
      <c r="CD62" s="267">
        <f t="shared" si="115"/>
        <v>2</v>
      </c>
      <c r="CE62" s="309">
        <f t="shared" si="115"/>
        <v>1</v>
      </c>
      <c r="CF62" s="309">
        <f t="shared" si="115"/>
        <v>1</v>
      </c>
      <c r="CG62" s="309">
        <f t="shared" si="115"/>
        <v>2</v>
      </c>
      <c r="CH62" s="309">
        <f t="shared" si="115"/>
        <v>2</v>
      </c>
      <c r="CI62" s="309">
        <f t="shared" si="115"/>
        <v>2</v>
      </c>
      <c r="CJ62" s="309">
        <f t="shared" si="115"/>
        <v>2</v>
      </c>
      <c r="CK62" s="309">
        <f t="shared" si="115"/>
        <v>2</v>
      </c>
      <c r="CL62" s="309">
        <f t="shared" si="115"/>
        <v>1</v>
      </c>
      <c r="CM62" s="309">
        <f t="shared" si="116"/>
        <v>0</v>
      </c>
      <c r="CN62" s="309">
        <f t="shared" si="116"/>
        <v>0</v>
      </c>
      <c r="CO62" s="309">
        <f t="shared" si="116"/>
        <v>-1</v>
      </c>
      <c r="CP62" s="309">
        <f t="shared" si="116"/>
        <v>-2</v>
      </c>
      <c r="CQ62" s="309">
        <f t="shared" si="116"/>
        <v>-1</v>
      </c>
      <c r="CR62" s="309">
        <f t="shared" si="116"/>
        <v>0</v>
      </c>
      <c r="CS62" s="309"/>
      <c r="CT62" s="348"/>
      <c r="CU62" s="67">
        <f>'MONTHLY SUMMARIES'!F42</f>
        <v>1</v>
      </c>
    </row>
    <row r="63" spans="1:99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17">SUM(D54:D62)</f>
        <v>318</v>
      </c>
      <c r="E63" s="72">
        <f t="shared" si="117"/>
        <v>317</v>
      </c>
      <c r="F63" s="72">
        <f t="shared" si="117"/>
        <v>304</v>
      </c>
      <c r="G63" s="72">
        <f t="shared" si="117"/>
        <v>302</v>
      </c>
      <c r="H63" s="72">
        <f t="shared" si="117"/>
        <v>233</v>
      </c>
      <c r="I63" s="72">
        <f t="shared" si="117"/>
        <v>235</v>
      </c>
      <c r="J63" s="72">
        <f t="shared" si="117"/>
        <v>244</v>
      </c>
      <c r="K63" s="72">
        <f t="shared" si="117"/>
        <v>288</v>
      </c>
      <c r="L63" s="73">
        <f t="shared" si="117"/>
        <v>299</v>
      </c>
      <c r="M63" s="72">
        <f t="shared" si="117"/>
        <v>339</v>
      </c>
      <c r="N63" s="72">
        <f t="shared" si="117"/>
        <v>321</v>
      </c>
      <c r="O63" s="72">
        <f t="shared" si="117"/>
        <v>369</v>
      </c>
      <c r="P63" s="72">
        <f t="shared" si="117"/>
        <v>515</v>
      </c>
      <c r="Q63" s="72">
        <f t="shared" si="117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/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" si="118">SUM(BI54:BI62)</f>
        <v>93</v>
      </c>
      <c r="BJ63" s="75">
        <f t="shared" ref="BJ63" si="119">SUM(BJ54:BJ62)</f>
        <v>197</v>
      </c>
      <c r="BK63" s="75">
        <f t="shared" ref="BK63:BP63" si="120">SUM(BK54:BK62)</f>
        <v>336</v>
      </c>
      <c r="BL63" s="75">
        <f t="shared" si="120"/>
        <v>385</v>
      </c>
      <c r="BM63" s="75">
        <f t="shared" si="120"/>
        <v>370</v>
      </c>
      <c r="BN63" s="75">
        <f t="shared" si="120"/>
        <v>392</v>
      </c>
      <c r="BO63" s="75">
        <f t="shared" si="120"/>
        <v>375</v>
      </c>
      <c r="BP63" s="75">
        <f t="shared" si="120"/>
        <v>336</v>
      </c>
      <c r="BQ63" s="75">
        <f t="shared" ref="BQ63:BR63" si="121">SUM(BQ54:BQ62)</f>
        <v>297</v>
      </c>
      <c r="BR63" s="75">
        <f t="shared" si="121"/>
        <v>332</v>
      </c>
      <c r="BS63" s="75">
        <f t="shared" ref="BS63:BT63" si="122">SUM(BS54:BS62)</f>
        <v>315</v>
      </c>
      <c r="BT63" s="75">
        <f t="shared" si="122"/>
        <v>282</v>
      </c>
      <c r="BU63" s="75">
        <f t="shared" ref="BU63:BV63" si="123">SUM(BU54:BU62)</f>
        <v>264</v>
      </c>
      <c r="BV63" s="75">
        <f t="shared" si="123"/>
        <v>66</v>
      </c>
      <c r="BW63" s="75">
        <f t="shared" ref="BW63:BX63" si="124">SUM(BW54:BW62)</f>
        <v>-75</v>
      </c>
      <c r="BX63" s="75">
        <f t="shared" si="124"/>
        <v>-170</v>
      </c>
      <c r="BY63" s="75">
        <f t="shared" ref="BY63:BZ63" si="125">SUM(BY54:BY62)</f>
        <v>-209</v>
      </c>
      <c r="BZ63" s="75">
        <f t="shared" si="125"/>
        <v>-197</v>
      </c>
      <c r="CA63" s="265">
        <f t="shared" ref="CA63:CB63" si="126">SUM(CA54:CA62)</f>
        <v>-228</v>
      </c>
      <c r="CB63" s="265">
        <f t="shared" si="126"/>
        <v>-191</v>
      </c>
      <c r="CC63" s="265">
        <f t="shared" ref="CC63:CE63" si="127">SUM(CC54:CC62)</f>
        <v>-192</v>
      </c>
      <c r="CD63" s="265">
        <f t="shared" si="127"/>
        <v>-202</v>
      </c>
      <c r="CE63" s="324">
        <f t="shared" si="127"/>
        <v>-217</v>
      </c>
      <c r="CF63" s="324">
        <f t="shared" ref="CF63:CG63" si="128">SUM(CF54:CF62)</f>
        <v>-196</v>
      </c>
      <c r="CG63" s="324">
        <f t="shared" si="128"/>
        <v>-231</v>
      </c>
      <c r="CH63" s="324">
        <f t="shared" ref="CH63:CI63" si="129">SUM(CH54:CH62)</f>
        <v>-193</v>
      </c>
      <c r="CI63" s="324">
        <f t="shared" si="129"/>
        <v>-196</v>
      </c>
      <c r="CJ63" s="324">
        <f t="shared" ref="CJ63" si="130">SUM(CJ54:CJ62)</f>
        <v>-172</v>
      </c>
      <c r="CK63" s="324">
        <f t="shared" ref="CK63" si="131">SUM(CK54:CK62)</f>
        <v>-140</v>
      </c>
      <c r="CL63" s="324">
        <f t="shared" ref="CL63" si="132">SUM(CL54:CL62)</f>
        <v>-113</v>
      </c>
      <c r="CM63" s="324">
        <f t="shared" ref="CM63" si="133">SUM(CM54:CM62)</f>
        <v>-65</v>
      </c>
      <c r="CN63" s="324">
        <f t="shared" ref="CN63" si="134">SUM(CN54:CN62)</f>
        <v>-73</v>
      </c>
      <c r="CO63" s="324">
        <f t="shared" ref="CO63" si="135">SUM(CO54:CO62)</f>
        <v>-75</v>
      </c>
      <c r="CP63" s="365">
        <f t="shared" ref="CP63" si="136">SUM(CP54:CP62)</f>
        <v>-116</v>
      </c>
      <c r="CQ63" s="365">
        <f t="shared" ref="CQ63:CS63" si="137">SUM(CQ54:CQ62)</f>
        <v>-111</v>
      </c>
      <c r="CR63" s="365">
        <f t="shared" ref="CR63" si="138">SUM(CR54:CR62)</f>
        <v>-87</v>
      </c>
      <c r="CS63" s="365"/>
      <c r="CT63" s="349"/>
      <c r="CU63" s="74">
        <f>CU54+CU57+CU60+CU61+CU62</f>
        <v>319</v>
      </c>
    </row>
    <row r="64" spans="1:9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50"/>
      <c r="CU64" s="98"/>
    </row>
    <row r="65" spans="1:99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/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R65" si="139">O65-C65</f>
        <v>54793.899999999994</v>
      </c>
      <c r="BJ65" s="46">
        <f t="shared" si="139"/>
        <v>86383.5</v>
      </c>
      <c r="BK65" s="46">
        <f t="shared" si="139"/>
        <v>74114.62</v>
      </c>
      <c r="BL65" s="46">
        <f t="shared" si="139"/>
        <v>104512.72</v>
      </c>
      <c r="BM65" s="46">
        <f t="shared" si="139"/>
        <v>101898.15</v>
      </c>
      <c r="BN65" s="46">
        <f t="shared" si="139"/>
        <v>136965.5</v>
      </c>
      <c r="BO65" s="46">
        <f t="shared" si="139"/>
        <v>152659.35</v>
      </c>
      <c r="BP65" s="46">
        <f t="shared" si="139"/>
        <v>109135.48000000001</v>
      </c>
      <c r="BQ65" s="46">
        <f t="shared" si="139"/>
        <v>99035.239999999991</v>
      </c>
      <c r="BR65" s="46">
        <f t="shared" si="139"/>
        <v>58691.420000000013</v>
      </c>
      <c r="BS65" s="46">
        <f t="shared" si="139"/>
        <v>37784.339999999997</v>
      </c>
      <c r="BT65" s="46">
        <f t="shared" si="139"/>
        <v>85511.010000000009</v>
      </c>
      <c r="BU65" s="46">
        <f t="shared" si="139"/>
        <v>35910.31</v>
      </c>
      <c r="BV65" s="46">
        <f t="shared" si="139"/>
        <v>-1100</v>
      </c>
      <c r="BW65" s="46">
        <f t="shared" si="139"/>
        <v>-44809</v>
      </c>
      <c r="BX65" s="46">
        <f t="shared" si="139"/>
        <v>-47171</v>
      </c>
      <c r="BY65" s="46">
        <f t="shared" si="139"/>
        <v>-35724</v>
      </c>
      <c r="BZ65" s="46">
        <f t="shared" si="139"/>
        <v>-40127</v>
      </c>
      <c r="CA65" s="271">
        <f t="shared" si="139"/>
        <v>-96301</v>
      </c>
      <c r="CB65" s="271">
        <f t="shared" si="139"/>
        <v>10334</v>
      </c>
      <c r="CC65" s="271">
        <f t="shared" si="139"/>
        <v>-56926</v>
      </c>
      <c r="CD65" s="271">
        <f t="shared" si="139"/>
        <v>-53564</v>
      </c>
      <c r="CE65" s="312">
        <f t="shared" si="139"/>
        <v>-791</v>
      </c>
      <c r="CF65" s="312">
        <f t="shared" si="139"/>
        <v>-67494</v>
      </c>
      <c r="CG65" s="312">
        <f t="shared" si="139"/>
        <v>-20105</v>
      </c>
      <c r="CH65" s="312">
        <f t="shared" si="139"/>
        <v>-106614</v>
      </c>
      <c r="CI65" s="312">
        <f t="shared" si="139"/>
        <v>-30379</v>
      </c>
      <c r="CJ65" s="312">
        <f t="shared" si="139"/>
        <v>-7582</v>
      </c>
      <c r="CK65" s="312">
        <f t="shared" si="139"/>
        <v>-3643</v>
      </c>
      <c r="CL65" s="312">
        <f t="shared" si="139"/>
        <v>-58105</v>
      </c>
      <c r="CM65" s="312">
        <f t="shared" si="139"/>
        <v>-5393</v>
      </c>
      <c r="CN65" s="312">
        <f t="shared" si="139"/>
        <v>-54763</v>
      </c>
      <c r="CO65" s="312">
        <f t="shared" si="139"/>
        <v>-48346</v>
      </c>
      <c r="CP65" s="312">
        <f t="shared" si="139"/>
        <v>-4990</v>
      </c>
      <c r="CQ65" s="312">
        <f t="shared" si="139"/>
        <v>-41345</v>
      </c>
      <c r="CR65" s="312">
        <f t="shared" si="139"/>
        <v>94533</v>
      </c>
      <c r="CS65" s="312"/>
      <c r="CT65" s="350"/>
      <c r="CU65" s="67">
        <f>'MONTHLY SUMMARIES'!F45</f>
        <v>265474</v>
      </c>
    </row>
    <row r="66" spans="1:99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/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50"/>
      <c r="CU66" s="67">
        <f>GETPIVOTDATA("VALUE",'CSS ESCO pvt'!$I$3,"DATE_FILE",$CU$8,"COMPANY",$CU$6,"TRIM_CAT","Residential-GRID","TRIM_LINE",$A64)</f>
        <v>81096</v>
      </c>
    </row>
    <row r="67" spans="1:99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/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50"/>
      <c r="CU67" s="81">
        <f>CU65-CU66</f>
        <v>184378</v>
      </c>
    </row>
    <row r="68" spans="1:99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/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R68" si="140">O68-C68</f>
        <v>708.76000000000022</v>
      </c>
      <c r="BJ68" s="46">
        <f t="shared" si="140"/>
        <v>-80.850000000000364</v>
      </c>
      <c r="BK68" s="46">
        <f t="shared" si="140"/>
        <v>271.23999999999978</v>
      </c>
      <c r="BL68" s="46">
        <f t="shared" si="140"/>
        <v>558.15999999999985</v>
      </c>
      <c r="BM68" s="46">
        <f t="shared" si="140"/>
        <v>1224.29</v>
      </c>
      <c r="BN68" s="46">
        <f t="shared" si="140"/>
        <v>587.68000000000029</v>
      </c>
      <c r="BO68" s="46">
        <f t="shared" si="140"/>
        <v>2149.13</v>
      </c>
      <c r="BP68" s="46">
        <f t="shared" si="140"/>
        <v>128.43000000000029</v>
      </c>
      <c r="BQ68" s="46">
        <f t="shared" si="140"/>
        <v>420.1899999999996</v>
      </c>
      <c r="BR68" s="46">
        <f t="shared" si="140"/>
        <v>-430.22999999999956</v>
      </c>
      <c r="BS68" s="46">
        <f t="shared" si="140"/>
        <v>-797.60999999999967</v>
      </c>
      <c r="BT68" s="46">
        <f t="shared" si="140"/>
        <v>6366.54</v>
      </c>
      <c r="BU68" s="46">
        <f t="shared" si="140"/>
        <v>3338.58</v>
      </c>
      <c r="BV68" s="46">
        <f t="shared" si="140"/>
        <v>7535</v>
      </c>
      <c r="BW68" s="46">
        <f t="shared" si="140"/>
        <v>2283</v>
      </c>
      <c r="BX68" s="46">
        <f t="shared" si="140"/>
        <v>1860</v>
      </c>
      <c r="BY68" s="46">
        <f t="shared" si="140"/>
        <v>1413</v>
      </c>
      <c r="BZ68" s="46">
        <f t="shared" si="140"/>
        <v>1066</v>
      </c>
      <c r="CA68" s="271">
        <f t="shared" si="140"/>
        <v>587</v>
      </c>
      <c r="CB68" s="271">
        <f t="shared" si="140"/>
        <v>1254</v>
      </c>
      <c r="CC68" s="271">
        <f t="shared" si="140"/>
        <v>5495</v>
      </c>
      <c r="CD68" s="271">
        <f t="shared" si="140"/>
        <v>-152</v>
      </c>
      <c r="CE68" s="312">
        <f t="shared" si="140"/>
        <v>3792</v>
      </c>
      <c r="CF68" s="312">
        <f t="shared" si="140"/>
        <v>-4607</v>
      </c>
      <c r="CG68" s="312">
        <f t="shared" si="140"/>
        <v>-653</v>
      </c>
      <c r="CH68" s="312">
        <f t="shared" si="140"/>
        <v>-6708</v>
      </c>
      <c r="CI68" s="312">
        <f t="shared" si="140"/>
        <v>-1588</v>
      </c>
      <c r="CJ68" s="312">
        <f t="shared" si="140"/>
        <v>-357</v>
      </c>
      <c r="CK68" s="312">
        <f t="shared" si="140"/>
        <v>-1053</v>
      </c>
      <c r="CL68" s="312">
        <f t="shared" si="140"/>
        <v>-3138</v>
      </c>
      <c r="CM68" s="312">
        <f t="shared" si="140"/>
        <v>-1441</v>
      </c>
      <c r="CN68" s="312">
        <f t="shared" si="140"/>
        <v>-727</v>
      </c>
      <c r="CO68" s="312">
        <f t="shared" si="140"/>
        <v>-6398</v>
      </c>
      <c r="CP68" s="312">
        <f t="shared" si="140"/>
        <v>1695</v>
      </c>
      <c r="CQ68" s="312">
        <f t="shared" si="140"/>
        <v>-1303</v>
      </c>
      <c r="CR68" s="312">
        <f t="shared" si="140"/>
        <v>6678</v>
      </c>
      <c r="CS68" s="312"/>
      <c r="CT68" s="350"/>
      <c r="CU68" s="67">
        <f>'MONTHLY SUMMARIES'!F46</f>
        <v>10208</v>
      </c>
    </row>
    <row r="69" spans="1:99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/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50"/>
      <c r="CU69" s="67">
        <f>GETPIVOTDATA("VALUE",'CSS ESCO pvt'!$I$3,"DATE_FILE",$CU$8,"COMPANY",$CU$6,"TRIM_CAT","Low Income Residential-GRID","TRIM_LINE",$A64)</f>
        <v>4109</v>
      </c>
    </row>
    <row r="70" spans="1:99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/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50"/>
      <c r="CU70" s="81">
        <f>CU68-CU69</f>
        <v>6099</v>
      </c>
    </row>
    <row r="71" spans="1:99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/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1">O71-C71</f>
        <v>272.36000000000058</v>
      </c>
      <c r="BJ71" s="46">
        <f t="shared" si="141"/>
        <v>54978.36</v>
      </c>
      <c r="BK71" s="46">
        <f t="shared" si="141"/>
        <v>33525.19</v>
      </c>
      <c r="BL71" s="46">
        <f t="shared" si="141"/>
        <v>7148.09</v>
      </c>
      <c r="BM71" s="46">
        <f t="shared" si="141"/>
        <v>48953.94</v>
      </c>
      <c r="BN71" s="46">
        <f t="shared" si="141"/>
        <v>11851.13</v>
      </c>
      <c r="BO71" s="46">
        <f t="shared" si="141"/>
        <v>-5669.9199999999983</v>
      </c>
      <c r="BP71" s="46">
        <f t="shared" si="141"/>
        <v>21802.79</v>
      </c>
      <c r="BQ71" s="46">
        <f t="shared" si="141"/>
        <v>3189.4400000000023</v>
      </c>
      <c r="BR71" s="46">
        <f t="shared" si="141"/>
        <v>2110.3300000000017</v>
      </c>
      <c r="BS71" s="46">
        <f t="shared" ref="BS71:CB73" si="142">Y71-M71</f>
        <v>-11273.61</v>
      </c>
      <c r="BT71" s="46">
        <f t="shared" si="142"/>
        <v>3919.0500000000029</v>
      </c>
      <c r="BU71" s="46">
        <f t="shared" si="142"/>
        <v>-13559.82</v>
      </c>
      <c r="BV71" s="46">
        <f t="shared" si="142"/>
        <v>-48351</v>
      </c>
      <c r="BW71" s="46">
        <f t="shared" si="142"/>
        <v>-40024</v>
      </c>
      <c r="BX71" s="46">
        <f t="shared" si="142"/>
        <v>2777</v>
      </c>
      <c r="BY71" s="46">
        <f t="shared" si="142"/>
        <v>-34644</v>
      </c>
      <c r="BZ71" s="46">
        <f t="shared" si="142"/>
        <v>6565</v>
      </c>
      <c r="CA71" s="271">
        <f t="shared" si="142"/>
        <v>3707</v>
      </c>
      <c r="CB71" s="271">
        <f t="shared" si="142"/>
        <v>40179</v>
      </c>
      <c r="CC71" s="271">
        <f t="shared" ref="CC71:CL73" si="143">AI71-W71</f>
        <v>1976</v>
      </c>
      <c r="CD71" s="271">
        <f t="shared" si="143"/>
        <v>-3460</v>
      </c>
      <c r="CE71" s="312">
        <f t="shared" si="143"/>
        <v>46044</v>
      </c>
      <c r="CF71" s="312">
        <f t="shared" si="143"/>
        <v>-2523</v>
      </c>
      <c r="CG71" s="312">
        <f t="shared" si="143"/>
        <v>28486</v>
      </c>
      <c r="CH71" s="312">
        <f t="shared" si="143"/>
        <v>-18672</v>
      </c>
      <c r="CI71" s="312">
        <f t="shared" si="143"/>
        <v>11305</v>
      </c>
      <c r="CJ71" s="312">
        <f t="shared" si="143"/>
        <v>8802</v>
      </c>
      <c r="CK71" s="312">
        <f t="shared" si="143"/>
        <v>42294</v>
      </c>
      <c r="CL71" s="312">
        <f t="shared" si="143"/>
        <v>-12215</v>
      </c>
      <c r="CM71" s="312">
        <f t="shared" ref="CM71:CR73" si="144">AS71-AG71</f>
        <v>11418</v>
      </c>
      <c r="CN71" s="312">
        <f t="shared" si="144"/>
        <v>-52821</v>
      </c>
      <c r="CO71" s="312">
        <f t="shared" si="144"/>
        <v>-14550</v>
      </c>
      <c r="CP71" s="312">
        <f t="shared" si="144"/>
        <v>7131</v>
      </c>
      <c r="CQ71" s="312">
        <f t="shared" si="144"/>
        <v>-25522</v>
      </c>
      <c r="CR71" s="312">
        <f t="shared" si="144"/>
        <v>9550</v>
      </c>
      <c r="CS71" s="312"/>
      <c r="CT71" s="350"/>
      <c r="CU71" s="67">
        <f>'MONTHLY SUMMARIES'!F47</f>
        <v>26908</v>
      </c>
    </row>
    <row r="72" spans="1:99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/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1"/>
        <v>-3998.1900000000023</v>
      </c>
      <c r="BJ72" s="46">
        <f t="shared" si="141"/>
        <v>49357.42</v>
      </c>
      <c r="BK72" s="46">
        <f t="shared" si="141"/>
        <v>29420.809999999998</v>
      </c>
      <c r="BL72" s="46">
        <f t="shared" si="141"/>
        <v>-14343.84</v>
      </c>
      <c r="BM72" s="46">
        <f t="shared" si="141"/>
        <v>42294.479999999996</v>
      </c>
      <c r="BN72" s="46">
        <f t="shared" si="141"/>
        <v>15474.08</v>
      </c>
      <c r="BO72" s="46">
        <f t="shared" si="141"/>
        <v>4801.9000000000015</v>
      </c>
      <c r="BP72" s="46">
        <f t="shared" si="141"/>
        <v>60365.009999999995</v>
      </c>
      <c r="BQ72" s="46">
        <f t="shared" si="141"/>
        <v>11355.289999999994</v>
      </c>
      <c r="BR72" s="46">
        <f t="shared" si="141"/>
        <v>21663.559999999998</v>
      </c>
      <c r="BS72" s="46">
        <f t="shared" si="142"/>
        <v>-5446.9199999999983</v>
      </c>
      <c r="BT72" s="46">
        <f t="shared" si="142"/>
        <v>-26524.82</v>
      </c>
      <c r="BU72" s="46">
        <f t="shared" si="142"/>
        <v>-13924.759999999998</v>
      </c>
      <c r="BV72" s="46">
        <f t="shared" si="142"/>
        <v>-36706</v>
      </c>
      <c r="BW72" s="46">
        <f t="shared" si="142"/>
        <v>-32697</v>
      </c>
      <c r="BX72" s="46">
        <f t="shared" si="142"/>
        <v>37005</v>
      </c>
      <c r="BY72" s="46">
        <f t="shared" si="142"/>
        <v>-2772</v>
      </c>
      <c r="BZ72" s="46">
        <f t="shared" si="142"/>
        <v>-589</v>
      </c>
      <c r="CA72" s="271">
        <f t="shared" si="142"/>
        <v>-656</v>
      </c>
      <c r="CB72" s="271">
        <f t="shared" si="142"/>
        <v>59895</v>
      </c>
      <c r="CC72" s="271">
        <f t="shared" si="143"/>
        <v>-49462</v>
      </c>
      <c r="CD72" s="271">
        <f t="shared" si="143"/>
        <v>-40125</v>
      </c>
      <c r="CE72" s="312">
        <f t="shared" si="143"/>
        <v>29871</v>
      </c>
      <c r="CF72" s="312">
        <f t="shared" si="143"/>
        <v>-3357</v>
      </c>
      <c r="CG72" s="312">
        <f t="shared" si="143"/>
        <v>6599</v>
      </c>
      <c r="CH72" s="312">
        <f t="shared" si="143"/>
        <v>-26903</v>
      </c>
      <c r="CI72" s="312">
        <f t="shared" si="143"/>
        <v>1490</v>
      </c>
      <c r="CJ72" s="312">
        <f t="shared" si="143"/>
        <v>-35575</v>
      </c>
      <c r="CK72" s="312">
        <f t="shared" si="143"/>
        <v>13649</v>
      </c>
      <c r="CL72" s="312">
        <f t="shared" si="143"/>
        <v>-16170</v>
      </c>
      <c r="CM72" s="312">
        <f t="shared" si="144"/>
        <v>8108</v>
      </c>
      <c r="CN72" s="312">
        <f t="shared" si="144"/>
        <v>-47445</v>
      </c>
      <c r="CO72" s="312">
        <f t="shared" si="144"/>
        <v>60969</v>
      </c>
      <c r="CP72" s="312">
        <f t="shared" si="144"/>
        <v>42565</v>
      </c>
      <c r="CQ72" s="312">
        <f t="shared" si="144"/>
        <v>-35354</v>
      </c>
      <c r="CR72" s="312">
        <f t="shared" si="144"/>
        <v>44599</v>
      </c>
      <c r="CS72" s="312"/>
      <c r="CT72" s="350"/>
      <c r="CU72" s="67">
        <f>'MONTHLY SUMMARIES'!F48</f>
        <v>3602</v>
      </c>
    </row>
    <row r="73" spans="1:99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/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1"/>
        <v>44783.35</v>
      </c>
      <c r="BJ73" s="46">
        <f t="shared" si="141"/>
        <v>13367.72</v>
      </c>
      <c r="BK73" s="46">
        <f t="shared" si="141"/>
        <v>15739</v>
      </c>
      <c r="BL73" s="46">
        <f t="shared" si="141"/>
        <v>78331.509999999995</v>
      </c>
      <c r="BM73" s="46">
        <f t="shared" si="141"/>
        <v>653.88000000000102</v>
      </c>
      <c r="BN73" s="46">
        <f t="shared" si="141"/>
        <v>5735.18</v>
      </c>
      <c r="BO73" s="46">
        <f t="shared" si="141"/>
        <v>13642.49</v>
      </c>
      <c r="BP73" s="46">
        <f t="shared" si="141"/>
        <v>33608.65</v>
      </c>
      <c r="BQ73" s="46">
        <f t="shared" si="141"/>
        <v>10086.950000000001</v>
      </c>
      <c r="BR73" s="46">
        <f t="shared" si="141"/>
        <v>40082.28</v>
      </c>
      <c r="BS73" s="46">
        <f t="shared" si="142"/>
        <v>29.46</v>
      </c>
      <c r="BT73" s="46">
        <f t="shared" si="142"/>
        <v>22604.95</v>
      </c>
      <c r="BU73" s="46">
        <f t="shared" si="142"/>
        <v>-33441.14</v>
      </c>
      <c r="BV73" s="46">
        <f t="shared" si="142"/>
        <v>-10117</v>
      </c>
      <c r="BW73" s="46">
        <f t="shared" si="142"/>
        <v>1130</v>
      </c>
      <c r="BX73" s="46">
        <f t="shared" si="142"/>
        <v>-78928</v>
      </c>
      <c r="BY73" s="46">
        <f t="shared" si="142"/>
        <v>-6441</v>
      </c>
      <c r="BZ73" s="46">
        <f t="shared" si="142"/>
        <v>-6159</v>
      </c>
      <c r="CA73" s="271">
        <f t="shared" si="142"/>
        <v>16859</v>
      </c>
      <c r="CB73" s="271">
        <f t="shared" si="142"/>
        <v>10625</v>
      </c>
      <c r="CC73" s="271">
        <f t="shared" si="143"/>
        <v>41200</v>
      </c>
      <c r="CD73" s="271">
        <f t="shared" si="143"/>
        <v>-48339</v>
      </c>
      <c r="CE73" s="312">
        <f t="shared" si="143"/>
        <v>76292</v>
      </c>
      <c r="CF73" s="312">
        <f t="shared" si="143"/>
        <v>17462</v>
      </c>
      <c r="CG73" s="312">
        <f t="shared" si="143"/>
        <v>999</v>
      </c>
      <c r="CH73" s="312">
        <f t="shared" si="143"/>
        <v>119953</v>
      </c>
      <c r="CI73" s="312">
        <f t="shared" si="143"/>
        <v>31718</v>
      </c>
      <c r="CJ73" s="312">
        <f t="shared" si="143"/>
        <v>30086</v>
      </c>
      <c r="CK73" s="312">
        <f t="shared" si="143"/>
        <v>243</v>
      </c>
      <c r="CL73" s="312">
        <f t="shared" si="143"/>
        <v>-24515</v>
      </c>
      <c r="CM73" s="312">
        <f t="shared" si="144"/>
        <v>58526</v>
      </c>
      <c r="CN73" s="312">
        <f t="shared" si="144"/>
        <v>-3587</v>
      </c>
      <c r="CO73" s="312">
        <f t="shared" si="144"/>
        <v>-36740</v>
      </c>
      <c r="CP73" s="312">
        <f t="shared" si="144"/>
        <v>2284</v>
      </c>
      <c r="CQ73" s="312">
        <f t="shared" si="144"/>
        <v>-62481</v>
      </c>
      <c r="CR73" s="312">
        <f t="shared" si="144"/>
        <v>-24805</v>
      </c>
      <c r="CS73" s="312"/>
      <c r="CT73" s="350"/>
      <c r="CU73" s="67">
        <f>'MONTHLY SUMMARIES'!F49</f>
        <v>9496</v>
      </c>
    </row>
    <row r="74" spans="1:99" s="134" customFormat="1" x14ac:dyDescent="0.3">
      <c r="A74" s="151"/>
      <c r="B74" s="41" t="s">
        <v>42</v>
      </c>
      <c r="C74" s="144">
        <f t="shared" ref="C74:Q74" si="145">SUM(C65:C73)</f>
        <v>259539.65000000002</v>
      </c>
      <c r="D74" s="145">
        <f t="shared" si="145"/>
        <v>252429.85</v>
      </c>
      <c r="E74" s="145">
        <f t="shared" si="145"/>
        <v>230762.14</v>
      </c>
      <c r="F74" s="145">
        <f t="shared" si="145"/>
        <v>189722.36</v>
      </c>
      <c r="G74" s="145">
        <f t="shared" si="145"/>
        <v>228458.25999999998</v>
      </c>
      <c r="H74" s="145">
        <f t="shared" si="145"/>
        <v>203928.43000000002</v>
      </c>
      <c r="I74" s="145">
        <f t="shared" si="145"/>
        <v>281155.05</v>
      </c>
      <c r="J74" s="145">
        <f t="shared" si="145"/>
        <v>267851.63999999996</v>
      </c>
      <c r="K74" s="145">
        <f t="shared" si="145"/>
        <v>338525.89</v>
      </c>
      <c r="L74" s="146">
        <f t="shared" si="145"/>
        <v>311317.64</v>
      </c>
      <c r="M74" s="145">
        <f t="shared" si="145"/>
        <v>324389.33999999997</v>
      </c>
      <c r="N74" s="145">
        <f t="shared" si="145"/>
        <v>326823.26999999996</v>
      </c>
      <c r="O74" s="145">
        <f t="shared" si="145"/>
        <v>356099.83</v>
      </c>
      <c r="P74" s="145">
        <f t="shared" si="145"/>
        <v>456436</v>
      </c>
      <c r="Q74" s="145">
        <f t="shared" si="145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/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96560.18</v>
      </c>
      <c r="BJ74" s="147">
        <f t="shared" ref="BJ74:BL74" si="146">SUM(BJ65:BJ73)</f>
        <v>204006.15</v>
      </c>
      <c r="BK74" s="147">
        <f t="shared" si="146"/>
        <v>153070.85999999999</v>
      </c>
      <c r="BL74" s="147">
        <f t="shared" si="146"/>
        <v>176206.64</v>
      </c>
      <c r="BM74" s="147">
        <f t="shared" ref="BM74:BN74" si="147">SUM(BM65:BM73)</f>
        <v>195024.74</v>
      </c>
      <c r="BN74" s="147">
        <f t="shared" si="147"/>
        <v>170613.56999999998</v>
      </c>
      <c r="BO74" s="147">
        <f t="shared" ref="BO74:BP74" si="148">SUM(BO65:BO73)</f>
        <v>167582.94999999998</v>
      </c>
      <c r="BP74" s="147">
        <f t="shared" si="148"/>
        <v>225040.36000000002</v>
      </c>
      <c r="BQ74" s="147">
        <f t="shared" ref="BQ74:BR74" si="149">SUM(BQ65:BQ73)</f>
        <v>124087.10999999999</v>
      </c>
      <c r="BR74" s="147">
        <f t="shared" si="149"/>
        <v>122117.36000000002</v>
      </c>
      <c r="BS74" s="147">
        <f t="shared" ref="BS74:BT74" si="150">SUM(BS65:BS73)</f>
        <v>20295.659999999996</v>
      </c>
      <c r="BT74" s="147">
        <f t="shared" si="150"/>
        <v>91876.73</v>
      </c>
      <c r="BU74" s="147">
        <f t="shared" ref="BU74:BV74" si="151">SUM(BU65:BU73)</f>
        <v>-21676.829999999998</v>
      </c>
      <c r="BV74" s="147">
        <f t="shared" si="151"/>
        <v>-88739</v>
      </c>
      <c r="BW74" s="147">
        <f t="shared" ref="BW74:BX74" si="152">SUM(BW65:BW73)</f>
        <v>-114117</v>
      </c>
      <c r="BX74" s="147">
        <f t="shared" si="152"/>
        <v>-84457</v>
      </c>
      <c r="BY74" s="147">
        <f t="shared" ref="BY74:BZ74" si="153">SUM(BY65:BY73)</f>
        <v>-78168</v>
      </c>
      <c r="BZ74" s="147">
        <f t="shared" si="153"/>
        <v>-39244</v>
      </c>
      <c r="CA74" s="272">
        <f t="shared" ref="CA74:CB74" si="154">SUM(CA65:CA73)</f>
        <v>-75804</v>
      </c>
      <c r="CB74" s="272">
        <f t="shared" si="154"/>
        <v>122287</v>
      </c>
      <c r="CC74" s="272">
        <f t="shared" ref="CC74:CE74" si="155">SUM(CC65:CC73)</f>
        <v>-57717</v>
      </c>
      <c r="CD74" s="272">
        <f t="shared" si="155"/>
        <v>-145640</v>
      </c>
      <c r="CE74" s="313">
        <f t="shared" si="155"/>
        <v>155208</v>
      </c>
      <c r="CF74" s="313">
        <f t="shared" ref="CF74:CG74" si="156">SUM(CF65:CF73)</f>
        <v>-60519</v>
      </c>
      <c r="CG74" s="313">
        <f t="shared" si="156"/>
        <v>15326</v>
      </c>
      <c r="CH74" s="313">
        <f t="shared" ref="CH74:CI74" si="157">SUM(CH65:CH73)</f>
        <v>-38944</v>
      </c>
      <c r="CI74" s="313">
        <f t="shared" si="157"/>
        <v>12546</v>
      </c>
      <c r="CJ74" s="313">
        <f t="shared" ref="CJ74" si="158">SUM(CJ65:CJ73)</f>
        <v>-4626</v>
      </c>
      <c r="CK74" s="313">
        <f t="shared" ref="CK74" si="159">SUM(CK65:CK73)</f>
        <v>51490</v>
      </c>
      <c r="CL74" s="313">
        <f t="shared" ref="CL74" si="160">SUM(CL65:CL73)</f>
        <v>-114143</v>
      </c>
      <c r="CM74" s="313">
        <f t="shared" ref="CM74" si="161">SUM(CM65:CM73)</f>
        <v>71218</v>
      </c>
      <c r="CN74" s="313">
        <f t="shared" ref="CN74" si="162">SUM(CN65:CN73)</f>
        <v>-159343</v>
      </c>
      <c r="CO74" s="313">
        <f t="shared" ref="CO74" si="163">SUM(CO65:CO73)</f>
        <v>-45065</v>
      </c>
      <c r="CP74" s="313">
        <f t="shared" ref="CP74" si="164">SUM(CP65:CP73)</f>
        <v>48685</v>
      </c>
      <c r="CQ74" s="313">
        <f t="shared" ref="CQ74:CS74" si="165">SUM(CQ65:CQ73)</f>
        <v>-166005</v>
      </c>
      <c r="CR74" s="313">
        <f t="shared" ref="CR74" si="166">SUM(CR65:CR73)</f>
        <v>130555</v>
      </c>
      <c r="CS74" s="313"/>
      <c r="CT74" s="351"/>
      <c r="CU74" s="262">
        <f>CU65+CU68+CU71+CU72+CU73</f>
        <v>315688</v>
      </c>
    </row>
    <row r="75" spans="1:9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50"/>
      <c r="CU75" s="52"/>
    </row>
    <row r="76" spans="1:99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/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R76" si="167">O76-C76</f>
        <v>28098.720000000001</v>
      </c>
      <c r="BJ76" s="46">
        <f t="shared" si="167"/>
        <v>78623.990000000005</v>
      </c>
      <c r="BK76" s="46">
        <f t="shared" si="167"/>
        <v>66393.34</v>
      </c>
      <c r="BL76" s="46">
        <f t="shared" si="167"/>
        <v>79267.59</v>
      </c>
      <c r="BM76" s="46">
        <f t="shared" si="167"/>
        <v>70793.899999999994</v>
      </c>
      <c r="BN76" s="46">
        <f t="shared" si="167"/>
        <v>57179.23</v>
      </c>
      <c r="BO76" s="46">
        <f t="shared" si="167"/>
        <v>78993.26999999999</v>
      </c>
      <c r="BP76" s="46">
        <f t="shared" si="167"/>
        <v>127958.55</v>
      </c>
      <c r="BQ76" s="46">
        <f t="shared" si="167"/>
        <v>118586.15</v>
      </c>
      <c r="BR76" s="46">
        <f t="shared" si="167"/>
        <v>67847.34</v>
      </c>
      <c r="BS76" s="46">
        <f t="shared" si="167"/>
        <v>50703.56</v>
      </c>
      <c r="BT76" s="46">
        <f t="shared" si="167"/>
        <v>71497.83</v>
      </c>
      <c r="BU76" s="46">
        <f t="shared" si="167"/>
        <v>55616.95</v>
      </c>
      <c r="BV76" s="46">
        <f t="shared" si="167"/>
        <v>14335</v>
      </c>
      <c r="BW76" s="46">
        <f t="shared" si="167"/>
        <v>-5392</v>
      </c>
      <c r="BX76" s="46">
        <f t="shared" si="167"/>
        <v>-30987</v>
      </c>
      <c r="BY76" s="46">
        <f t="shared" si="167"/>
        <v>-33030</v>
      </c>
      <c r="BZ76" s="46">
        <f t="shared" si="167"/>
        <v>-29595</v>
      </c>
      <c r="CA76" s="271">
        <f t="shared" si="167"/>
        <v>-42514</v>
      </c>
      <c r="CB76" s="271">
        <f t="shared" si="167"/>
        <v>-102825</v>
      </c>
      <c r="CC76" s="271">
        <f t="shared" si="167"/>
        <v>-64012</v>
      </c>
      <c r="CD76" s="271">
        <f t="shared" si="167"/>
        <v>-30842</v>
      </c>
      <c r="CE76" s="312">
        <f t="shared" si="167"/>
        <v>-38625</v>
      </c>
      <c r="CF76" s="312">
        <f t="shared" si="167"/>
        <v>-43843</v>
      </c>
      <c r="CG76" s="312">
        <f t="shared" si="167"/>
        <v>-55361</v>
      </c>
      <c r="CH76" s="312">
        <f t="shared" si="167"/>
        <v>-23877</v>
      </c>
      <c r="CI76" s="312">
        <f t="shared" si="167"/>
        <v>-44876</v>
      </c>
      <c r="CJ76" s="312">
        <f t="shared" si="167"/>
        <v>-34602</v>
      </c>
      <c r="CK76" s="312">
        <f t="shared" si="167"/>
        <v>-23532</v>
      </c>
      <c r="CL76" s="312">
        <f t="shared" si="167"/>
        <v>-11264</v>
      </c>
      <c r="CM76" s="312">
        <f t="shared" si="167"/>
        <v>-19310</v>
      </c>
      <c r="CN76" s="312">
        <f t="shared" si="167"/>
        <v>-20601</v>
      </c>
      <c r="CO76" s="312">
        <f t="shared" si="167"/>
        <v>-21445</v>
      </c>
      <c r="CP76" s="312">
        <f t="shared" si="167"/>
        <v>-36038</v>
      </c>
      <c r="CQ76" s="312">
        <f t="shared" si="167"/>
        <v>-25694</v>
      </c>
      <c r="CR76" s="312">
        <f t="shared" si="167"/>
        <v>-1227</v>
      </c>
      <c r="CS76" s="312"/>
      <c r="CT76" s="350"/>
      <c r="CU76" s="67">
        <f>'MONTHLY SUMMARIES'!F52</f>
        <v>113145</v>
      </c>
    </row>
    <row r="77" spans="1:99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/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50"/>
      <c r="CU77" s="67">
        <f>GETPIVOTDATA("VALUE",'CSS ESCO pvt'!$I$3,"DATE_FILE",$CU$8,"COMPANY",$CU$6,"TRIM_CAT","Residential-GRID","TRIM_LINE",$A75)</f>
        <v>36589</v>
      </c>
    </row>
    <row r="78" spans="1:99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/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50"/>
      <c r="CU78" s="81">
        <f>CU76-CU77</f>
        <v>76556</v>
      </c>
    </row>
    <row r="79" spans="1:99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/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R79" si="168">O79-C79</f>
        <v>-1087.7299999999996</v>
      </c>
      <c r="BJ79" s="46">
        <f t="shared" si="168"/>
        <v>-96.449999999999818</v>
      </c>
      <c r="BK79" s="46">
        <f t="shared" si="168"/>
        <v>170.25</v>
      </c>
      <c r="BL79" s="46">
        <f t="shared" si="168"/>
        <v>1624.0300000000002</v>
      </c>
      <c r="BM79" s="46">
        <f t="shared" si="168"/>
        <v>1720.56</v>
      </c>
      <c r="BN79" s="46">
        <f t="shared" si="168"/>
        <v>1716.75</v>
      </c>
      <c r="BO79" s="46">
        <f t="shared" si="168"/>
        <v>1799.06</v>
      </c>
      <c r="BP79" s="46">
        <f t="shared" si="168"/>
        <v>871.69999999999982</v>
      </c>
      <c r="BQ79" s="46">
        <f t="shared" si="168"/>
        <v>787.23</v>
      </c>
      <c r="BR79" s="46">
        <f t="shared" si="168"/>
        <v>354.17000000000007</v>
      </c>
      <c r="BS79" s="46">
        <f t="shared" si="168"/>
        <v>356.17000000000007</v>
      </c>
      <c r="BT79" s="46">
        <f t="shared" si="168"/>
        <v>2933.62</v>
      </c>
      <c r="BU79" s="46">
        <f t="shared" si="168"/>
        <v>5294.32</v>
      </c>
      <c r="BV79" s="46">
        <f t="shared" si="168"/>
        <v>5186</v>
      </c>
      <c r="BW79" s="46">
        <f t="shared" si="168"/>
        <v>6261</v>
      </c>
      <c r="BX79" s="46">
        <f t="shared" si="168"/>
        <v>2468</v>
      </c>
      <c r="BY79" s="46">
        <f t="shared" si="168"/>
        <v>322</v>
      </c>
      <c r="BZ79" s="46">
        <f t="shared" si="168"/>
        <v>1121</v>
      </c>
      <c r="CA79" s="271">
        <f t="shared" si="168"/>
        <v>685</v>
      </c>
      <c r="CB79" s="271">
        <f t="shared" si="168"/>
        <v>452</v>
      </c>
      <c r="CC79" s="271">
        <f t="shared" si="168"/>
        <v>-583</v>
      </c>
      <c r="CD79" s="271">
        <f t="shared" si="168"/>
        <v>7630</v>
      </c>
      <c r="CE79" s="312">
        <f t="shared" si="168"/>
        <v>251</v>
      </c>
      <c r="CF79" s="312">
        <f t="shared" si="168"/>
        <v>46</v>
      </c>
      <c r="CG79" s="312">
        <f t="shared" si="168"/>
        <v>-3566</v>
      </c>
      <c r="CH79" s="312">
        <f t="shared" si="168"/>
        <v>-1035</v>
      </c>
      <c r="CI79" s="312">
        <f t="shared" si="168"/>
        <v>-3860</v>
      </c>
      <c r="CJ79" s="312">
        <f t="shared" si="168"/>
        <v>-905</v>
      </c>
      <c r="CK79" s="312">
        <f t="shared" si="168"/>
        <v>-1010</v>
      </c>
      <c r="CL79" s="312">
        <f t="shared" si="168"/>
        <v>-2424</v>
      </c>
      <c r="CM79" s="312">
        <f t="shared" si="168"/>
        <v>-933</v>
      </c>
      <c r="CN79" s="312">
        <f t="shared" si="168"/>
        <v>-1423</v>
      </c>
      <c r="CO79" s="312">
        <f t="shared" si="168"/>
        <v>636</v>
      </c>
      <c r="CP79" s="312">
        <f t="shared" si="168"/>
        <v>-9021</v>
      </c>
      <c r="CQ79" s="312">
        <f t="shared" si="168"/>
        <v>-189</v>
      </c>
      <c r="CR79" s="312">
        <f t="shared" si="168"/>
        <v>-949</v>
      </c>
      <c r="CS79" s="312"/>
      <c r="CT79" s="350"/>
      <c r="CU79" s="67">
        <f>'MONTHLY SUMMARIES'!F53</f>
        <v>6955</v>
      </c>
    </row>
    <row r="80" spans="1:99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/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50"/>
      <c r="CU80" s="67">
        <f>GETPIVOTDATA("VALUE",'CSS ESCO pvt'!$I$3,"DATE_FILE",$CU$8,"COMPANY",$CU$6,"TRIM_CAT","Low Income Residential-GRID","TRIM_LINE",$A75)</f>
        <v>2208</v>
      </c>
    </row>
    <row r="81" spans="1:103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/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50"/>
      <c r="CU81" s="81">
        <f>CU79-CU80</f>
        <v>4747</v>
      </c>
    </row>
    <row r="82" spans="1:103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/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69">O82-C82</f>
        <v>4251.4199999999983</v>
      </c>
      <c r="BJ82" s="46">
        <f t="shared" si="169"/>
        <v>16344.75</v>
      </c>
      <c r="BK82" s="46">
        <f t="shared" si="169"/>
        <v>15483.25</v>
      </c>
      <c r="BL82" s="46">
        <f t="shared" si="169"/>
        <v>13879.86</v>
      </c>
      <c r="BM82" s="46">
        <f t="shared" si="169"/>
        <v>18861.150000000001</v>
      </c>
      <c r="BN82" s="46">
        <f t="shared" si="169"/>
        <v>-2847.49</v>
      </c>
      <c r="BO82" s="46">
        <f t="shared" si="169"/>
        <v>-326.64999999999964</v>
      </c>
      <c r="BP82" s="46">
        <f t="shared" si="169"/>
        <v>-6265.93</v>
      </c>
      <c r="BQ82" s="46">
        <f t="shared" si="169"/>
        <v>12407.04</v>
      </c>
      <c r="BR82" s="46">
        <f t="shared" si="169"/>
        <v>-2569.17</v>
      </c>
      <c r="BS82" s="46">
        <f t="shared" ref="BS82:CB84" si="170">Y82-M82</f>
        <v>5907.02</v>
      </c>
      <c r="BT82" s="46">
        <f t="shared" si="170"/>
        <v>5985.66</v>
      </c>
      <c r="BU82" s="46">
        <f t="shared" si="170"/>
        <v>-2141.9599999999991</v>
      </c>
      <c r="BV82" s="46">
        <f t="shared" si="170"/>
        <v>-12387</v>
      </c>
      <c r="BW82" s="46">
        <f t="shared" si="170"/>
        <v>-17404</v>
      </c>
      <c r="BX82" s="46">
        <f t="shared" si="170"/>
        <v>-6056</v>
      </c>
      <c r="BY82" s="46">
        <f t="shared" si="170"/>
        <v>-13514</v>
      </c>
      <c r="BZ82" s="46">
        <f t="shared" si="170"/>
        <v>-2122</v>
      </c>
      <c r="CA82" s="271">
        <f t="shared" si="170"/>
        <v>903</v>
      </c>
      <c r="CB82" s="271">
        <f t="shared" si="170"/>
        <v>-5471</v>
      </c>
      <c r="CC82" s="271">
        <f t="shared" ref="CC82:CL84" si="171">AI82-W82</f>
        <v>-6093</v>
      </c>
      <c r="CD82" s="271">
        <f t="shared" si="171"/>
        <v>6544</v>
      </c>
      <c r="CE82" s="312">
        <f t="shared" si="171"/>
        <v>-592</v>
      </c>
      <c r="CF82" s="312">
        <f t="shared" si="171"/>
        <v>2904</v>
      </c>
      <c r="CG82" s="312">
        <f t="shared" si="171"/>
        <v>4185</v>
      </c>
      <c r="CH82" s="312">
        <f t="shared" si="171"/>
        <v>10721</v>
      </c>
      <c r="CI82" s="312">
        <f t="shared" si="171"/>
        <v>8275</v>
      </c>
      <c r="CJ82" s="312">
        <f t="shared" si="171"/>
        <v>-984</v>
      </c>
      <c r="CK82" s="312">
        <f t="shared" si="171"/>
        <v>5669</v>
      </c>
      <c r="CL82" s="312">
        <f t="shared" si="171"/>
        <v>832</v>
      </c>
      <c r="CM82" s="312">
        <f t="shared" ref="CM82:CR84" si="172">AS82-AG82</f>
        <v>-4642</v>
      </c>
      <c r="CN82" s="312">
        <f t="shared" si="172"/>
        <v>-2015</v>
      </c>
      <c r="CO82" s="312">
        <f t="shared" si="172"/>
        <v>4124</v>
      </c>
      <c r="CP82" s="312">
        <f t="shared" si="172"/>
        <v>-10364</v>
      </c>
      <c r="CQ82" s="312">
        <f t="shared" si="172"/>
        <v>-6292</v>
      </c>
      <c r="CR82" s="312">
        <f t="shared" si="172"/>
        <v>-281</v>
      </c>
      <c r="CS82" s="312"/>
      <c r="CT82" s="350"/>
      <c r="CU82" s="67">
        <f>'MONTHLY SUMMARIES'!F54</f>
        <v>7193</v>
      </c>
    </row>
    <row r="83" spans="1:103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/>
      <c r="BA83" s="297"/>
      <c r="BB83" s="297"/>
      <c r="BC83" s="297"/>
      <c r="BD83" s="297"/>
      <c r="BE83" s="297"/>
      <c r="BF83" s="297"/>
      <c r="BG83" s="297"/>
      <c r="BH83" s="297"/>
      <c r="BI83" s="45">
        <f t="shared" si="169"/>
        <v>4172.18</v>
      </c>
      <c r="BJ83" s="46">
        <f t="shared" si="169"/>
        <v>7543.08</v>
      </c>
      <c r="BK83" s="46">
        <f t="shared" si="169"/>
        <v>6914.42</v>
      </c>
      <c r="BL83" s="46">
        <f t="shared" si="169"/>
        <v>2739.13</v>
      </c>
      <c r="BM83" s="46">
        <f t="shared" si="169"/>
        <v>958.90000000000009</v>
      </c>
      <c r="BN83" s="46">
        <f t="shared" si="169"/>
        <v>-43.149999999999636</v>
      </c>
      <c r="BO83" s="46">
        <f t="shared" si="169"/>
        <v>963.90999999999985</v>
      </c>
      <c r="BP83" s="46">
        <f t="shared" si="169"/>
        <v>3545.76</v>
      </c>
      <c r="BQ83" s="46">
        <f t="shared" si="169"/>
        <v>-160.01000000000022</v>
      </c>
      <c r="BR83" s="46">
        <f t="shared" si="169"/>
        <v>8878.27</v>
      </c>
      <c r="BS83" s="46">
        <f t="shared" si="170"/>
        <v>-4184.1100000000006</v>
      </c>
      <c r="BT83" s="46">
        <f t="shared" si="170"/>
        <v>-3052.9799999999996</v>
      </c>
      <c r="BU83" s="46">
        <f t="shared" si="170"/>
        <v>-5100.42</v>
      </c>
      <c r="BV83" s="46">
        <f t="shared" si="170"/>
        <v>-8978</v>
      </c>
      <c r="BW83" s="46">
        <f t="shared" si="170"/>
        <v>-7660</v>
      </c>
      <c r="BX83" s="46">
        <f t="shared" si="170"/>
        <v>-2790</v>
      </c>
      <c r="BY83" s="46">
        <f t="shared" si="170"/>
        <v>-3853</v>
      </c>
      <c r="BZ83" s="46">
        <f t="shared" si="170"/>
        <v>-2851</v>
      </c>
      <c r="CA83" s="271">
        <f t="shared" si="170"/>
        <v>1214</v>
      </c>
      <c r="CB83" s="271">
        <f t="shared" si="170"/>
        <v>-4491</v>
      </c>
      <c r="CC83" s="271">
        <f t="shared" si="171"/>
        <v>-3883</v>
      </c>
      <c r="CD83" s="271">
        <f t="shared" si="171"/>
        <v>-6849</v>
      </c>
      <c r="CE83" s="312">
        <f t="shared" si="171"/>
        <v>-3743</v>
      </c>
      <c r="CF83" s="312">
        <f t="shared" si="171"/>
        <v>-86</v>
      </c>
      <c r="CG83" s="312">
        <f t="shared" si="171"/>
        <v>-1061</v>
      </c>
      <c r="CH83" s="312">
        <f t="shared" si="171"/>
        <v>126</v>
      </c>
      <c r="CI83" s="312">
        <f t="shared" si="171"/>
        <v>-745</v>
      </c>
      <c r="CJ83" s="312">
        <f t="shared" si="171"/>
        <v>147</v>
      </c>
      <c r="CK83" s="312">
        <f t="shared" si="171"/>
        <v>0</v>
      </c>
      <c r="CL83" s="312">
        <f t="shared" si="171"/>
        <v>-1672</v>
      </c>
      <c r="CM83" s="312">
        <f t="shared" si="172"/>
        <v>3404</v>
      </c>
      <c r="CN83" s="312">
        <f t="shared" si="172"/>
        <v>4317</v>
      </c>
      <c r="CO83" s="312">
        <f t="shared" si="172"/>
        <v>1359</v>
      </c>
      <c r="CP83" s="312">
        <f t="shared" si="172"/>
        <v>-3124</v>
      </c>
      <c r="CQ83" s="312">
        <f t="shared" si="172"/>
        <v>2472</v>
      </c>
      <c r="CR83" s="312">
        <f t="shared" si="172"/>
        <v>-223</v>
      </c>
      <c r="CS83" s="312"/>
      <c r="CT83" s="350"/>
      <c r="CU83" s="67">
        <f>'MONTHLY SUMMARIES'!F55</f>
        <v>838</v>
      </c>
    </row>
    <row r="84" spans="1:103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/>
      <c r="BA84" s="297"/>
      <c r="BB84" s="297"/>
      <c r="BC84" s="297"/>
      <c r="BD84" s="297"/>
      <c r="BE84" s="297"/>
      <c r="BF84" s="297"/>
      <c r="BG84" s="297"/>
      <c r="BH84" s="297"/>
      <c r="BI84" s="45">
        <f t="shared" si="169"/>
        <v>2779.98</v>
      </c>
      <c r="BJ84" s="46">
        <f t="shared" si="169"/>
        <v>11155</v>
      </c>
      <c r="BK84" s="46">
        <f t="shared" si="169"/>
        <v>557</v>
      </c>
      <c r="BL84" s="46">
        <f t="shared" si="169"/>
        <v>0</v>
      </c>
      <c r="BM84" s="46">
        <f t="shared" si="169"/>
        <v>48.150000000000006</v>
      </c>
      <c r="BN84" s="46">
        <f t="shared" si="169"/>
        <v>0</v>
      </c>
      <c r="BO84" s="46">
        <f t="shared" si="169"/>
        <v>0</v>
      </c>
      <c r="BP84" s="46">
        <f t="shared" si="169"/>
        <v>896</v>
      </c>
      <c r="BQ84" s="46">
        <f t="shared" si="169"/>
        <v>20</v>
      </c>
      <c r="BR84" s="46">
        <f t="shared" si="169"/>
        <v>70</v>
      </c>
      <c r="BS84" s="46">
        <f t="shared" si="170"/>
        <v>0</v>
      </c>
      <c r="BT84" s="46">
        <f t="shared" si="170"/>
        <v>0</v>
      </c>
      <c r="BU84" s="46">
        <f t="shared" si="170"/>
        <v>-2688.98</v>
      </c>
      <c r="BV84" s="46">
        <f t="shared" si="170"/>
        <v>-11155</v>
      </c>
      <c r="BW84" s="46">
        <f t="shared" si="170"/>
        <v>-289</v>
      </c>
      <c r="BX84" s="46">
        <f t="shared" si="170"/>
        <v>27</v>
      </c>
      <c r="BY84" s="46">
        <f t="shared" si="170"/>
        <v>863</v>
      </c>
      <c r="BZ84" s="46">
        <f t="shared" si="170"/>
        <v>212</v>
      </c>
      <c r="CA84" s="271">
        <f t="shared" si="170"/>
        <v>21120</v>
      </c>
      <c r="CB84" s="271">
        <f t="shared" si="170"/>
        <v>27714</v>
      </c>
      <c r="CC84" s="271">
        <f t="shared" si="171"/>
        <v>16220</v>
      </c>
      <c r="CD84" s="271">
        <f t="shared" si="171"/>
        <v>20124</v>
      </c>
      <c r="CE84" s="312">
        <f t="shared" si="171"/>
        <v>11980</v>
      </c>
      <c r="CF84" s="312">
        <f t="shared" si="171"/>
        <v>3216</v>
      </c>
      <c r="CG84" s="312">
        <f t="shared" si="171"/>
        <v>21207</v>
      </c>
      <c r="CH84" s="312">
        <f t="shared" si="171"/>
        <v>9401</v>
      </c>
      <c r="CI84" s="312">
        <f t="shared" si="171"/>
        <v>12476</v>
      </c>
      <c r="CJ84" s="312">
        <f t="shared" si="171"/>
        <v>19195</v>
      </c>
      <c r="CK84" s="312">
        <f t="shared" si="171"/>
        <v>13125</v>
      </c>
      <c r="CL84" s="312">
        <f t="shared" si="171"/>
        <v>9</v>
      </c>
      <c r="CM84" s="312">
        <f t="shared" si="172"/>
        <v>-14718</v>
      </c>
      <c r="CN84" s="312">
        <f t="shared" si="172"/>
        <v>-28609</v>
      </c>
      <c r="CO84" s="312">
        <f t="shared" si="172"/>
        <v>-16239</v>
      </c>
      <c r="CP84" s="312">
        <f t="shared" si="172"/>
        <v>-20108</v>
      </c>
      <c r="CQ84" s="312">
        <f t="shared" si="172"/>
        <v>-1454</v>
      </c>
      <c r="CR84" s="312">
        <f t="shared" si="172"/>
        <v>10254</v>
      </c>
      <c r="CS84" s="312"/>
      <c r="CT84" s="350"/>
      <c r="CU84" s="67">
        <f>'MONTHLY SUMMARIES'!F56</f>
        <v>11364</v>
      </c>
    </row>
    <row r="85" spans="1:103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73">SUM(D76:D84)</f>
        <v>92520.62999999999</v>
      </c>
      <c r="E85" s="145">
        <f t="shared" si="173"/>
        <v>98437.74</v>
      </c>
      <c r="F85" s="145">
        <f t="shared" si="173"/>
        <v>76083.39</v>
      </c>
      <c r="G85" s="145">
        <f t="shared" si="173"/>
        <v>63586.34</v>
      </c>
      <c r="H85" s="145">
        <f t="shared" si="173"/>
        <v>73416.659999999989</v>
      </c>
      <c r="I85" s="145">
        <f t="shared" si="173"/>
        <v>78087.41</v>
      </c>
      <c r="J85" s="145">
        <f t="shared" si="173"/>
        <v>114467.92</v>
      </c>
      <c r="K85" s="145">
        <f t="shared" si="173"/>
        <v>84708.590000000011</v>
      </c>
      <c r="L85" s="146">
        <f t="shared" si="173"/>
        <v>94050.39</v>
      </c>
      <c r="M85" s="145">
        <f t="shared" si="173"/>
        <v>87826.36</v>
      </c>
      <c r="N85" s="145">
        <f t="shared" si="173"/>
        <v>82218.87</v>
      </c>
      <c r="O85" s="145">
        <f t="shared" si="173"/>
        <v>131457.09</v>
      </c>
      <c r="P85" s="145">
        <f t="shared" si="173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/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38214.57</v>
      </c>
      <c r="BJ85" s="147">
        <f t="shared" ref="BJ85:BL85" si="174">SUM(BJ76:BJ84)</f>
        <v>113570.37000000001</v>
      </c>
      <c r="BK85" s="147">
        <f t="shared" si="174"/>
        <v>89518.26</v>
      </c>
      <c r="BL85" s="147">
        <f t="shared" si="174"/>
        <v>97510.61</v>
      </c>
      <c r="BM85" s="147">
        <f t="shared" ref="BM85:BN85" si="175">SUM(BM76:BM84)</f>
        <v>92382.659999999974</v>
      </c>
      <c r="BN85" s="147">
        <f t="shared" si="175"/>
        <v>56005.340000000004</v>
      </c>
      <c r="BO85" s="147">
        <f t="shared" ref="BO85:BP85" si="176">SUM(BO76:BO84)</f>
        <v>81429.59</v>
      </c>
      <c r="BP85" s="147">
        <f t="shared" si="176"/>
        <v>127006.08</v>
      </c>
      <c r="BQ85" s="147">
        <f t="shared" ref="BQ85:BR85" si="177">SUM(BQ76:BQ84)</f>
        <v>131640.40999999997</v>
      </c>
      <c r="BR85" s="147">
        <f t="shared" si="177"/>
        <v>74580.61</v>
      </c>
      <c r="BS85" s="147">
        <f t="shared" ref="BS85:BT85" si="178">SUM(BS76:BS84)</f>
        <v>52782.64</v>
      </c>
      <c r="BT85" s="147">
        <f t="shared" si="178"/>
        <v>77364.13</v>
      </c>
      <c r="BU85" s="147">
        <f t="shared" ref="BU85:BV85" si="179">SUM(BU76:BU84)</f>
        <v>50979.909999999996</v>
      </c>
      <c r="BV85" s="147">
        <f t="shared" si="179"/>
        <v>-12999</v>
      </c>
      <c r="BW85" s="147">
        <f t="shared" ref="BW85:BX85" si="180">SUM(BW76:BW84)</f>
        <v>-24484</v>
      </c>
      <c r="BX85" s="147">
        <f t="shared" si="180"/>
        <v>-37338</v>
      </c>
      <c r="BY85" s="147">
        <f t="shared" ref="BY85:BZ85" si="181">SUM(BY76:BY84)</f>
        <v>-49212</v>
      </c>
      <c r="BZ85" s="147">
        <f t="shared" si="181"/>
        <v>-33235</v>
      </c>
      <c r="CA85" s="272">
        <f t="shared" ref="CA85:CB85" si="182">SUM(CA76:CA84)</f>
        <v>-18592</v>
      </c>
      <c r="CB85" s="272">
        <f t="shared" si="182"/>
        <v>-84621</v>
      </c>
      <c r="CC85" s="272">
        <f t="shared" ref="CC85:CE85" si="183">SUM(CC76:CC84)</f>
        <v>-58351</v>
      </c>
      <c r="CD85" s="272">
        <f t="shared" si="183"/>
        <v>-3393</v>
      </c>
      <c r="CE85" s="313">
        <f t="shared" si="183"/>
        <v>-30729</v>
      </c>
      <c r="CF85" s="313">
        <f t="shared" ref="CF85:CG85" si="184">SUM(CF76:CF84)</f>
        <v>-37763</v>
      </c>
      <c r="CG85" s="313">
        <f t="shared" si="184"/>
        <v>-34596</v>
      </c>
      <c r="CH85" s="313">
        <f t="shared" ref="CH85:CI85" si="185">SUM(CH76:CH84)</f>
        <v>-4664</v>
      </c>
      <c r="CI85" s="313">
        <f t="shared" si="185"/>
        <v>-28730</v>
      </c>
      <c r="CJ85" s="313">
        <f t="shared" ref="CJ85" si="186">SUM(CJ76:CJ84)</f>
        <v>-17149</v>
      </c>
      <c r="CK85" s="313">
        <f t="shared" ref="CK85" si="187">SUM(CK76:CK84)</f>
        <v>-5748</v>
      </c>
      <c r="CL85" s="313">
        <f t="shared" ref="CL85" si="188">SUM(CL76:CL84)</f>
        <v>-14519</v>
      </c>
      <c r="CM85" s="313">
        <f t="shared" ref="CM85" si="189">SUM(CM76:CM84)</f>
        <v>-36199</v>
      </c>
      <c r="CN85" s="313">
        <f t="shared" ref="CN85" si="190">SUM(CN76:CN84)</f>
        <v>-48331</v>
      </c>
      <c r="CO85" s="313">
        <f t="shared" ref="CO85" si="191">SUM(CO76:CO84)</f>
        <v>-31565</v>
      </c>
      <c r="CP85" s="313">
        <f t="shared" ref="CP85" si="192">SUM(CP76:CP84)</f>
        <v>-78655</v>
      </c>
      <c r="CQ85" s="313">
        <f t="shared" ref="CQ85:CS85" si="193">SUM(CQ76:CQ84)</f>
        <v>-31157</v>
      </c>
      <c r="CR85" s="313">
        <f t="shared" ref="CR85" si="194">SUM(CR76:CR84)</f>
        <v>7574</v>
      </c>
      <c r="CS85" s="313"/>
      <c r="CT85" s="351"/>
      <c r="CU85" s="262">
        <f>CU76+CU79+CU82+CU83+CU84</f>
        <v>139495</v>
      </c>
    </row>
    <row r="86" spans="1:10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50"/>
      <c r="CU86" s="52"/>
    </row>
    <row r="87" spans="1:103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/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R87" si="195">O87-C87</f>
        <v>111836.52000000002</v>
      </c>
      <c r="BJ87" s="46">
        <f t="shared" si="195"/>
        <v>150667.19</v>
      </c>
      <c r="BK87" s="46">
        <f t="shared" si="195"/>
        <v>211341.89</v>
      </c>
      <c r="BL87" s="46">
        <f t="shared" si="195"/>
        <v>270629.26</v>
      </c>
      <c r="BM87" s="46">
        <f t="shared" si="195"/>
        <v>307084.76</v>
      </c>
      <c r="BN87" s="46">
        <f t="shared" si="195"/>
        <v>321041.91000000003</v>
      </c>
      <c r="BO87" s="46">
        <f t="shared" si="195"/>
        <v>361508.63</v>
      </c>
      <c r="BP87" s="46">
        <f t="shared" si="195"/>
        <v>386470.35</v>
      </c>
      <c r="BQ87" s="46">
        <f t="shared" si="195"/>
        <v>431931.36</v>
      </c>
      <c r="BR87" s="46">
        <f t="shared" si="195"/>
        <v>470475.52000000002</v>
      </c>
      <c r="BS87" s="46">
        <f t="shared" si="195"/>
        <v>479831.07</v>
      </c>
      <c r="BT87" s="46">
        <f t="shared" si="195"/>
        <v>477886.98</v>
      </c>
      <c r="BU87" s="46">
        <f t="shared" si="195"/>
        <v>472182.04</v>
      </c>
      <c r="BV87" s="46">
        <f t="shared" si="195"/>
        <v>394928</v>
      </c>
      <c r="BW87" s="46">
        <f t="shared" si="195"/>
        <v>347014</v>
      </c>
      <c r="BX87" s="46">
        <f t="shared" si="195"/>
        <v>284980</v>
      </c>
      <c r="BY87" s="46">
        <f t="shared" si="195"/>
        <v>222676</v>
      </c>
      <c r="BZ87" s="46">
        <f t="shared" si="195"/>
        <v>95466</v>
      </c>
      <c r="CA87" s="271">
        <f t="shared" si="195"/>
        <v>-22554</v>
      </c>
      <c r="CB87" s="271">
        <f t="shared" si="195"/>
        <v>-67051</v>
      </c>
      <c r="CC87" s="271">
        <f t="shared" si="195"/>
        <v>-108512</v>
      </c>
      <c r="CD87" s="271">
        <f t="shared" si="195"/>
        <v>-201751</v>
      </c>
      <c r="CE87" s="312">
        <f t="shared" si="195"/>
        <v>-220481</v>
      </c>
      <c r="CF87" s="312">
        <f t="shared" si="195"/>
        <v>-222657</v>
      </c>
      <c r="CG87" s="312">
        <f t="shared" si="195"/>
        <v>-230988</v>
      </c>
      <c r="CH87" s="312">
        <f t="shared" si="195"/>
        <v>-244639</v>
      </c>
      <c r="CI87" s="312">
        <f t="shared" si="195"/>
        <v>-269409</v>
      </c>
      <c r="CJ87" s="312">
        <f t="shared" si="195"/>
        <v>-303012</v>
      </c>
      <c r="CK87" s="312">
        <f t="shared" si="195"/>
        <v>-329637</v>
      </c>
      <c r="CL87" s="312">
        <f t="shared" si="195"/>
        <v>-178276</v>
      </c>
      <c r="CM87" s="312">
        <f t="shared" si="195"/>
        <v>-129263</v>
      </c>
      <c r="CN87" s="312">
        <f t="shared" si="195"/>
        <v>-100382</v>
      </c>
      <c r="CO87" s="312">
        <f t="shared" si="195"/>
        <v>-134000</v>
      </c>
      <c r="CP87" s="312">
        <f t="shared" si="195"/>
        <v>-75299</v>
      </c>
      <c r="CQ87" s="312">
        <f t="shared" si="195"/>
        <v>-102140</v>
      </c>
      <c r="CR87" s="312">
        <f t="shared" si="195"/>
        <v>-114879</v>
      </c>
      <c r="CS87" s="312"/>
      <c r="CT87" s="350"/>
      <c r="CU87" s="67">
        <f>'MONTHLY SUMMARIES'!F59</f>
        <v>470871</v>
      </c>
    </row>
    <row r="88" spans="1:103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/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50"/>
      <c r="CU88" s="67">
        <f>GETPIVOTDATA("VALUE",'CSS ESCO pvt'!$I$3,"DATE_FILE",$CU$8,"COMPANY",$CU$6,"TRIM_CAT","Residential-GRID","TRIM_LINE",$A86)</f>
        <v>61881</v>
      </c>
    </row>
    <row r="89" spans="1:103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/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50"/>
      <c r="CU89" s="81">
        <f>CU87-CU88</f>
        <v>408990</v>
      </c>
    </row>
    <row r="90" spans="1:103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/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R90" si="196">O90-C90</f>
        <v>-3428.1200000000026</v>
      </c>
      <c r="BJ90" s="46">
        <f t="shared" si="196"/>
        <v>868.33000000000175</v>
      </c>
      <c r="BK90" s="46">
        <f t="shared" si="196"/>
        <v>4853.2799999999988</v>
      </c>
      <c r="BL90" s="46">
        <f t="shared" si="196"/>
        <v>9135.9400000000023</v>
      </c>
      <c r="BM90" s="46">
        <f t="shared" si="196"/>
        <v>18849.239999999998</v>
      </c>
      <c r="BN90" s="46">
        <f t="shared" si="196"/>
        <v>18593.910000000003</v>
      </c>
      <c r="BO90" s="46">
        <f t="shared" si="196"/>
        <v>10651.160000000003</v>
      </c>
      <c r="BP90" s="46">
        <f t="shared" si="196"/>
        <v>-376.59999999999854</v>
      </c>
      <c r="BQ90" s="46">
        <f t="shared" si="196"/>
        <v>2795.9800000000032</v>
      </c>
      <c r="BR90" s="46">
        <f t="shared" si="196"/>
        <v>13021.39</v>
      </c>
      <c r="BS90" s="46">
        <f t="shared" si="196"/>
        <v>8425.8300000000017</v>
      </c>
      <c r="BT90" s="46">
        <f t="shared" si="196"/>
        <v>15042.980000000003</v>
      </c>
      <c r="BU90" s="46">
        <f t="shared" si="196"/>
        <v>24428.18</v>
      </c>
      <c r="BV90" s="46">
        <f t="shared" si="196"/>
        <v>40139</v>
      </c>
      <c r="BW90" s="46">
        <f t="shared" si="196"/>
        <v>39085</v>
      </c>
      <c r="BX90" s="46">
        <f t="shared" si="196"/>
        <v>41293</v>
      </c>
      <c r="BY90" s="46">
        <f t="shared" si="196"/>
        <v>17491</v>
      </c>
      <c r="BZ90" s="46">
        <f t="shared" si="196"/>
        <v>34228</v>
      </c>
      <c r="CA90" s="271">
        <f t="shared" si="196"/>
        <v>30008</v>
      </c>
      <c r="CB90" s="271">
        <f t="shared" si="196"/>
        <v>28947</v>
      </c>
      <c r="CC90" s="271">
        <f t="shared" si="196"/>
        <v>8811</v>
      </c>
      <c r="CD90" s="271">
        <f t="shared" si="196"/>
        <v>23982</v>
      </c>
      <c r="CE90" s="312">
        <f t="shared" si="196"/>
        <v>30627</v>
      </c>
      <c r="CF90" s="312">
        <f t="shared" si="196"/>
        <v>17162</v>
      </c>
      <c r="CG90" s="312">
        <f t="shared" si="196"/>
        <v>698</v>
      </c>
      <c r="CH90" s="312">
        <f t="shared" si="196"/>
        <v>-17421</v>
      </c>
      <c r="CI90" s="312">
        <f t="shared" si="196"/>
        <v>-13701</v>
      </c>
      <c r="CJ90" s="312">
        <f t="shared" si="196"/>
        <v>-19212</v>
      </c>
      <c r="CK90" s="312">
        <f t="shared" si="196"/>
        <v>-19930</v>
      </c>
      <c r="CL90" s="312">
        <f t="shared" si="196"/>
        <v>-64298</v>
      </c>
      <c r="CM90" s="312">
        <f t="shared" si="196"/>
        <v>-36072</v>
      </c>
      <c r="CN90" s="312">
        <f t="shared" si="196"/>
        <v>-39950</v>
      </c>
      <c r="CO90" s="312">
        <f t="shared" si="196"/>
        <v>-24596</v>
      </c>
      <c r="CP90" s="312">
        <f t="shared" si="196"/>
        <v>-58612</v>
      </c>
      <c r="CQ90" s="312">
        <f t="shared" si="196"/>
        <v>-63831</v>
      </c>
      <c r="CR90" s="312">
        <f t="shared" si="196"/>
        <v>-54178</v>
      </c>
      <c r="CS90" s="312"/>
      <c r="CT90" s="350"/>
      <c r="CU90" s="67">
        <f>'MONTHLY SUMMARIES'!F60</f>
        <v>36757</v>
      </c>
    </row>
    <row r="91" spans="1:103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/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50"/>
      <c r="CU91" s="67">
        <f>GETPIVOTDATA("VALUE",'CSS ESCO pvt'!$I$3,"DATE_FILE",$CU$8,"COMPANY",$CU$6,"TRIM_CAT","Low Income Residential-GRID","TRIM_LINE",$A86)</f>
        <v>7619</v>
      </c>
    </row>
    <row r="92" spans="1:103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/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50"/>
      <c r="CU92" s="81">
        <f>CU90-CU91</f>
        <v>29138</v>
      </c>
    </row>
    <row r="93" spans="1:103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/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197">O93-C93</f>
        <v>-1140.0199999999995</v>
      </c>
      <c r="BJ93" s="46">
        <f t="shared" si="197"/>
        <v>15133.73</v>
      </c>
      <c r="BK93" s="46">
        <f t="shared" si="197"/>
        <v>19108.080000000002</v>
      </c>
      <c r="BL93" s="46">
        <f t="shared" si="197"/>
        <v>30972.48</v>
      </c>
      <c r="BM93" s="46">
        <f t="shared" si="197"/>
        <v>41320.729999999996</v>
      </c>
      <c r="BN93" s="46">
        <f t="shared" si="197"/>
        <v>44342.879999999997</v>
      </c>
      <c r="BO93" s="46">
        <f t="shared" si="197"/>
        <v>45149.3</v>
      </c>
      <c r="BP93" s="46">
        <f t="shared" si="197"/>
        <v>10856.73</v>
      </c>
      <c r="BQ93" s="46">
        <f t="shared" si="197"/>
        <v>18321.060000000001</v>
      </c>
      <c r="BR93" s="46">
        <f t="shared" si="197"/>
        <v>27899.97</v>
      </c>
      <c r="BS93" s="46">
        <f t="shared" ref="BS93:CB95" si="198">Y93-M93</f>
        <v>29580.080000000002</v>
      </c>
      <c r="BT93" s="46">
        <f t="shared" si="198"/>
        <v>39699.74</v>
      </c>
      <c r="BU93" s="46">
        <f t="shared" si="198"/>
        <v>38098.410000000003</v>
      </c>
      <c r="BV93" s="46">
        <f t="shared" si="198"/>
        <v>11793</v>
      </c>
      <c r="BW93" s="46">
        <f t="shared" si="198"/>
        <v>1780</v>
      </c>
      <c r="BX93" s="46">
        <f t="shared" si="198"/>
        <v>-8220</v>
      </c>
      <c r="BY93" s="46">
        <f t="shared" si="198"/>
        <v>-18100</v>
      </c>
      <c r="BZ93" s="46">
        <f t="shared" si="198"/>
        <v>-18787</v>
      </c>
      <c r="CA93" s="271">
        <f t="shared" si="198"/>
        <v>-28338</v>
      </c>
      <c r="CB93" s="271">
        <f t="shared" si="198"/>
        <v>9495</v>
      </c>
      <c r="CC93" s="271">
        <f t="shared" ref="CC93:CL95" si="199">AI93-W93</f>
        <v>13040</v>
      </c>
      <c r="CD93" s="271">
        <f t="shared" si="199"/>
        <v>-16969</v>
      </c>
      <c r="CE93" s="312">
        <f t="shared" si="199"/>
        <v>-15868</v>
      </c>
      <c r="CF93" s="312">
        <f t="shared" si="199"/>
        <v>-23780</v>
      </c>
      <c r="CG93" s="312">
        <f t="shared" si="199"/>
        <v>-29533</v>
      </c>
      <c r="CH93" s="312">
        <f t="shared" si="199"/>
        <v>-12443</v>
      </c>
      <c r="CI93" s="312">
        <f t="shared" si="199"/>
        <v>-7871</v>
      </c>
      <c r="CJ93" s="312">
        <f t="shared" si="199"/>
        <v>-8282</v>
      </c>
      <c r="CK93" s="312">
        <f t="shared" si="199"/>
        <v>-20889</v>
      </c>
      <c r="CL93" s="312">
        <f t="shared" si="199"/>
        <v>-19249</v>
      </c>
      <c r="CM93" s="312">
        <f t="shared" ref="CM93:CR95" si="200">AS93-AG93</f>
        <v>-13537</v>
      </c>
      <c r="CN93" s="312">
        <f t="shared" si="200"/>
        <v>-19157</v>
      </c>
      <c r="CO93" s="312">
        <f t="shared" si="200"/>
        <v>-23870</v>
      </c>
      <c r="CP93" s="312">
        <f t="shared" si="200"/>
        <v>-6833</v>
      </c>
      <c r="CQ93" s="312">
        <f t="shared" si="200"/>
        <v>-13076</v>
      </c>
      <c r="CR93" s="312">
        <f t="shared" si="200"/>
        <v>-7904</v>
      </c>
      <c r="CS93" s="312"/>
      <c r="CT93" s="350"/>
      <c r="CU93" s="67">
        <f>'MONTHLY SUMMARIES'!F61</f>
        <v>11497</v>
      </c>
    </row>
    <row r="94" spans="1:103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/>
      <c r="BA94" s="297"/>
      <c r="BB94" s="297"/>
      <c r="BC94" s="297"/>
      <c r="BD94" s="297"/>
      <c r="BE94" s="297"/>
      <c r="BF94" s="297"/>
      <c r="BG94" s="297"/>
      <c r="BH94" s="297"/>
      <c r="BI94" s="45">
        <f t="shared" si="197"/>
        <v>3189.3199999999997</v>
      </c>
      <c r="BJ94" s="46">
        <f t="shared" si="197"/>
        <v>9383.83</v>
      </c>
      <c r="BK94" s="46">
        <f t="shared" si="197"/>
        <v>3663.54</v>
      </c>
      <c r="BL94" s="46">
        <f t="shared" si="197"/>
        <v>5607.92</v>
      </c>
      <c r="BM94" s="46">
        <f t="shared" si="197"/>
        <v>9264</v>
      </c>
      <c r="BN94" s="46">
        <f t="shared" si="197"/>
        <v>6109.6</v>
      </c>
      <c r="BO94" s="46">
        <f t="shared" si="197"/>
        <v>5601.2</v>
      </c>
      <c r="BP94" s="46">
        <f t="shared" si="197"/>
        <v>6205.89</v>
      </c>
      <c r="BQ94" s="46">
        <f t="shared" si="197"/>
        <v>11184.76</v>
      </c>
      <c r="BR94" s="46">
        <f t="shared" si="197"/>
        <v>9958.41</v>
      </c>
      <c r="BS94" s="46">
        <f t="shared" si="198"/>
        <v>13816.09</v>
      </c>
      <c r="BT94" s="46">
        <f t="shared" si="198"/>
        <v>14285.51</v>
      </c>
      <c r="BU94" s="46">
        <f t="shared" si="198"/>
        <v>64.050000000000182</v>
      </c>
      <c r="BV94" s="46">
        <f t="shared" si="198"/>
        <v>-8488</v>
      </c>
      <c r="BW94" s="46">
        <f t="shared" si="198"/>
        <v>-4245</v>
      </c>
      <c r="BX94" s="46">
        <f t="shared" si="198"/>
        <v>-5608</v>
      </c>
      <c r="BY94" s="46">
        <f t="shared" si="198"/>
        <v>-9264</v>
      </c>
      <c r="BZ94" s="46">
        <f t="shared" si="198"/>
        <v>-7448</v>
      </c>
      <c r="CA94" s="271">
        <f t="shared" si="198"/>
        <v>-9081</v>
      </c>
      <c r="CB94" s="271">
        <f t="shared" si="198"/>
        <v>-11261</v>
      </c>
      <c r="CC94" s="271">
        <f t="shared" si="199"/>
        <v>-13802</v>
      </c>
      <c r="CD94" s="271">
        <f t="shared" si="199"/>
        <v>-14793</v>
      </c>
      <c r="CE94" s="312">
        <f t="shared" si="199"/>
        <v>-14837</v>
      </c>
      <c r="CF94" s="312">
        <f t="shared" si="199"/>
        <v>-13469</v>
      </c>
      <c r="CG94" s="312">
        <f t="shared" si="199"/>
        <v>-3343</v>
      </c>
      <c r="CH94" s="312">
        <f t="shared" si="199"/>
        <v>-993</v>
      </c>
      <c r="CI94" s="312">
        <f t="shared" si="199"/>
        <v>-978</v>
      </c>
      <c r="CJ94" s="312">
        <f t="shared" si="199"/>
        <v>0</v>
      </c>
      <c r="CK94" s="312">
        <f t="shared" si="199"/>
        <v>0</v>
      </c>
      <c r="CL94" s="312">
        <f t="shared" si="199"/>
        <v>0</v>
      </c>
      <c r="CM94" s="312">
        <f t="shared" si="200"/>
        <v>4391</v>
      </c>
      <c r="CN94" s="312">
        <f t="shared" si="200"/>
        <v>30</v>
      </c>
      <c r="CO94" s="312">
        <f t="shared" si="200"/>
        <v>45</v>
      </c>
      <c r="CP94" s="312">
        <f t="shared" si="200"/>
        <v>619</v>
      </c>
      <c r="CQ94" s="312">
        <f t="shared" si="200"/>
        <v>-42</v>
      </c>
      <c r="CR94" s="312">
        <f t="shared" si="200"/>
        <v>2463</v>
      </c>
      <c r="CS94" s="312"/>
      <c r="CT94" s="350"/>
      <c r="CU94" s="67">
        <f>'MONTHLY SUMMARIES'!F62</f>
        <v>930</v>
      </c>
    </row>
    <row r="95" spans="1:103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/>
      <c r="BA95" s="297"/>
      <c r="BB95" s="297"/>
      <c r="BC95" s="297"/>
      <c r="BD95" s="297"/>
      <c r="BE95" s="297"/>
      <c r="BF95" s="297"/>
      <c r="BG95" s="297"/>
      <c r="BH95" s="297"/>
      <c r="BI95" s="45">
        <f t="shared" si="197"/>
        <v>0</v>
      </c>
      <c r="BJ95" s="46">
        <f t="shared" si="197"/>
        <v>0</v>
      </c>
      <c r="BK95" s="46">
        <f t="shared" si="197"/>
        <v>0</v>
      </c>
      <c r="BL95" s="46">
        <f t="shared" si="197"/>
        <v>0</v>
      </c>
      <c r="BM95" s="46">
        <f t="shared" si="197"/>
        <v>0</v>
      </c>
      <c r="BN95" s="46">
        <f t="shared" si="197"/>
        <v>0</v>
      </c>
      <c r="BO95" s="46">
        <f t="shared" si="197"/>
        <v>0</v>
      </c>
      <c r="BP95" s="46">
        <f t="shared" si="197"/>
        <v>0</v>
      </c>
      <c r="BQ95" s="46">
        <f t="shared" si="197"/>
        <v>0</v>
      </c>
      <c r="BR95" s="46">
        <f t="shared" si="197"/>
        <v>0</v>
      </c>
      <c r="BS95" s="46">
        <f t="shared" si="198"/>
        <v>0</v>
      </c>
      <c r="BT95" s="46">
        <f t="shared" si="198"/>
        <v>0</v>
      </c>
      <c r="BU95" s="46">
        <f t="shared" si="198"/>
        <v>0</v>
      </c>
      <c r="BV95" s="46">
        <f t="shared" si="198"/>
        <v>0</v>
      </c>
      <c r="BW95" s="46">
        <f t="shared" si="198"/>
        <v>0</v>
      </c>
      <c r="BX95" s="46">
        <f t="shared" si="198"/>
        <v>0</v>
      </c>
      <c r="BY95" s="46">
        <f t="shared" si="198"/>
        <v>0</v>
      </c>
      <c r="BZ95" s="46">
        <f t="shared" si="198"/>
        <v>0</v>
      </c>
      <c r="CA95" s="271">
        <f t="shared" si="198"/>
        <v>212</v>
      </c>
      <c r="CB95" s="271">
        <f t="shared" si="198"/>
        <v>21332</v>
      </c>
      <c r="CC95" s="271">
        <f t="shared" si="199"/>
        <v>9671</v>
      </c>
      <c r="CD95" s="271">
        <f t="shared" si="199"/>
        <v>421</v>
      </c>
      <c r="CE95" s="312">
        <f t="shared" si="199"/>
        <v>3856</v>
      </c>
      <c r="CF95" s="312">
        <f t="shared" si="199"/>
        <v>5742</v>
      </c>
      <c r="CG95" s="312">
        <f t="shared" si="199"/>
        <v>7554</v>
      </c>
      <c r="CH95" s="312">
        <f t="shared" si="199"/>
        <v>8537</v>
      </c>
      <c r="CI95" s="312">
        <f t="shared" si="199"/>
        <v>17938</v>
      </c>
      <c r="CJ95" s="312">
        <f t="shared" si="199"/>
        <v>6306</v>
      </c>
      <c r="CK95" s="312">
        <f t="shared" si="199"/>
        <v>476</v>
      </c>
      <c r="CL95" s="312">
        <f t="shared" si="199"/>
        <v>86</v>
      </c>
      <c r="CM95" s="312">
        <f t="shared" si="200"/>
        <v>95</v>
      </c>
      <c r="CN95" s="312">
        <f t="shared" si="200"/>
        <v>-21244</v>
      </c>
      <c r="CO95" s="312">
        <f t="shared" si="200"/>
        <v>-9582</v>
      </c>
      <c r="CP95" s="312">
        <f t="shared" si="200"/>
        <v>-421</v>
      </c>
      <c r="CQ95" s="312">
        <f t="shared" si="200"/>
        <v>-3856</v>
      </c>
      <c r="CR95" s="312">
        <f t="shared" si="200"/>
        <v>-216</v>
      </c>
      <c r="CS95" s="312"/>
      <c r="CT95" s="350"/>
      <c r="CU95" s="67">
        <f>'MONTHLY SUMMARIES'!F63</f>
        <v>18997</v>
      </c>
    </row>
    <row r="96" spans="1:103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01">SUM(D87:D95)</f>
        <v>314561.91999999998</v>
      </c>
      <c r="E96" s="145">
        <f t="shared" si="201"/>
        <v>331115.20999999996</v>
      </c>
      <c r="F96" s="145">
        <f t="shared" si="201"/>
        <v>327583.40000000002</v>
      </c>
      <c r="G96" s="145">
        <f t="shared" si="201"/>
        <v>336588.27</v>
      </c>
      <c r="H96" s="145">
        <f t="shared" si="201"/>
        <v>311218.7</v>
      </c>
      <c r="I96" s="145">
        <f t="shared" si="201"/>
        <v>311601.70999999996</v>
      </c>
      <c r="J96" s="145">
        <f t="shared" si="201"/>
        <v>322677.63</v>
      </c>
      <c r="K96" s="145">
        <f t="shared" si="201"/>
        <v>347190.84</v>
      </c>
      <c r="L96" s="146">
        <f t="shared" si="201"/>
        <v>362154.71</v>
      </c>
      <c r="M96" s="145">
        <f t="shared" si="201"/>
        <v>382136.92999999993</v>
      </c>
      <c r="N96" s="145">
        <f t="shared" si="201"/>
        <v>361295.79000000004</v>
      </c>
      <c r="O96" s="145">
        <f t="shared" si="201"/>
        <v>406217.32000000007</v>
      </c>
      <c r="P96" s="145">
        <f t="shared" si="201"/>
        <v>490615</v>
      </c>
      <c r="Q96" s="145">
        <f t="shared" ref="Q96:BI96" si="202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/>
      <c r="BA96" s="298"/>
      <c r="BB96" s="298"/>
      <c r="BC96" s="298"/>
      <c r="BD96" s="298"/>
      <c r="BE96" s="298"/>
      <c r="BF96" s="298"/>
      <c r="BG96" s="298"/>
      <c r="BH96" s="298"/>
      <c r="BI96" s="47">
        <f t="shared" si="202"/>
        <v>110457.70000000001</v>
      </c>
      <c r="BJ96" s="147">
        <f t="shared" ref="BJ96:BL96" si="203">SUM(BJ87:BJ95)</f>
        <v>176053.08000000002</v>
      </c>
      <c r="BK96" s="147">
        <f t="shared" si="203"/>
        <v>238966.79</v>
      </c>
      <c r="BL96" s="147">
        <f t="shared" si="203"/>
        <v>316345.59999999998</v>
      </c>
      <c r="BM96" s="147">
        <f t="shared" ref="BM96:BN96" si="204">SUM(BM87:BM95)</f>
        <v>376518.73</v>
      </c>
      <c r="BN96" s="147">
        <f t="shared" si="204"/>
        <v>390088.30000000005</v>
      </c>
      <c r="BO96" s="147">
        <f t="shared" ref="BO96:BP96" si="205">SUM(BO87:BO95)</f>
        <v>422910.29000000004</v>
      </c>
      <c r="BP96" s="147">
        <f t="shared" si="205"/>
        <v>403156.37</v>
      </c>
      <c r="BQ96" s="147">
        <f t="shared" ref="BQ96:BR96" si="206">SUM(BQ87:BQ95)</f>
        <v>464233.16</v>
      </c>
      <c r="BR96" s="147">
        <f t="shared" si="206"/>
        <v>521355.29</v>
      </c>
      <c r="BS96" s="147">
        <f t="shared" ref="BS96:BT96" si="207">SUM(BS87:BS95)</f>
        <v>531653.07000000007</v>
      </c>
      <c r="BT96" s="147">
        <f t="shared" si="207"/>
        <v>546915.21</v>
      </c>
      <c r="BU96" s="147">
        <f t="shared" ref="BU96:BV96" si="208">SUM(BU87:BU95)</f>
        <v>534772.68000000005</v>
      </c>
      <c r="BV96" s="147">
        <f t="shared" si="208"/>
        <v>438372</v>
      </c>
      <c r="BW96" s="147">
        <f t="shared" ref="BW96:BX96" si="209">SUM(BW87:BW95)</f>
        <v>383634</v>
      </c>
      <c r="BX96" s="147">
        <f t="shared" si="209"/>
        <v>312445</v>
      </c>
      <c r="BY96" s="147">
        <f t="shared" ref="BY96:BZ96" si="210">SUM(BY87:BY95)</f>
        <v>212803</v>
      </c>
      <c r="BZ96" s="147">
        <f t="shared" si="210"/>
        <v>103459</v>
      </c>
      <c r="CA96" s="272">
        <f t="shared" ref="CA96:CB96" si="211">SUM(CA87:CA95)</f>
        <v>-29753</v>
      </c>
      <c r="CB96" s="272">
        <f t="shared" si="211"/>
        <v>-18538</v>
      </c>
      <c r="CC96" s="272">
        <f t="shared" ref="CC96:CE96" si="212">SUM(CC87:CC95)</f>
        <v>-90792</v>
      </c>
      <c r="CD96" s="272">
        <f t="shared" si="212"/>
        <v>-209110</v>
      </c>
      <c r="CE96" s="313">
        <f t="shared" si="212"/>
        <v>-216703</v>
      </c>
      <c r="CF96" s="313">
        <f t="shared" ref="CF96:CG96" si="213">SUM(CF87:CF95)</f>
        <v>-237002</v>
      </c>
      <c r="CG96" s="313">
        <f t="shared" si="213"/>
        <v>-255612</v>
      </c>
      <c r="CH96" s="313">
        <f t="shared" ref="CH96:CI96" si="214">SUM(CH87:CH95)</f>
        <v>-266959</v>
      </c>
      <c r="CI96" s="313">
        <f t="shared" si="214"/>
        <v>-274021</v>
      </c>
      <c r="CJ96" s="313">
        <f t="shared" ref="CJ96" si="215">SUM(CJ87:CJ95)</f>
        <v>-324200</v>
      </c>
      <c r="CK96" s="313">
        <f t="shared" ref="CK96" si="216">SUM(CK87:CK95)</f>
        <v>-369980</v>
      </c>
      <c r="CL96" s="313">
        <f t="shared" ref="CL96" si="217">SUM(CL87:CL95)</f>
        <v>-261737</v>
      </c>
      <c r="CM96" s="313">
        <f t="shared" ref="CM96" si="218">SUM(CM87:CM95)</f>
        <v>-174386</v>
      </c>
      <c r="CN96" s="313">
        <f t="shared" ref="CN96" si="219">SUM(CN87:CN95)</f>
        <v>-180703</v>
      </c>
      <c r="CO96" s="313">
        <f t="shared" ref="CO96" si="220">SUM(CO87:CO95)</f>
        <v>-192003</v>
      </c>
      <c r="CP96" s="313">
        <f t="shared" ref="CP96" si="221">SUM(CP87:CP95)</f>
        <v>-140546</v>
      </c>
      <c r="CQ96" s="313">
        <f t="shared" ref="CQ96:CS96" si="222">SUM(CQ87:CQ95)</f>
        <v>-182945</v>
      </c>
      <c r="CR96" s="313">
        <f t="shared" ref="CR96" si="223">SUM(CR87:CR95)</f>
        <v>-174714</v>
      </c>
      <c r="CS96" s="313"/>
      <c r="CT96" s="351"/>
      <c r="CU96" s="262">
        <f>CU87+CU90+CU93+CU94+CU95</f>
        <v>539052</v>
      </c>
      <c r="CV96" s="40"/>
      <c r="CW96" s="40"/>
      <c r="CX96" s="40"/>
      <c r="CY96" s="40"/>
    </row>
    <row r="97" spans="1:10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50"/>
      <c r="CU97" s="52"/>
    </row>
    <row r="98" spans="1:103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/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R98" si="224">O98-C98</f>
        <v>194729.13999999996</v>
      </c>
      <c r="BJ98" s="46">
        <f t="shared" si="224"/>
        <v>315674.68</v>
      </c>
      <c r="BK98" s="46">
        <f t="shared" si="224"/>
        <v>351849.85</v>
      </c>
      <c r="BL98" s="46">
        <f t="shared" si="224"/>
        <v>454409.57</v>
      </c>
      <c r="BM98" s="46">
        <f t="shared" si="224"/>
        <v>479776.81</v>
      </c>
      <c r="BN98" s="46">
        <f t="shared" si="224"/>
        <v>515186.64</v>
      </c>
      <c r="BO98" s="46">
        <f t="shared" si="224"/>
        <v>593161.25</v>
      </c>
      <c r="BP98" s="46">
        <f t="shared" si="224"/>
        <v>623564.38</v>
      </c>
      <c r="BQ98" s="46">
        <f t="shared" si="224"/>
        <v>649553.75</v>
      </c>
      <c r="BR98" s="46">
        <f t="shared" si="224"/>
        <v>597014.28</v>
      </c>
      <c r="BS98" s="46">
        <f t="shared" si="224"/>
        <v>568318.97</v>
      </c>
      <c r="BT98" s="46">
        <f t="shared" si="224"/>
        <v>634895.81999999995</v>
      </c>
      <c r="BU98" s="46">
        <f t="shared" si="224"/>
        <v>563710.30000000005</v>
      </c>
      <c r="BV98" s="46">
        <f t="shared" si="224"/>
        <v>408163</v>
      </c>
      <c r="BW98" s="46">
        <f t="shared" si="224"/>
        <v>296812</v>
      </c>
      <c r="BX98" s="46">
        <f t="shared" si="224"/>
        <v>206822</v>
      </c>
      <c r="BY98" s="46">
        <f t="shared" si="224"/>
        <v>153923</v>
      </c>
      <c r="BZ98" s="46">
        <f t="shared" si="224"/>
        <v>25743</v>
      </c>
      <c r="CA98" s="271">
        <f t="shared" si="224"/>
        <v>-161370</v>
      </c>
      <c r="CB98" s="271">
        <f t="shared" si="224"/>
        <v>-159542</v>
      </c>
      <c r="CC98" s="271">
        <f t="shared" si="224"/>
        <v>-229452</v>
      </c>
      <c r="CD98" s="271">
        <f t="shared" si="224"/>
        <v>-286158</v>
      </c>
      <c r="CE98" s="312">
        <f t="shared" si="224"/>
        <v>-259897</v>
      </c>
      <c r="CF98" s="312">
        <f t="shared" si="224"/>
        <v>-333994</v>
      </c>
      <c r="CG98" s="312">
        <f t="shared" si="224"/>
        <v>-306455</v>
      </c>
      <c r="CH98" s="312">
        <f t="shared" si="224"/>
        <v>-375129</v>
      </c>
      <c r="CI98" s="312">
        <f t="shared" si="224"/>
        <v>-344663</v>
      </c>
      <c r="CJ98" s="312">
        <f t="shared" si="224"/>
        <v>-345196</v>
      </c>
      <c r="CK98" s="312">
        <f t="shared" si="224"/>
        <v>-356813</v>
      </c>
      <c r="CL98" s="312">
        <f t="shared" si="224"/>
        <v>-247644</v>
      </c>
      <c r="CM98" s="312">
        <f t="shared" si="224"/>
        <v>-153964</v>
      </c>
      <c r="CN98" s="312">
        <f t="shared" si="224"/>
        <v>-175747</v>
      </c>
      <c r="CO98" s="312">
        <f t="shared" si="224"/>
        <v>-203790</v>
      </c>
      <c r="CP98" s="312">
        <f t="shared" si="224"/>
        <v>-116326</v>
      </c>
      <c r="CQ98" s="312">
        <f t="shared" si="224"/>
        <v>-169179</v>
      </c>
      <c r="CR98" s="312">
        <f t="shared" si="224"/>
        <v>-21573</v>
      </c>
      <c r="CS98" s="312"/>
      <c r="CT98" s="350"/>
      <c r="CU98" s="67">
        <f>'MONTHLY SUMMARIES'!F66</f>
        <v>849490</v>
      </c>
    </row>
    <row r="99" spans="1:103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/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50"/>
      <c r="CU99" s="67">
        <f>GETPIVOTDATA("VALUE",'CSS ESCO pvt'!$I$3,"DATE_FILE",$CU$8,"COMPANY",$CU$6,"TRIM_CAT","Residential-GRID","TRIM_LINE",$A97)</f>
        <v>179566</v>
      </c>
    </row>
    <row r="100" spans="1:103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50"/>
      <c r="CU100" s="81">
        <f>CU98-CU99</f>
        <v>669924</v>
      </c>
    </row>
    <row r="101" spans="1:103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R101" si="225">O101-C101</f>
        <v>-3807.0899999999965</v>
      </c>
      <c r="BJ101" s="46">
        <f t="shared" si="225"/>
        <v>691.02999999999884</v>
      </c>
      <c r="BK101" s="46">
        <f t="shared" si="225"/>
        <v>5294.7700000000041</v>
      </c>
      <c r="BL101" s="46">
        <f t="shared" si="225"/>
        <v>11318.130000000005</v>
      </c>
      <c r="BM101" s="46">
        <f t="shared" si="225"/>
        <v>21795.089999999997</v>
      </c>
      <c r="BN101" s="46">
        <f t="shared" si="225"/>
        <v>20898.339999999997</v>
      </c>
      <c r="BO101" s="46">
        <f t="shared" si="225"/>
        <v>14599.350000000006</v>
      </c>
      <c r="BP101" s="46">
        <f t="shared" si="225"/>
        <v>623.52999999999884</v>
      </c>
      <c r="BQ101" s="46">
        <f t="shared" si="225"/>
        <v>4004.4000000000015</v>
      </c>
      <c r="BR101" s="46">
        <f t="shared" si="225"/>
        <v>12945.330000000002</v>
      </c>
      <c r="BS101" s="46">
        <f t="shared" si="225"/>
        <v>7985.3899999999994</v>
      </c>
      <c r="BT101" s="46">
        <f t="shared" si="225"/>
        <v>24343.14</v>
      </c>
      <c r="BU101" s="46">
        <f t="shared" si="225"/>
        <v>33061.08</v>
      </c>
      <c r="BV101" s="46">
        <f t="shared" si="225"/>
        <v>52860</v>
      </c>
      <c r="BW101" s="46">
        <f t="shared" si="225"/>
        <v>47629</v>
      </c>
      <c r="BX101" s="46">
        <f t="shared" si="225"/>
        <v>45621</v>
      </c>
      <c r="BY101" s="46">
        <f t="shared" si="225"/>
        <v>19225</v>
      </c>
      <c r="BZ101" s="46">
        <f t="shared" si="225"/>
        <v>36416</v>
      </c>
      <c r="CA101" s="271">
        <f t="shared" si="225"/>
        <v>31280</v>
      </c>
      <c r="CB101" s="271">
        <f t="shared" si="225"/>
        <v>30652</v>
      </c>
      <c r="CC101" s="271">
        <f t="shared" si="225"/>
        <v>13723</v>
      </c>
      <c r="CD101" s="271">
        <f t="shared" si="225"/>
        <v>31459</v>
      </c>
      <c r="CE101" s="312">
        <f t="shared" si="225"/>
        <v>34669</v>
      </c>
      <c r="CF101" s="312">
        <f t="shared" si="225"/>
        <v>12600</v>
      </c>
      <c r="CG101" s="312">
        <f t="shared" si="225"/>
        <v>-3521</v>
      </c>
      <c r="CH101" s="312">
        <f t="shared" si="225"/>
        <v>-25163</v>
      </c>
      <c r="CI101" s="312">
        <f t="shared" si="225"/>
        <v>-19149</v>
      </c>
      <c r="CJ101" s="312">
        <f t="shared" si="225"/>
        <v>-20474</v>
      </c>
      <c r="CK101" s="312">
        <f t="shared" si="225"/>
        <v>-21994</v>
      </c>
      <c r="CL101" s="312">
        <f t="shared" si="225"/>
        <v>-69860</v>
      </c>
      <c r="CM101" s="312">
        <f t="shared" si="225"/>
        <v>-38446</v>
      </c>
      <c r="CN101" s="312">
        <f t="shared" si="225"/>
        <v>-42098</v>
      </c>
      <c r="CO101" s="312">
        <f t="shared" si="225"/>
        <v>-30359</v>
      </c>
      <c r="CP101" s="312">
        <f t="shared" si="225"/>
        <v>-65937</v>
      </c>
      <c r="CQ101" s="312">
        <f t="shared" si="225"/>
        <v>-65322</v>
      </c>
      <c r="CR101" s="312">
        <f t="shared" si="225"/>
        <v>-48448</v>
      </c>
      <c r="CS101" s="312"/>
      <c r="CT101" s="350"/>
      <c r="CU101" s="67">
        <f>'MONTHLY SUMMARIES'!F67</f>
        <v>53920</v>
      </c>
    </row>
    <row r="102" spans="1:103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50"/>
      <c r="CU102" s="67">
        <f>GETPIVOTDATA("VALUE",'CSS ESCO pvt'!$I$3,"DATE_FILE",$CU$8,"COMPANY",$CU$6,"TRIM_CAT","Low Income Residential-GRID","TRIM_LINE",$A97)</f>
        <v>13936</v>
      </c>
    </row>
    <row r="103" spans="1:103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50"/>
      <c r="CU103" s="81">
        <f>CU101-CU102</f>
        <v>39984</v>
      </c>
    </row>
    <row r="104" spans="1:103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26">O104-C104</f>
        <v>3383.760000000002</v>
      </c>
      <c r="BJ104" s="46">
        <f t="shared" si="226"/>
        <v>86456.84</v>
      </c>
      <c r="BK104" s="46">
        <f t="shared" si="226"/>
        <v>68117.51999999999</v>
      </c>
      <c r="BL104" s="46">
        <f t="shared" si="226"/>
        <v>52000.43</v>
      </c>
      <c r="BM104" s="46">
        <f t="shared" si="226"/>
        <v>109135.82</v>
      </c>
      <c r="BN104" s="46">
        <f t="shared" si="226"/>
        <v>53346.52</v>
      </c>
      <c r="BO104" s="46">
        <f t="shared" si="226"/>
        <v>39151.730000000003</v>
      </c>
      <c r="BP104" s="46">
        <f t="shared" si="226"/>
        <v>26393.589999999997</v>
      </c>
      <c r="BQ104" s="46">
        <f t="shared" si="226"/>
        <v>33917.539999999994</v>
      </c>
      <c r="BR104" s="46">
        <f t="shared" si="226"/>
        <v>27441.130000000005</v>
      </c>
      <c r="BS104" s="46">
        <f t="shared" ref="BS104:CB106" si="227">Y104-M104</f>
        <v>24213.490000000005</v>
      </c>
      <c r="BT104" s="46">
        <f t="shared" si="227"/>
        <v>49604.45</v>
      </c>
      <c r="BU104" s="46">
        <f t="shared" si="227"/>
        <v>22396.629999999997</v>
      </c>
      <c r="BV104" s="46">
        <f t="shared" si="227"/>
        <v>-48945</v>
      </c>
      <c r="BW104" s="46">
        <f t="shared" si="227"/>
        <v>-55649</v>
      </c>
      <c r="BX104" s="46">
        <f t="shared" si="227"/>
        <v>-11499</v>
      </c>
      <c r="BY104" s="46">
        <f t="shared" si="227"/>
        <v>-66258</v>
      </c>
      <c r="BZ104" s="46">
        <f t="shared" si="227"/>
        <v>-14344</v>
      </c>
      <c r="CA104" s="271">
        <f t="shared" si="227"/>
        <v>-23727</v>
      </c>
      <c r="CB104" s="271">
        <f t="shared" si="227"/>
        <v>44204</v>
      </c>
      <c r="CC104" s="271">
        <f t="shared" ref="CC104:CL106" si="228">AI104-W104</f>
        <v>8923</v>
      </c>
      <c r="CD104" s="271">
        <f t="shared" si="228"/>
        <v>-13884</v>
      </c>
      <c r="CE104" s="312">
        <f t="shared" si="228"/>
        <v>29584</v>
      </c>
      <c r="CF104" s="312">
        <f t="shared" si="228"/>
        <v>-23399</v>
      </c>
      <c r="CG104" s="312">
        <f t="shared" si="228"/>
        <v>3138</v>
      </c>
      <c r="CH104" s="312">
        <f t="shared" si="228"/>
        <v>-20394</v>
      </c>
      <c r="CI104" s="312">
        <f t="shared" si="228"/>
        <v>11709</v>
      </c>
      <c r="CJ104" s="312">
        <f t="shared" si="228"/>
        <v>-464</v>
      </c>
      <c r="CK104" s="312">
        <f t="shared" si="228"/>
        <v>27073</v>
      </c>
      <c r="CL104" s="312">
        <f t="shared" si="228"/>
        <v>-30633</v>
      </c>
      <c r="CM104" s="312">
        <f t="shared" ref="CM104:CR106" si="229">AS104-AG104</f>
        <v>-6761</v>
      </c>
      <c r="CN104" s="312">
        <f t="shared" si="229"/>
        <v>-73994</v>
      </c>
      <c r="CO104" s="312">
        <f t="shared" si="229"/>
        <v>-34297</v>
      </c>
      <c r="CP104" s="312">
        <f t="shared" si="229"/>
        <v>-10067</v>
      </c>
      <c r="CQ104" s="312">
        <f t="shared" si="229"/>
        <v>-44890</v>
      </c>
      <c r="CR104" s="312">
        <f t="shared" si="229"/>
        <v>1365</v>
      </c>
      <c r="CS104" s="312"/>
      <c r="CT104" s="350"/>
      <c r="CU104" s="67">
        <f>'MONTHLY SUMMARIES'!F68</f>
        <v>45598</v>
      </c>
    </row>
    <row r="105" spans="1:103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26"/>
        <v>3363.3100000000013</v>
      </c>
      <c r="BJ105" s="46">
        <f t="shared" si="226"/>
        <v>66285.33</v>
      </c>
      <c r="BK105" s="46">
        <f t="shared" si="226"/>
        <v>39997.770000000004</v>
      </c>
      <c r="BL105" s="46">
        <f t="shared" si="226"/>
        <v>-5996.7900000000009</v>
      </c>
      <c r="BM105" s="46">
        <f t="shared" si="226"/>
        <v>52517.380000000005</v>
      </c>
      <c r="BN105" s="46">
        <f t="shared" si="226"/>
        <v>21540.53</v>
      </c>
      <c r="BO105" s="46">
        <f t="shared" si="226"/>
        <v>11367.009999999998</v>
      </c>
      <c r="BP105" s="46">
        <f t="shared" si="226"/>
        <v>70116.66</v>
      </c>
      <c r="BQ105" s="46">
        <f t="shared" si="226"/>
        <v>22381.039999999994</v>
      </c>
      <c r="BR105" s="46">
        <f t="shared" si="226"/>
        <v>40500.239999999998</v>
      </c>
      <c r="BS105" s="46">
        <f t="shared" si="227"/>
        <v>4185.0599999999977</v>
      </c>
      <c r="BT105" s="46">
        <f t="shared" si="227"/>
        <v>-15292.29</v>
      </c>
      <c r="BU105" s="46">
        <f t="shared" si="227"/>
        <v>-18961.13</v>
      </c>
      <c r="BV105" s="46">
        <f t="shared" si="227"/>
        <v>-54173</v>
      </c>
      <c r="BW105" s="46">
        <f t="shared" si="227"/>
        <v>-44602</v>
      </c>
      <c r="BX105" s="46">
        <f t="shared" si="227"/>
        <v>28607</v>
      </c>
      <c r="BY105" s="46">
        <f t="shared" si="227"/>
        <v>-15889</v>
      </c>
      <c r="BZ105" s="46">
        <f t="shared" si="227"/>
        <v>-10888</v>
      </c>
      <c r="CA105" s="271">
        <f t="shared" si="227"/>
        <v>-8523</v>
      </c>
      <c r="CB105" s="271">
        <f t="shared" si="227"/>
        <v>44143</v>
      </c>
      <c r="CC105" s="271">
        <f t="shared" si="228"/>
        <v>-67148</v>
      </c>
      <c r="CD105" s="271">
        <f t="shared" si="228"/>
        <v>-61766</v>
      </c>
      <c r="CE105" s="312">
        <f t="shared" si="228"/>
        <v>11291</v>
      </c>
      <c r="CF105" s="312">
        <f t="shared" si="228"/>
        <v>-16913</v>
      </c>
      <c r="CG105" s="312">
        <f t="shared" si="228"/>
        <v>2195</v>
      </c>
      <c r="CH105" s="312">
        <f t="shared" si="228"/>
        <v>-27770</v>
      </c>
      <c r="CI105" s="312">
        <f t="shared" si="228"/>
        <v>-232</v>
      </c>
      <c r="CJ105" s="312">
        <f t="shared" si="228"/>
        <v>-35427</v>
      </c>
      <c r="CK105" s="312">
        <f t="shared" si="228"/>
        <v>13649</v>
      </c>
      <c r="CL105" s="312">
        <f t="shared" si="228"/>
        <v>-17842</v>
      </c>
      <c r="CM105" s="312">
        <f t="shared" si="229"/>
        <v>15903</v>
      </c>
      <c r="CN105" s="312">
        <f t="shared" si="229"/>
        <v>-43097</v>
      </c>
      <c r="CO105" s="312">
        <f t="shared" si="229"/>
        <v>62372</v>
      </c>
      <c r="CP105" s="312">
        <f t="shared" si="229"/>
        <v>40060</v>
      </c>
      <c r="CQ105" s="312">
        <f t="shared" si="229"/>
        <v>-32924</v>
      </c>
      <c r="CR105" s="312">
        <f t="shared" si="229"/>
        <v>46841</v>
      </c>
      <c r="CS105" s="312"/>
      <c r="CT105" s="350"/>
      <c r="CU105" s="67">
        <f>'MONTHLY SUMMARIES'!F69</f>
        <v>5371</v>
      </c>
    </row>
    <row r="106" spans="1:103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26"/>
        <v>47563.33</v>
      </c>
      <c r="BJ106" s="46">
        <f t="shared" si="226"/>
        <v>24522.720000000001</v>
      </c>
      <c r="BK106" s="46">
        <f t="shared" si="226"/>
        <v>16296</v>
      </c>
      <c r="BL106" s="46">
        <f t="shared" si="226"/>
        <v>78331.509999999995</v>
      </c>
      <c r="BM106" s="46">
        <f t="shared" si="226"/>
        <v>702.02999999999884</v>
      </c>
      <c r="BN106" s="46">
        <f t="shared" si="226"/>
        <v>5735.18</v>
      </c>
      <c r="BO106" s="46">
        <f t="shared" si="226"/>
        <v>13642.49</v>
      </c>
      <c r="BP106" s="46">
        <f t="shared" si="226"/>
        <v>34504.65</v>
      </c>
      <c r="BQ106" s="46">
        <f t="shared" si="226"/>
        <v>10106.950000000001</v>
      </c>
      <c r="BR106" s="46">
        <f t="shared" si="226"/>
        <v>40151.279999999999</v>
      </c>
      <c r="BS106" s="46">
        <f t="shared" si="227"/>
        <v>29.46</v>
      </c>
      <c r="BT106" s="46">
        <f t="shared" si="227"/>
        <v>22604.95</v>
      </c>
      <c r="BU106" s="46">
        <f t="shared" si="227"/>
        <v>-36130.120000000003</v>
      </c>
      <c r="BV106" s="46">
        <f t="shared" si="227"/>
        <v>-21272</v>
      </c>
      <c r="BW106" s="46">
        <f t="shared" si="227"/>
        <v>841</v>
      </c>
      <c r="BX106" s="46">
        <f t="shared" si="227"/>
        <v>-78901</v>
      </c>
      <c r="BY106" s="46">
        <f t="shared" si="227"/>
        <v>-5578</v>
      </c>
      <c r="BZ106" s="46">
        <f t="shared" si="227"/>
        <v>-5947</v>
      </c>
      <c r="CA106" s="271">
        <f t="shared" si="227"/>
        <v>38191</v>
      </c>
      <c r="CB106" s="271">
        <f t="shared" si="227"/>
        <v>59671</v>
      </c>
      <c r="CC106" s="271">
        <f t="shared" si="228"/>
        <v>67092</v>
      </c>
      <c r="CD106" s="271">
        <f t="shared" si="228"/>
        <v>-27793</v>
      </c>
      <c r="CE106" s="312">
        <f t="shared" si="228"/>
        <v>92129</v>
      </c>
      <c r="CF106" s="312">
        <f t="shared" si="228"/>
        <v>26419</v>
      </c>
      <c r="CG106" s="312">
        <f t="shared" si="228"/>
        <v>29760</v>
      </c>
      <c r="CH106" s="312">
        <f t="shared" si="228"/>
        <v>137890</v>
      </c>
      <c r="CI106" s="312">
        <f t="shared" si="228"/>
        <v>62133</v>
      </c>
      <c r="CJ106" s="312">
        <f t="shared" si="228"/>
        <v>55588</v>
      </c>
      <c r="CK106" s="312">
        <f t="shared" si="228"/>
        <v>13844</v>
      </c>
      <c r="CL106" s="312">
        <f t="shared" si="228"/>
        <v>-24420</v>
      </c>
      <c r="CM106" s="312">
        <f t="shared" si="229"/>
        <v>43904</v>
      </c>
      <c r="CN106" s="312">
        <f t="shared" si="229"/>
        <v>-53441</v>
      </c>
      <c r="CO106" s="312">
        <f t="shared" si="229"/>
        <v>-62562</v>
      </c>
      <c r="CP106" s="312">
        <f t="shared" si="229"/>
        <v>-18246</v>
      </c>
      <c r="CQ106" s="312">
        <f t="shared" si="229"/>
        <v>-67792</v>
      </c>
      <c r="CR106" s="312">
        <f t="shared" si="229"/>
        <v>-14766</v>
      </c>
      <c r="CS106" s="312"/>
      <c r="CT106" s="350"/>
      <c r="CU106" s="67">
        <f>'MONTHLY SUMMARIES'!F70</f>
        <v>39856</v>
      </c>
    </row>
    <row r="107" spans="1:103" s="134" customFormat="1" ht="15" thickBot="1" x14ac:dyDescent="0.35">
      <c r="A107" s="151"/>
      <c r="B107" s="54" t="s">
        <v>42</v>
      </c>
      <c r="C107" s="130">
        <f t="shared" ref="C107:Q107" si="230">SUM(C98:C106)</f>
        <v>648541.78999999992</v>
      </c>
      <c r="D107" s="131">
        <f t="shared" si="230"/>
        <v>659512.40000000014</v>
      </c>
      <c r="E107" s="131">
        <f t="shared" si="230"/>
        <v>660315.09</v>
      </c>
      <c r="F107" s="131">
        <f t="shared" si="230"/>
        <v>593389.15</v>
      </c>
      <c r="G107" s="131">
        <f t="shared" si="230"/>
        <v>628632.87</v>
      </c>
      <c r="H107" s="131">
        <f t="shared" si="230"/>
        <v>588563.78999999992</v>
      </c>
      <c r="I107" s="131">
        <f t="shared" si="230"/>
        <v>670844.17000000004</v>
      </c>
      <c r="J107" s="131">
        <f t="shared" si="230"/>
        <v>704997.19</v>
      </c>
      <c r="K107" s="131">
        <f t="shared" si="230"/>
        <v>770425.32</v>
      </c>
      <c r="L107" s="132">
        <f t="shared" si="230"/>
        <v>767522.74</v>
      </c>
      <c r="M107" s="131">
        <f t="shared" si="230"/>
        <v>794352.63000000012</v>
      </c>
      <c r="N107" s="131">
        <f t="shared" si="230"/>
        <v>770337.93000000017</v>
      </c>
      <c r="O107" s="131">
        <f t="shared" si="230"/>
        <v>893774.24</v>
      </c>
      <c r="P107" s="131">
        <f t="shared" si="230"/>
        <v>1153143</v>
      </c>
      <c r="Q107" s="131">
        <f t="shared" si="230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245232.44999999995</v>
      </c>
      <c r="BJ107" s="133">
        <f t="shared" ref="BJ107:BL107" si="231">SUM(BJ98:BJ106)</f>
        <v>493630.6</v>
      </c>
      <c r="BK107" s="133">
        <f t="shared" si="231"/>
        <v>481555.91000000003</v>
      </c>
      <c r="BL107" s="133">
        <f t="shared" si="231"/>
        <v>590062.85</v>
      </c>
      <c r="BM107" s="133">
        <f t="shared" ref="BM107:BN107" si="232">SUM(BM98:BM106)</f>
        <v>663927.13</v>
      </c>
      <c r="BN107" s="133">
        <f t="shared" si="232"/>
        <v>616707.21000000008</v>
      </c>
      <c r="BO107" s="133">
        <f t="shared" ref="BO107:BP107" si="233">SUM(BO98:BO106)</f>
        <v>671921.83</v>
      </c>
      <c r="BP107" s="133">
        <f t="shared" si="233"/>
        <v>755202.81</v>
      </c>
      <c r="BQ107" s="133">
        <f t="shared" ref="BQ107:BR107" si="234">SUM(BQ98:BQ106)</f>
        <v>719963.68</v>
      </c>
      <c r="BR107" s="133">
        <f t="shared" si="234"/>
        <v>718052.26</v>
      </c>
      <c r="BS107" s="133">
        <f t="shared" ref="BS107:BT107" si="235">SUM(BS98:BS106)</f>
        <v>604732.36999999988</v>
      </c>
      <c r="BT107" s="133">
        <f t="shared" si="235"/>
        <v>716156.06999999983</v>
      </c>
      <c r="BU107" s="133">
        <f t="shared" ref="BU107:BV107" si="236">SUM(BU98:BU106)</f>
        <v>564076.76</v>
      </c>
      <c r="BV107" s="133">
        <f t="shared" si="236"/>
        <v>336633</v>
      </c>
      <c r="BW107" s="133">
        <f t="shared" ref="BW107:BX107" si="237">SUM(BW98:BW106)</f>
        <v>245031</v>
      </c>
      <c r="BX107" s="133">
        <f t="shared" si="237"/>
        <v>190650</v>
      </c>
      <c r="BY107" s="133">
        <f t="shared" ref="BY107:BZ107" si="238">SUM(BY98:BY106)</f>
        <v>85423</v>
      </c>
      <c r="BZ107" s="133">
        <f t="shared" si="238"/>
        <v>30980</v>
      </c>
      <c r="CA107" s="274">
        <f t="shared" ref="CA107:CB107" si="239">SUM(CA98:CA106)</f>
        <v>-124149</v>
      </c>
      <c r="CB107" s="274">
        <f t="shared" si="239"/>
        <v>19128</v>
      </c>
      <c r="CC107" s="274">
        <f t="shared" ref="CC107:CE107" si="240">SUM(CC98:CC106)</f>
        <v>-206862</v>
      </c>
      <c r="CD107" s="274">
        <f t="shared" si="240"/>
        <v>-358142</v>
      </c>
      <c r="CE107" s="326">
        <f t="shared" si="240"/>
        <v>-92224</v>
      </c>
      <c r="CF107" s="326">
        <f t="shared" ref="CF107:CG107" si="241">SUM(CF98:CF106)</f>
        <v>-335287</v>
      </c>
      <c r="CG107" s="326">
        <f t="shared" si="241"/>
        <v>-274883</v>
      </c>
      <c r="CH107" s="326">
        <f t="shared" ref="CH107:CI107" si="242">SUM(CH98:CH106)</f>
        <v>-310566</v>
      </c>
      <c r="CI107" s="326">
        <f t="shared" si="242"/>
        <v>-290202</v>
      </c>
      <c r="CJ107" s="326">
        <f t="shared" ref="CJ107" si="243">SUM(CJ98:CJ106)</f>
        <v>-345973</v>
      </c>
      <c r="CK107" s="326">
        <f t="shared" ref="CK107" si="244">SUM(CK98:CK106)</f>
        <v>-324241</v>
      </c>
      <c r="CL107" s="326">
        <f t="shared" ref="CL107" si="245">SUM(CL98:CL106)</f>
        <v>-390399</v>
      </c>
      <c r="CM107" s="326">
        <f t="shared" ref="CM107" si="246">SUM(CM98:CM106)</f>
        <v>-139364</v>
      </c>
      <c r="CN107" s="326">
        <f t="shared" ref="CN107" si="247">SUM(CN98:CN106)</f>
        <v>-388377</v>
      </c>
      <c r="CO107" s="326">
        <f t="shared" ref="CO107" si="248">SUM(CO98:CO106)</f>
        <v>-268636</v>
      </c>
      <c r="CP107" s="366">
        <f t="shared" ref="CP107" si="249">SUM(CP98:CP106)</f>
        <v>-170516</v>
      </c>
      <c r="CQ107" s="366">
        <f t="shared" ref="CQ107:CS107" si="250">SUM(CQ98:CQ106)</f>
        <v>-380107</v>
      </c>
      <c r="CR107" s="366">
        <f t="shared" ref="CR107" si="251">SUM(CR98:CR106)</f>
        <v>-36581</v>
      </c>
      <c r="CS107" s="366"/>
      <c r="CT107" s="351"/>
      <c r="CU107" s="38">
        <f>CU98+CU101+CU104+CU105+CU106</f>
        <v>994235</v>
      </c>
      <c r="CV107" s="40"/>
      <c r="CW107" s="40"/>
      <c r="CX107" s="40"/>
      <c r="CY107" s="40"/>
    </row>
    <row r="108" spans="1:10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48"/>
      <c r="CU108" s="81"/>
      <c r="CV108" s="40"/>
      <c r="CW108" s="40"/>
      <c r="CX108" s="40"/>
      <c r="CY108" s="40"/>
    </row>
    <row r="109" spans="1:103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/>
      <c r="BA109" s="300"/>
      <c r="BB109" s="300"/>
      <c r="BC109" s="300"/>
      <c r="BD109" s="300"/>
      <c r="BE109" s="300"/>
      <c r="BF109" s="300"/>
      <c r="BG109" s="300"/>
      <c r="BH109" s="300"/>
      <c r="BI109" s="86">
        <f t="shared" ref="BI109:BO113" si="252">O109-C109</f>
        <v>-490467</v>
      </c>
      <c r="BJ109" s="87">
        <f t="shared" si="252"/>
        <v>346513</v>
      </c>
      <c r="BK109" s="87">
        <f t="shared" si="252"/>
        <v>316416</v>
      </c>
      <c r="BL109" s="87">
        <f t="shared" si="252"/>
        <v>283743</v>
      </c>
      <c r="BM109" s="87">
        <f t="shared" si="252"/>
        <v>-74014</v>
      </c>
      <c r="BN109" s="87">
        <f t="shared" si="252"/>
        <v>1333409</v>
      </c>
      <c r="BO109" s="87">
        <f t="shared" si="252"/>
        <v>938976</v>
      </c>
      <c r="BP109" s="212">
        <f t="shared" ref="BP109:BY113" si="253">IF(ISERROR(V109-J109)=TRUE,"N/A",V109-J109)</f>
        <v>1899107</v>
      </c>
      <c r="BQ109" s="212">
        <f t="shared" si="253"/>
        <v>946187</v>
      </c>
      <c r="BR109" s="212">
        <f t="shared" si="253"/>
        <v>-17534</v>
      </c>
      <c r="BS109" s="212">
        <f t="shared" si="253"/>
        <v>-413619</v>
      </c>
      <c r="BT109" s="212">
        <f t="shared" si="253"/>
        <v>2078492</v>
      </c>
      <c r="BU109" s="212">
        <f t="shared" si="253"/>
        <v>1362484</v>
      </c>
      <c r="BV109" s="212">
        <f t="shared" si="253"/>
        <v>46325</v>
      </c>
      <c r="BW109" s="212">
        <f t="shared" si="253"/>
        <v>-275309</v>
      </c>
      <c r="BX109" s="212">
        <f t="shared" si="253"/>
        <v>888953</v>
      </c>
      <c r="BY109" s="212">
        <f t="shared" si="253"/>
        <v>1267617</v>
      </c>
      <c r="BZ109" s="212">
        <f t="shared" ref="BZ109:CI113" si="254">IF(ISERROR(AF109-T109)=TRUE,"N/A",AF109-T109)</f>
        <v>-739290</v>
      </c>
      <c r="CA109" s="275">
        <f t="shared" si="254"/>
        <v>1066513</v>
      </c>
      <c r="CB109" s="275">
        <f t="shared" si="254"/>
        <v>113792</v>
      </c>
      <c r="CC109" s="275">
        <f t="shared" si="254"/>
        <v>-360599</v>
      </c>
      <c r="CD109" s="275">
        <f t="shared" si="254"/>
        <v>-530948</v>
      </c>
      <c r="CE109" s="314">
        <f t="shared" si="254"/>
        <v>-721094</v>
      </c>
      <c r="CF109" s="314">
        <f t="shared" si="254"/>
        <v>305230</v>
      </c>
      <c r="CG109" s="314">
        <f t="shared" si="254"/>
        <v>-452889</v>
      </c>
      <c r="CH109" s="314">
        <f t="shared" si="254"/>
        <v>252898</v>
      </c>
      <c r="CI109" s="314">
        <f t="shared" si="254"/>
        <v>148427</v>
      </c>
      <c r="CJ109" s="314">
        <f t="shared" ref="CJ109:CR113" si="255">IF(ISERROR(AP109-AD109)=TRUE,"N/A",AP109-AD109)</f>
        <v>49361</v>
      </c>
      <c r="CK109" s="314">
        <f t="shared" si="255"/>
        <v>-1427535</v>
      </c>
      <c r="CL109" s="314">
        <f t="shared" si="255"/>
        <v>1614760</v>
      </c>
      <c r="CM109" s="314">
        <f t="shared" si="255"/>
        <v>153776</v>
      </c>
      <c r="CN109" s="314">
        <f t="shared" si="255"/>
        <v>-560333</v>
      </c>
      <c r="CO109" s="314">
        <f t="shared" si="255"/>
        <v>83990</v>
      </c>
      <c r="CP109" s="314">
        <f t="shared" si="255"/>
        <v>254955</v>
      </c>
      <c r="CQ109" s="314">
        <f t="shared" si="255"/>
        <v>608264</v>
      </c>
      <c r="CR109" s="314">
        <f t="shared" si="255"/>
        <v>-1131310</v>
      </c>
      <c r="CS109" s="314"/>
      <c r="CT109" s="348"/>
      <c r="CU109" s="67">
        <f>'MONTHLY SUMMARIES'!F73</f>
        <v>8515108</v>
      </c>
      <c r="CV109" s="40"/>
      <c r="CW109" s="40"/>
      <c r="CX109" s="40"/>
      <c r="CY109" s="40"/>
    </row>
    <row r="110" spans="1:103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86">
        <f t="shared" si="252"/>
        <v>-15060</v>
      </c>
      <c r="BJ110" s="87">
        <f t="shared" si="252"/>
        <v>2505</v>
      </c>
      <c r="BK110" s="87">
        <f t="shared" si="252"/>
        <v>8243</v>
      </c>
      <c r="BL110" s="87">
        <f t="shared" si="252"/>
        <v>10675</v>
      </c>
      <c r="BM110" s="87">
        <f t="shared" si="252"/>
        <v>6464</v>
      </c>
      <c r="BN110" s="87">
        <f t="shared" si="252"/>
        <v>23936</v>
      </c>
      <c r="BO110" s="87">
        <f t="shared" si="252"/>
        <v>22678</v>
      </c>
      <c r="BP110" s="212">
        <f t="shared" si="253"/>
        <v>18128</v>
      </c>
      <c r="BQ110" s="212">
        <f t="shared" si="253"/>
        <v>4214</v>
      </c>
      <c r="BR110" s="212">
        <f t="shared" si="253"/>
        <v>10382</v>
      </c>
      <c r="BS110" s="212">
        <f t="shared" si="253"/>
        <v>22412</v>
      </c>
      <c r="BT110" s="212">
        <f t="shared" si="253"/>
        <v>39625</v>
      </c>
      <c r="BU110" s="212">
        <f t="shared" si="253"/>
        <v>62318</v>
      </c>
      <c r="BV110" s="212">
        <f t="shared" si="253"/>
        <v>29056</v>
      </c>
      <c r="BW110" s="212">
        <f t="shared" si="253"/>
        <v>23658</v>
      </c>
      <c r="BX110" s="212">
        <f t="shared" si="253"/>
        <v>27656</v>
      </c>
      <c r="BY110" s="212">
        <f t="shared" si="253"/>
        <v>40892</v>
      </c>
      <c r="BZ110" s="212">
        <f t="shared" si="254"/>
        <v>10808</v>
      </c>
      <c r="CA110" s="275">
        <f t="shared" si="254"/>
        <v>30897</v>
      </c>
      <c r="CB110" s="275">
        <f t="shared" si="254"/>
        <v>13702</v>
      </c>
      <c r="CC110" s="275">
        <f t="shared" si="254"/>
        <v>7451</v>
      </c>
      <c r="CD110" s="275">
        <f t="shared" si="254"/>
        <v>5302</v>
      </c>
      <c r="CE110" s="314">
        <f t="shared" si="254"/>
        <v>-23033</v>
      </c>
      <c r="CF110" s="314">
        <f t="shared" si="254"/>
        <v>9335</v>
      </c>
      <c r="CG110" s="314">
        <f t="shared" si="254"/>
        <v>-29958</v>
      </c>
      <c r="CH110" s="314">
        <f t="shared" si="254"/>
        <v>-23069</v>
      </c>
      <c r="CI110" s="314">
        <f t="shared" si="254"/>
        <v>-19804</v>
      </c>
      <c r="CJ110" s="314">
        <f t="shared" si="255"/>
        <v>-13584</v>
      </c>
      <c r="CK110" s="314">
        <f t="shared" si="255"/>
        <v>-42679</v>
      </c>
      <c r="CL110" s="314">
        <f t="shared" si="255"/>
        <v>-18018</v>
      </c>
      <c r="CM110" s="314">
        <f t="shared" si="255"/>
        <v>-22950</v>
      </c>
      <c r="CN110" s="314">
        <f t="shared" si="255"/>
        <v>-8688</v>
      </c>
      <c r="CO110" s="314">
        <f t="shared" si="255"/>
        <v>-8301</v>
      </c>
      <c r="CP110" s="314">
        <f t="shared" si="255"/>
        <v>139</v>
      </c>
      <c r="CQ110" s="314">
        <f t="shared" si="255"/>
        <v>-1088</v>
      </c>
      <c r="CR110" s="314">
        <f t="shared" si="255"/>
        <v>-26486</v>
      </c>
      <c r="CS110" s="314"/>
      <c r="CT110" s="348"/>
      <c r="CU110" s="67">
        <f>'MONTHLY SUMMARIES'!F74</f>
        <v>131643</v>
      </c>
      <c r="CV110" s="40"/>
      <c r="CW110" s="40"/>
      <c r="CX110" s="40"/>
      <c r="CY110" s="40"/>
    </row>
    <row r="111" spans="1:103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86">
        <f t="shared" si="252"/>
        <v>-8240</v>
      </c>
      <c r="BJ111" s="87">
        <f t="shared" si="252"/>
        <v>-289757</v>
      </c>
      <c r="BK111" s="87">
        <f t="shared" si="252"/>
        <v>-245940</v>
      </c>
      <c r="BL111" s="87">
        <f t="shared" si="252"/>
        <v>-485543</v>
      </c>
      <c r="BM111" s="87">
        <f t="shared" si="252"/>
        <v>-377753</v>
      </c>
      <c r="BN111" s="87">
        <f t="shared" si="252"/>
        <v>-370195</v>
      </c>
      <c r="BO111" s="87">
        <f t="shared" si="252"/>
        <v>-517183</v>
      </c>
      <c r="BP111" s="212">
        <f t="shared" si="253"/>
        <v>-111709</v>
      </c>
      <c r="BQ111" s="212">
        <f t="shared" si="253"/>
        <v>40828</v>
      </c>
      <c r="BR111" s="212">
        <f t="shared" si="253"/>
        <v>-123501</v>
      </c>
      <c r="BS111" s="212">
        <f t="shared" si="253"/>
        <v>-426615</v>
      </c>
      <c r="BT111" s="212">
        <f t="shared" si="253"/>
        <v>431020</v>
      </c>
      <c r="BU111" s="212">
        <f t="shared" si="253"/>
        <v>44449</v>
      </c>
      <c r="BV111" s="212">
        <f t="shared" si="253"/>
        <v>204176</v>
      </c>
      <c r="BW111" s="212">
        <f t="shared" si="253"/>
        <v>161789</v>
      </c>
      <c r="BX111" s="212">
        <f t="shared" si="253"/>
        <v>387272</v>
      </c>
      <c r="BY111" s="212">
        <f t="shared" si="253"/>
        <v>612020</v>
      </c>
      <c r="BZ111" s="212">
        <f t="shared" si="254"/>
        <v>262695</v>
      </c>
      <c r="CA111" s="275">
        <f t="shared" si="254"/>
        <v>335045</v>
      </c>
      <c r="CB111" s="275">
        <f t="shared" si="254"/>
        <v>498921</v>
      </c>
      <c r="CC111" s="275">
        <f t="shared" si="254"/>
        <v>89850</v>
      </c>
      <c r="CD111" s="275">
        <f t="shared" si="254"/>
        <v>-4270</v>
      </c>
      <c r="CE111" s="314">
        <f t="shared" si="254"/>
        <v>-210836</v>
      </c>
      <c r="CF111" s="314">
        <f t="shared" si="254"/>
        <v>118952</v>
      </c>
      <c r="CG111" s="314">
        <f t="shared" si="254"/>
        <v>-5844</v>
      </c>
      <c r="CH111" s="314">
        <f t="shared" si="254"/>
        <v>84880</v>
      </c>
      <c r="CI111" s="314">
        <f t="shared" si="254"/>
        <v>114077</v>
      </c>
      <c r="CJ111" s="314">
        <f t="shared" si="255"/>
        <v>17644</v>
      </c>
      <c r="CK111" s="314">
        <f t="shared" si="255"/>
        <v>-426587</v>
      </c>
      <c r="CL111" s="314">
        <f t="shared" si="255"/>
        <v>-92508</v>
      </c>
      <c r="CM111" s="314">
        <f t="shared" si="255"/>
        <v>28147</v>
      </c>
      <c r="CN111" s="314">
        <f t="shared" si="255"/>
        <v>-263847</v>
      </c>
      <c r="CO111" s="314">
        <f t="shared" si="255"/>
        <v>-66569</v>
      </c>
      <c r="CP111" s="314">
        <f t="shared" si="255"/>
        <v>-37357</v>
      </c>
      <c r="CQ111" s="314">
        <f t="shared" si="255"/>
        <v>88523</v>
      </c>
      <c r="CR111" s="314">
        <f t="shared" si="255"/>
        <v>-245875</v>
      </c>
      <c r="CS111" s="314"/>
      <c r="CT111" s="348"/>
      <c r="CU111" s="67">
        <f>'MONTHLY SUMMARIES'!F75</f>
        <v>1802326</v>
      </c>
      <c r="CV111" s="40"/>
      <c r="CW111" s="40"/>
      <c r="CX111" s="40"/>
      <c r="CY111" s="40"/>
    </row>
    <row r="112" spans="1:103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86">
        <f t="shared" si="252"/>
        <v>-100776</v>
      </c>
      <c r="BJ112" s="87">
        <f t="shared" si="252"/>
        <v>-98570</v>
      </c>
      <c r="BK112" s="87">
        <f t="shared" si="252"/>
        <v>-263740</v>
      </c>
      <c r="BL112" s="87">
        <f t="shared" si="252"/>
        <v>-460016</v>
      </c>
      <c r="BM112" s="87">
        <f t="shared" si="252"/>
        <v>-227851</v>
      </c>
      <c r="BN112" s="87">
        <f t="shared" si="252"/>
        <v>-415514</v>
      </c>
      <c r="BO112" s="87">
        <f t="shared" si="252"/>
        <v>-289030</v>
      </c>
      <c r="BP112" s="212">
        <f t="shared" si="253"/>
        <v>-35591</v>
      </c>
      <c r="BQ112" s="212">
        <f t="shared" si="253"/>
        <v>51001</v>
      </c>
      <c r="BR112" s="212">
        <f t="shared" si="253"/>
        <v>-149642</v>
      </c>
      <c r="BS112" s="212">
        <f t="shared" si="253"/>
        <v>-569302</v>
      </c>
      <c r="BT112" s="212">
        <f t="shared" si="253"/>
        <v>239965</v>
      </c>
      <c r="BU112" s="212">
        <f t="shared" si="253"/>
        <v>584</v>
      </c>
      <c r="BV112" s="212">
        <f t="shared" si="253"/>
        <v>-91421</v>
      </c>
      <c r="BW112" s="212">
        <f t="shared" si="253"/>
        <v>181679</v>
      </c>
      <c r="BX112" s="212">
        <f t="shared" si="253"/>
        <v>330912</v>
      </c>
      <c r="BY112" s="212">
        <f t="shared" si="253"/>
        <v>336893</v>
      </c>
      <c r="BZ112" s="212">
        <f t="shared" si="254"/>
        <v>66458</v>
      </c>
      <c r="CA112" s="275">
        <f t="shared" si="254"/>
        <v>-15309</v>
      </c>
      <c r="CB112" s="275">
        <f t="shared" si="254"/>
        <v>429324</v>
      </c>
      <c r="CC112" s="275">
        <f t="shared" si="254"/>
        <v>94202</v>
      </c>
      <c r="CD112" s="275">
        <f t="shared" si="254"/>
        <v>224119</v>
      </c>
      <c r="CE112" s="314">
        <f t="shared" si="254"/>
        <v>-74082</v>
      </c>
      <c r="CF112" s="314">
        <f t="shared" si="254"/>
        <v>81958</v>
      </c>
      <c r="CG112" s="314">
        <f t="shared" si="254"/>
        <v>6714</v>
      </c>
      <c r="CH112" s="314">
        <f t="shared" si="254"/>
        <v>232037</v>
      </c>
      <c r="CI112" s="314">
        <f t="shared" si="254"/>
        <v>-31347</v>
      </c>
      <c r="CJ112" s="314">
        <f t="shared" si="255"/>
        <v>10205</v>
      </c>
      <c r="CK112" s="314">
        <f t="shared" si="255"/>
        <v>-49023</v>
      </c>
      <c r="CL112" s="314">
        <f t="shared" si="255"/>
        <v>205646</v>
      </c>
      <c r="CM112" s="314">
        <f t="shared" si="255"/>
        <v>604990</v>
      </c>
      <c r="CN112" s="314">
        <f t="shared" si="255"/>
        <v>-122565</v>
      </c>
      <c r="CO112" s="314">
        <f t="shared" si="255"/>
        <v>-109307</v>
      </c>
      <c r="CP112" s="314">
        <f t="shared" si="255"/>
        <v>18441</v>
      </c>
      <c r="CQ112" s="314">
        <f t="shared" si="255"/>
        <v>126605</v>
      </c>
      <c r="CR112" s="314">
        <f t="shared" si="255"/>
        <v>-101</v>
      </c>
      <c r="CS112" s="314"/>
      <c r="CT112" s="348"/>
      <c r="CU112" s="67">
        <f>'MONTHLY SUMMARIES'!F76</f>
        <v>1318579</v>
      </c>
      <c r="CV112" s="40"/>
      <c r="CW112" s="40"/>
      <c r="CX112" s="40"/>
      <c r="CY112" s="40"/>
    </row>
    <row r="113" spans="1:103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86">
        <f t="shared" si="252"/>
        <v>-3405398</v>
      </c>
      <c r="BJ113" s="87">
        <f t="shared" si="252"/>
        <v>975962</v>
      </c>
      <c r="BK113" s="87">
        <f t="shared" si="252"/>
        <v>1792595</v>
      </c>
      <c r="BL113" s="87">
        <f t="shared" si="252"/>
        <v>83908</v>
      </c>
      <c r="BM113" s="87">
        <f t="shared" si="252"/>
        <v>-158229</v>
      </c>
      <c r="BN113" s="87">
        <f t="shared" si="252"/>
        <v>-163337</v>
      </c>
      <c r="BO113" s="87">
        <f t="shared" si="252"/>
        <v>-79713</v>
      </c>
      <c r="BP113" s="212">
        <f t="shared" si="253"/>
        <v>-90463</v>
      </c>
      <c r="BQ113" s="212">
        <f t="shared" si="253"/>
        <v>68955</v>
      </c>
      <c r="BR113" s="212">
        <f t="shared" si="253"/>
        <v>106292</v>
      </c>
      <c r="BS113" s="212">
        <f t="shared" si="253"/>
        <v>291935</v>
      </c>
      <c r="BT113" s="212">
        <f t="shared" si="253"/>
        <v>-685379</v>
      </c>
      <c r="BU113" s="212">
        <f t="shared" si="253"/>
        <v>3486610</v>
      </c>
      <c r="BV113" s="212">
        <f t="shared" si="253"/>
        <v>-1243353</v>
      </c>
      <c r="BW113" s="212">
        <f t="shared" si="253"/>
        <v>-2122737</v>
      </c>
      <c r="BX113" s="212">
        <f t="shared" si="253"/>
        <v>-105426</v>
      </c>
      <c r="BY113" s="212">
        <f t="shared" si="253"/>
        <v>485545</v>
      </c>
      <c r="BZ113" s="212">
        <f t="shared" si="254"/>
        <v>21846</v>
      </c>
      <c r="CA113" s="275">
        <f t="shared" si="254"/>
        <v>-82633</v>
      </c>
      <c r="CB113" s="275">
        <f t="shared" si="254"/>
        <v>69585</v>
      </c>
      <c r="CC113" s="275">
        <f t="shared" si="254"/>
        <v>-65084</v>
      </c>
      <c r="CD113" s="275">
        <f t="shared" si="254"/>
        <v>-984709</v>
      </c>
      <c r="CE113" s="314">
        <f t="shared" si="254"/>
        <v>604378</v>
      </c>
      <c r="CF113" s="314">
        <f t="shared" si="254"/>
        <v>-599205</v>
      </c>
      <c r="CG113" s="314">
        <f t="shared" si="254"/>
        <v>817663</v>
      </c>
      <c r="CH113" s="314">
        <f t="shared" si="254"/>
        <v>301317</v>
      </c>
      <c r="CI113" s="314">
        <f t="shared" si="254"/>
        <v>7762</v>
      </c>
      <c r="CJ113" s="314">
        <f t="shared" si="255"/>
        <v>86980</v>
      </c>
      <c r="CK113" s="314">
        <f t="shared" si="255"/>
        <v>-573571</v>
      </c>
      <c r="CL113" s="314">
        <f t="shared" si="255"/>
        <v>41851</v>
      </c>
      <c r="CM113" s="314">
        <f t="shared" si="255"/>
        <v>-137332</v>
      </c>
      <c r="CN113" s="314">
        <f t="shared" si="255"/>
        <v>754362</v>
      </c>
      <c r="CO113" s="314">
        <f t="shared" si="255"/>
        <v>240076</v>
      </c>
      <c r="CP113" s="314">
        <f t="shared" si="255"/>
        <v>885774</v>
      </c>
      <c r="CQ113" s="314">
        <f t="shared" si="255"/>
        <v>-176394</v>
      </c>
      <c r="CR113" s="314">
        <f t="shared" si="255"/>
        <v>395333</v>
      </c>
      <c r="CS113" s="314"/>
      <c r="CT113" s="348"/>
      <c r="CU113" s="67">
        <f>'MONTHLY SUMMARIES'!F77</f>
        <v>1063155</v>
      </c>
      <c r="CV113" s="40"/>
      <c r="CW113" s="40"/>
      <c r="CX113" s="40"/>
      <c r="CY113" s="40"/>
    </row>
    <row r="114" spans="1:103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56">SUM(D109:D113)</f>
        <v>11728459</v>
      </c>
      <c r="E114" s="141">
        <f t="shared" si="256"/>
        <v>11249702</v>
      </c>
      <c r="F114" s="141">
        <f t="shared" si="256"/>
        <v>12099494</v>
      </c>
      <c r="G114" s="141">
        <f t="shared" si="256"/>
        <v>17298395</v>
      </c>
      <c r="H114" s="141">
        <f t="shared" si="256"/>
        <v>22325004</v>
      </c>
      <c r="I114" s="141">
        <f t="shared" si="256"/>
        <v>19693404</v>
      </c>
      <c r="J114" s="141">
        <f t="shared" si="256"/>
        <v>12512823</v>
      </c>
      <c r="K114" s="141">
        <f t="shared" si="256"/>
        <v>10911929</v>
      </c>
      <c r="L114" s="142">
        <f t="shared" si="256"/>
        <v>13226170</v>
      </c>
      <c r="M114" s="141">
        <f t="shared" si="256"/>
        <v>15130548</v>
      </c>
      <c r="N114" s="141">
        <f t="shared" si="256"/>
        <v>11944821</v>
      </c>
      <c r="O114" s="141">
        <f t="shared" si="256"/>
        <v>8779821</v>
      </c>
      <c r="P114" s="141">
        <f t="shared" si="256"/>
        <v>12665112</v>
      </c>
      <c r="Q114" s="141">
        <f t="shared" si="256"/>
        <v>12857276</v>
      </c>
      <c r="R114" s="141">
        <f t="shared" si="256"/>
        <v>11532261</v>
      </c>
      <c r="S114" s="141">
        <f t="shared" si="256"/>
        <v>16467012</v>
      </c>
      <c r="T114" s="141">
        <f t="shared" si="256"/>
        <v>22733303</v>
      </c>
      <c r="U114" s="141">
        <f t="shared" si="256"/>
        <v>19769132</v>
      </c>
      <c r="V114" s="141">
        <f t="shared" si="256"/>
        <v>14192295</v>
      </c>
      <c r="W114" s="141">
        <f t="shared" si="256"/>
        <v>12023114</v>
      </c>
      <c r="X114" s="142">
        <f t="shared" si="256"/>
        <v>13052167</v>
      </c>
      <c r="Y114" s="141">
        <f t="shared" si="256"/>
        <v>14035359</v>
      </c>
      <c r="Z114" s="141">
        <v>14048544</v>
      </c>
      <c r="AA114" s="141">
        <f t="shared" si="256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57">SUM(BI109:BI113)</f>
        <v>-4019941</v>
      </c>
      <c r="BJ114" s="143">
        <f t="shared" ref="BJ114:BL114" si="258">SUM(BJ109:BJ113)</f>
        <v>936653</v>
      </c>
      <c r="BK114" s="143">
        <f t="shared" si="258"/>
        <v>1607574</v>
      </c>
      <c r="BL114" s="143">
        <f t="shared" si="258"/>
        <v>-567233</v>
      </c>
      <c r="BM114" s="143">
        <f t="shared" ref="BM114:BN114" si="259">SUM(BM109:BM113)</f>
        <v>-831383</v>
      </c>
      <c r="BN114" s="143">
        <f t="shared" si="259"/>
        <v>408299</v>
      </c>
      <c r="BO114" s="143">
        <f t="shared" ref="BO114" si="260">SUM(BO109:BO113)</f>
        <v>75728</v>
      </c>
      <c r="BP114" s="213">
        <f t="shared" ref="BP114:BV114" si="261">IF(BP113="N/A","N/A",SUM(BP109:BP113))</f>
        <v>1679472</v>
      </c>
      <c r="BQ114" s="213">
        <f t="shared" si="261"/>
        <v>1111185</v>
      </c>
      <c r="BR114" s="213">
        <f t="shared" si="261"/>
        <v>-174003</v>
      </c>
      <c r="BS114" s="213">
        <f t="shared" si="261"/>
        <v>-1095189</v>
      </c>
      <c r="BT114" s="213">
        <f t="shared" si="261"/>
        <v>2103723</v>
      </c>
      <c r="BU114" s="213">
        <f t="shared" si="261"/>
        <v>4956445</v>
      </c>
      <c r="BV114" s="213">
        <f t="shared" si="261"/>
        <v>-1055217</v>
      </c>
      <c r="BW114" s="213">
        <f t="shared" ref="BW114:BX114" si="262">IF(BW113="N/A","N/A",SUM(BW109:BW113))</f>
        <v>-2030920</v>
      </c>
      <c r="BX114" s="213">
        <f t="shared" si="262"/>
        <v>1529367</v>
      </c>
      <c r="BY114" s="213">
        <f t="shared" ref="BY114:BZ114" si="263">IF(BY113="N/A","N/A",SUM(BY109:BY113))</f>
        <v>2742967</v>
      </c>
      <c r="BZ114" s="213">
        <f t="shared" si="263"/>
        <v>-377483</v>
      </c>
      <c r="CA114" s="276">
        <f t="shared" ref="CA114:CB114" si="264">IF(CA113="N/A","N/A",SUM(CA109:CA113))</f>
        <v>1334513</v>
      </c>
      <c r="CB114" s="276">
        <f t="shared" si="264"/>
        <v>1125324</v>
      </c>
      <c r="CC114" s="276">
        <f t="shared" ref="CC114:CD114" si="265">IF(CC113="N/A","N/A",SUM(CC109:CC113))</f>
        <v>-234180</v>
      </c>
      <c r="CD114" s="276">
        <f t="shared" si="265"/>
        <v>-1290506</v>
      </c>
      <c r="CE114" s="315">
        <f t="shared" ref="CE114" si="266">IF(CE113="N/A","N/A",SUM(CE109:CE113))</f>
        <v>-424667</v>
      </c>
      <c r="CF114" s="315">
        <f t="shared" ref="CF114:CK114" si="267">IF(CF113="N/A","N/A",SUM(CF109:CF113))</f>
        <v>-83730</v>
      </c>
      <c r="CG114" s="315">
        <f t="shared" si="267"/>
        <v>335686</v>
      </c>
      <c r="CH114" s="315">
        <f t="shared" si="267"/>
        <v>848063</v>
      </c>
      <c r="CI114" s="315">
        <f t="shared" si="267"/>
        <v>219115</v>
      </c>
      <c r="CJ114" s="315">
        <f t="shared" si="267"/>
        <v>150606</v>
      </c>
      <c r="CK114" s="315">
        <f t="shared" si="267"/>
        <v>-2519395</v>
      </c>
      <c r="CL114" s="315">
        <f t="shared" ref="CL114" si="268">IF(CL113="N/A","N/A",SUM(CL109:CL113))</f>
        <v>1751731</v>
      </c>
      <c r="CM114" s="315">
        <f t="shared" ref="CM114" si="269">IF(CM113="N/A","N/A",SUM(CM109:CM113))</f>
        <v>626631</v>
      </c>
      <c r="CN114" s="315">
        <f t="shared" ref="CN114" si="270">IF(CN113="N/A","N/A",SUM(CN109:CN113))</f>
        <v>-201071</v>
      </c>
      <c r="CO114" s="315">
        <f t="shared" ref="CO114" si="271">IF(CO113="N/A","N/A",SUM(CO109:CO113))</f>
        <v>139889</v>
      </c>
      <c r="CP114" s="315">
        <f t="shared" ref="CP114" si="272">IF(CP113="N/A","N/A",SUM(CP109:CP113))</f>
        <v>1121952</v>
      </c>
      <c r="CQ114" s="315">
        <f t="shared" ref="CQ114:CS114" si="273">IF(CQ113="N/A","N/A",SUM(CQ109:CQ113))</f>
        <v>645910</v>
      </c>
      <c r="CR114" s="315">
        <f t="shared" ref="CR114" si="274">IF(CR113="N/A","N/A",SUM(CR109:CR113))</f>
        <v>-1008439</v>
      </c>
      <c r="CS114" s="315"/>
      <c r="CT114" s="349"/>
      <c r="CU114" s="254">
        <f t="shared" ref="CU114:CU121" si="275">SUM(CU109:CU113)</f>
        <v>12830811</v>
      </c>
      <c r="CV114" s="40"/>
      <c r="CW114" s="40"/>
      <c r="CX114" s="40"/>
      <c r="CY114" s="40"/>
    </row>
    <row r="115" spans="1:10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50"/>
      <c r="CU115" s="255"/>
    </row>
    <row r="116" spans="1:103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76">D130-D123</f>
        <v>885026.44</v>
      </c>
      <c r="E116" s="101">
        <f t="shared" si="276"/>
        <v>948444.29999999993</v>
      </c>
      <c r="F116" s="101">
        <f t="shared" si="276"/>
        <v>835116.07999999984</v>
      </c>
      <c r="G116" s="101">
        <f t="shared" si="276"/>
        <v>1466563.31</v>
      </c>
      <c r="H116" s="101">
        <f t="shared" si="276"/>
        <v>1893474.63</v>
      </c>
      <c r="I116" s="101">
        <f t="shared" si="276"/>
        <v>1702039.5399999998</v>
      </c>
      <c r="J116" s="101">
        <f t="shared" si="276"/>
        <v>1308529.1100000001</v>
      </c>
      <c r="K116" s="101">
        <f t="shared" si="276"/>
        <v>676738.5</v>
      </c>
      <c r="L116" s="102">
        <f t="shared" si="276"/>
        <v>1202677.9499999997</v>
      </c>
      <c r="M116" s="101">
        <f t="shared" si="276"/>
        <v>1414476.54</v>
      </c>
      <c r="N116" s="101">
        <f t="shared" si="276"/>
        <v>1167237.93</v>
      </c>
      <c r="O116" s="101">
        <f t="shared" si="276"/>
        <v>1219451.52</v>
      </c>
      <c r="P116" s="101">
        <f t="shared" ref="P116:Q116" si="277">P130-P123</f>
        <v>1164026.48</v>
      </c>
      <c r="Q116" s="101">
        <f t="shared" si="277"/>
        <v>1084223.07</v>
      </c>
      <c r="R116" s="101">
        <f t="shared" ref="R116:S116" si="278">R130-R123</f>
        <v>1276079.83</v>
      </c>
      <c r="S116" s="101">
        <f t="shared" si="278"/>
        <v>1815272.53</v>
      </c>
      <c r="T116" s="101">
        <f t="shared" ref="T116:U116" si="279">T130-T123</f>
        <v>2915906.7299999995</v>
      </c>
      <c r="U116" s="101">
        <f t="shared" si="279"/>
        <v>1997871.1800000002</v>
      </c>
      <c r="V116" s="101">
        <f t="shared" ref="V116:W116" si="280">V130-V123</f>
        <v>1271814.76</v>
      </c>
      <c r="W116" s="101">
        <f t="shared" si="280"/>
        <v>2691744.79</v>
      </c>
      <c r="X116" s="102">
        <f t="shared" ref="X116:Y116" si="281">X130-X123</f>
        <v>1313424.4400000002</v>
      </c>
      <c r="Y116" s="101">
        <f t="shared" si="281"/>
        <v>1244614.6800000002</v>
      </c>
      <c r="Z116" s="101">
        <v>1514608.3</v>
      </c>
      <c r="AA116" s="101">
        <f t="shared" ref="AA116" si="28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7">
        <f t="shared" ref="BI116:BO120" si="283">O116-C116</f>
        <v>254999.71999999997</v>
      </c>
      <c r="BJ116" s="103">
        <f t="shared" si="283"/>
        <v>279000.04000000004</v>
      </c>
      <c r="BK116" s="103">
        <f t="shared" si="283"/>
        <v>135778.77000000014</v>
      </c>
      <c r="BL116" s="103">
        <f t="shared" si="283"/>
        <v>440963.75000000023</v>
      </c>
      <c r="BM116" s="103">
        <f t="shared" si="283"/>
        <v>348709.22</v>
      </c>
      <c r="BN116" s="103">
        <f t="shared" si="283"/>
        <v>1022432.0999999996</v>
      </c>
      <c r="BO116" s="103">
        <f t="shared" si="283"/>
        <v>295831.64000000036</v>
      </c>
      <c r="BP116" s="212">
        <f t="shared" ref="BP116:BY120" si="284">IF(ISERROR(V116-J116)=TRUE,"N/A",V116-J116)</f>
        <v>-36714.350000000093</v>
      </c>
      <c r="BQ116" s="212">
        <f t="shared" si="284"/>
        <v>2015006.29</v>
      </c>
      <c r="BR116" s="212">
        <f t="shared" si="284"/>
        <v>110746.49000000046</v>
      </c>
      <c r="BS116" s="212">
        <f t="shared" si="284"/>
        <v>-169861.85999999987</v>
      </c>
      <c r="BT116" s="212">
        <f t="shared" si="284"/>
        <v>347370.37000000011</v>
      </c>
      <c r="BU116" s="212">
        <f t="shared" si="284"/>
        <v>200685.79000000004</v>
      </c>
      <c r="BV116" s="212">
        <f t="shared" si="284"/>
        <v>130653.99000000022</v>
      </c>
      <c r="BW116" s="212">
        <f t="shared" si="284"/>
        <v>176889.66999999993</v>
      </c>
      <c r="BX116" s="212">
        <f t="shared" si="284"/>
        <v>139866.52000000002</v>
      </c>
      <c r="BY116" s="212">
        <f t="shared" si="284"/>
        <v>202040.84999999986</v>
      </c>
      <c r="BZ116" s="212">
        <f t="shared" ref="BZ116:CI120" si="285">IF(ISERROR(AF116-T116)=TRUE,"N/A",AF116-T116)</f>
        <v>-465954.71999999974</v>
      </c>
      <c r="CA116" s="275">
        <f t="shared" si="285"/>
        <v>584049.75999999978</v>
      </c>
      <c r="CB116" s="275">
        <f t="shared" si="285"/>
        <v>279606.6399999999</v>
      </c>
      <c r="CC116" s="275">
        <f t="shared" si="285"/>
        <v>-1471255.75</v>
      </c>
      <c r="CD116" s="275">
        <f t="shared" si="285"/>
        <v>261873.07999999984</v>
      </c>
      <c r="CE116" s="314">
        <f t="shared" si="285"/>
        <v>329582.75999999978</v>
      </c>
      <c r="CF116" s="314">
        <f t="shared" si="285"/>
        <v>126727.05000000005</v>
      </c>
      <c r="CG116" s="314">
        <f t="shared" si="285"/>
        <v>-91320.89000000013</v>
      </c>
      <c r="CH116" s="314">
        <f t="shared" si="285"/>
        <v>606111.06999999983</v>
      </c>
      <c r="CI116" s="314">
        <f t="shared" si="285"/>
        <v>-41934.329999999842</v>
      </c>
      <c r="CJ116" s="314">
        <f t="shared" ref="CJ116:CR120" si="286">IF(ISERROR(AP116-AD116)=TRUE,"N/A",AP116-AD116)</f>
        <v>250160.41999999993</v>
      </c>
      <c r="CK116" s="314">
        <f t="shared" si="286"/>
        <v>-409742.70999999996</v>
      </c>
      <c r="CL116" s="314">
        <f t="shared" si="286"/>
        <v>686532.77000000048</v>
      </c>
      <c r="CM116" s="314">
        <f t="shared" si="286"/>
        <v>-224265.33999999985</v>
      </c>
      <c r="CN116" s="314">
        <f t="shared" si="286"/>
        <v>-402161.5299999998</v>
      </c>
      <c r="CO116" s="314">
        <f t="shared" si="286"/>
        <v>-1168016.99</v>
      </c>
      <c r="CP116" s="314">
        <f t="shared" si="286"/>
        <v>-1867328.78</v>
      </c>
      <c r="CQ116" s="314">
        <f t="shared" si="286"/>
        <v>-1847615.0299999998</v>
      </c>
      <c r="CR116" s="314">
        <f t="shared" si="286"/>
        <v>-1339803.1499999999</v>
      </c>
      <c r="CS116" s="314"/>
      <c r="CT116" s="350"/>
      <c r="CU116" s="67">
        <f>'MONTHLY SUMMARIES'!F80</f>
        <v>1956686.98</v>
      </c>
    </row>
    <row r="117" spans="1:103" s="40" customFormat="1" x14ac:dyDescent="0.3">
      <c r="A117" s="150"/>
      <c r="B117" s="41" t="s">
        <v>38</v>
      </c>
      <c r="C117" s="100">
        <f t="shared" ref="C117:P117" si="287">C133-C124</f>
        <v>6075.2899999999991</v>
      </c>
      <c r="D117" s="101">
        <f t="shared" si="287"/>
        <v>6604.09</v>
      </c>
      <c r="E117" s="101">
        <f t="shared" si="287"/>
        <v>5384.420000000001</v>
      </c>
      <c r="F117" s="101">
        <f t="shared" si="287"/>
        <v>5096.2700000000004</v>
      </c>
      <c r="G117" s="101">
        <f t="shared" si="287"/>
        <v>7189.4100000000008</v>
      </c>
      <c r="H117" s="101">
        <f t="shared" si="287"/>
        <v>6721.7900000000009</v>
      </c>
      <c r="I117" s="101">
        <f t="shared" si="287"/>
        <v>9196.2099999999991</v>
      </c>
      <c r="J117" s="101">
        <f t="shared" si="287"/>
        <v>7587.8400000000011</v>
      </c>
      <c r="K117" s="101">
        <f t="shared" si="287"/>
        <v>4667.67</v>
      </c>
      <c r="L117" s="102">
        <f t="shared" si="287"/>
        <v>8488.41</v>
      </c>
      <c r="M117" s="101">
        <f t="shared" si="287"/>
        <v>8359.7199999999993</v>
      </c>
      <c r="N117" s="101">
        <f t="shared" si="287"/>
        <v>9210.69</v>
      </c>
      <c r="O117" s="101">
        <f t="shared" si="287"/>
        <v>10604.369999999999</v>
      </c>
      <c r="P117" s="101">
        <f t="shared" si="287"/>
        <v>6465.8500000000022</v>
      </c>
      <c r="Q117" s="101">
        <f t="shared" ref="Q117:R117" si="288">Q133-Q124</f>
        <v>6698.8799999999992</v>
      </c>
      <c r="R117" s="101">
        <f t="shared" si="288"/>
        <v>6275.02</v>
      </c>
      <c r="S117" s="101">
        <f t="shared" ref="S117:T117" si="289">S133-S124</f>
        <v>7746.9</v>
      </c>
      <c r="T117" s="101">
        <f t="shared" si="289"/>
        <v>7874.42</v>
      </c>
      <c r="U117" s="101">
        <f t="shared" ref="U117:V117" si="290">U133-U124</f>
        <v>6662.43</v>
      </c>
      <c r="V117" s="101">
        <f t="shared" si="290"/>
        <v>3860.5200000000004</v>
      </c>
      <c r="W117" s="101">
        <f t="shared" ref="W117:X117" si="291">W133-W124</f>
        <v>9418.9299999999985</v>
      </c>
      <c r="X117" s="102">
        <f t="shared" si="291"/>
        <v>8586.8200000000015</v>
      </c>
      <c r="Y117" s="101">
        <f t="shared" ref="Y117:AA117" si="292">Y133-Y124</f>
        <v>8526.34</v>
      </c>
      <c r="Z117" s="101">
        <v>22782.559999999998</v>
      </c>
      <c r="AA117" s="101">
        <f t="shared" si="29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7">
        <f t="shared" si="283"/>
        <v>4529.08</v>
      </c>
      <c r="BJ117" s="103">
        <f t="shared" si="283"/>
        <v>-138.23999999999796</v>
      </c>
      <c r="BK117" s="103">
        <f t="shared" si="283"/>
        <v>1314.4599999999982</v>
      </c>
      <c r="BL117" s="103">
        <f t="shared" si="283"/>
        <v>1178.75</v>
      </c>
      <c r="BM117" s="103">
        <f t="shared" si="283"/>
        <v>557.48999999999887</v>
      </c>
      <c r="BN117" s="103">
        <f t="shared" si="283"/>
        <v>1152.6299999999992</v>
      </c>
      <c r="BO117" s="103">
        <f t="shared" si="283"/>
        <v>-2533.7799999999988</v>
      </c>
      <c r="BP117" s="212">
        <f t="shared" si="284"/>
        <v>-3727.3200000000006</v>
      </c>
      <c r="BQ117" s="212">
        <f t="shared" si="284"/>
        <v>4751.2599999999984</v>
      </c>
      <c r="BR117" s="212">
        <f t="shared" si="284"/>
        <v>98.410000000001673</v>
      </c>
      <c r="BS117" s="212">
        <f t="shared" si="284"/>
        <v>166.6200000000008</v>
      </c>
      <c r="BT117" s="212">
        <f t="shared" si="284"/>
        <v>13571.869999999997</v>
      </c>
      <c r="BU117" s="212">
        <f t="shared" si="284"/>
        <v>2994.0800000000017</v>
      </c>
      <c r="BV117" s="212">
        <f t="shared" si="284"/>
        <v>3981.239999999998</v>
      </c>
      <c r="BW117" s="212">
        <f t="shared" si="284"/>
        <v>5076.58</v>
      </c>
      <c r="BX117" s="212">
        <f t="shared" si="284"/>
        <v>4230.3999999999978</v>
      </c>
      <c r="BY117" s="212">
        <f t="shared" si="284"/>
        <v>143.96000000000095</v>
      </c>
      <c r="BZ117" s="212">
        <f t="shared" si="285"/>
        <v>-304.69999999999891</v>
      </c>
      <c r="CA117" s="275">
        <f t="shared" si="285"/>
        <v>1299.4600000000009</v>
      </c>
      <c r="CB117" s="275">
        <f t="shared" si="285"/>
        <v>5814.42</v>
      </c>
      <c r="CC117" s="275">
        <f t="shared" si="285"/>
        <v>2437.2000000000007</v>
      </c>
      <c r="CD117" s="275">
        <f t="shared" si="285"/>
        <v>-2070.6100000000006</v>
      </c>
      <c r="CE117" s="314">
        <f t="shared" si="285"/>
        <v>302.03999999999905</v>
      </c>
      <c r="CF117" s="314">
        <f t="shared" si="285"/>
        <v>-12333.71</v>
      </c>
      <c r="CG117" s="314">
        <f t="shared" si="285"/>
        <v>-1183.1900000000005</v>
      </c>
      <c r="CH117" s="314">
        <f t="shared" si="285"/>
        <v>7158.16</v>
      </c>
      <c r="CI117" s="314">
        <f t="shared" si="285"/>
        <v>-1556.8499999999985</v>
      </c>
      <c r="CJ117" s="314">
        <f t="shared" si="286"/>
        <v>-3822.4799999999996</v>
      </c>
      <c r="CK117" s="314">
        <f t="shared" si="286"/>
        <v>-2038.8200000000006</v>
      </c>
      <c r="CL117" s="314">
        <f t="shared" si="286"/>
        <v>-634.36000000000058</v>
      </c>
      <c r="CM117" s="314">
        <f t="shared" si="286"/>
        <v>-27.350000000000364</v>
      </c>
      <c r="CN117" s="314">
        <f t="shared" si="286"/>
        <v>-6548.0400000000009</v>
      </c>
      <c r="CO117" s="314">
        <f t="shared" si="286"/>
        <v>-15426.57</v>
      </c>
      <c r="CP117" s="314">
        <f t="shared" si="286"/>
        <v>-9674.3600000000024</v>
      </c>
      <c r="CQ117" s="314">
        <f t="shared" si="286"/>
        <v>-11058.8</v>
      </c>
      <c r="CR117" s="314">
        <f t="shared" si="286"/>
        <v>-12333.46</v>
      </c>
      <c r="CS117" s="314"/>
      <c r="CT117" s="350"/>
      <c r="CU117" s="67">
        <f>'MONTHLY SUMMARIES'!F81</f>
        <v>19449.419999999998</v>
      </c>
    </row>
    <row r="118" spans="1:103" s="40" customFormat="1" x14ac:dyDescent="0.3">
      <c r="A118" s="150"/>
      <c r="B118" s="41" t="s">
        <v>39</v>
      </c>
      <c r="C118" s="100">
        <f t="shared" ref="C118:P118" si="293">C136-C125</f>
        <v>215628.67000000004</v>
      </c>
      <c r="D118" s="101">
        <f t="shared" si="293"/>
        <v>205151.00999999998</v>
      </c>
      <c r="E118" s="101">
        <f t="shared" si="293"/>
        <v>258335.22999999998</v>
      </c>
      <c r="F118" s="101">
        <f t="shared" si="293"/>
        <v>180172.31</v>
      </c>
      <c r="G118" s="101">
        <f t="shared" si="293"/>
        <v>272120.43000000005</v>
      </c>
      <c r="H118" s="101">
        <f t="shared" si="293"/>
        <v>367742.00000000006</v>
      </c>
      <c r="I118" s="101">
        <f t="shared" si="293"/>
        <v>392423.19</v>
      </c>
      <c r="J118" s="101">
        <f t="shared" si="293"/>
        <v>413064.33999999997</v>
      </c>
      <c r="K118" s="101">
        <f t="shared" si="293"/>
        <v>101573.44999999998</v>
      </c>
      <c r="L118" s="102">
        <f t="shared" si="293"/>
        <v>237082.69</v>
      </c>
      <c r="M118" s="101">
        <f t="shared" si="293"/>
        <v>307601.40000000002</v>
      </c>
      <c r="N118" s="101">
        <f t="shared" si="293"/>
        <v>197535.07999999996</v>
      </c>
      <c r="O118" s="101">
        <f t="shared" si="293"/>
        <v>252377.46</v>
      </c>
      <c r="P118" s="101">
        <f t="shared" si="293"/>
        <v>236680.09000000003</v>
      </c>
      <c r="Q118" s="101">
        <f t="shared" ref="Q118:R118" si="294">Q136-Q125</f>
        <v>230146.65000000002</v>
      </c>
      <c r="R118" s="101">
        <f t="shared" si="294"/>
        <v>225553.39</v>
      </c>
      <c r="S118" s="101">
        <f t="shared" ref="S118:T118" si="295">S136-S125</f>
        <v>285300.95</v>
      </c>
      <c r="T118" s="101">
        <f t="shared" si="295"/>
        <v>532906.09</v>
      </c>
      <c r="U118" s="101">
        <f t="shared" ref="U118:V118" si="296">U136-U125</f>
        <v>439941.17000000004</v>
      </c>
      <c r="V118" s="101">
        <f t="shared" si="296"/>
        <v>271877.57</v>
      </c>
      <c r="W118" s="101">
        <f t="shared" ref="W118:X118" si="297">W136-W125</f>
        <v>587113.84000000008</v>
      </c>
      <c r="X118" s="102">
        <f t="shared" si="297"/>
        <v>242740.48000000004</v>
      </c>
      <c r="Y118" s="101">
        <f t="shared" ref="Y118:AA118" si="298">Y136-Y125</f>
        <v>240240.7</v>
      </c>
      <c r="Z118" s="101">
        <v>281576.91000000003</v>
      </c>
      <c r="AA118" s="101">
        <f t="shared" si="29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7">
        <f t="shared" si="283"/>
        <v>36748.78999999995</v>
      </c>
      <c r="BJ118" s="103">
        <f t="shared" si="283"/>
        <v>31529.080000000045</v>
      </c>
      <c r="BK118" s="103">
        <f t="shared" si="283"/>
        <v>-28188.579999999958</v>
      </c>
      <c r="BL118" s="103">
        <f t="shared" si="283"/>
        <v>45381.080000000016</v>
      </c>
      <c r="BM118" s="103">
        <f t="shared" si="283"/>
        <v>13180.51999999996</v>
      </c>
      <c r="BN118" s="103">
        <f t="shared" si="283"/>
        <v>165164.08999999991</v>
      </c>
      <c r="BO118" s="103">
        <f t="shared" si="283"/>
        <v>47517.98000000004</v>
      </c>
      <c r="BP118" s="212">
        <f t="shared" si="284"/>
        <v>-141186.76999999996</v>
      </c>
      <c r="BQ118" s="212">
        <f t="shared" si="284"/>
        <v>485540.39000000013</v>
      </c>
      <c r="BR118" s="212">
        <f t="shared" si="284"/>
        <v>5657.7900000000373</v>
      </c>
      <c r="BS118" s="212">
        <f t="shared" si="284"/>
        <v>-67360.700000000012</v>
      </c>
      <c r="BT118" s="212">
        <f t="shared" si="284"/>
        <v>84041.830000000075</v>
      </c>
      <c r="BU118" s="212">
        <f t="shared" si="284"/>
        <v>29313.810000000027</v>
      </c>
      <c r="BV118" s="212">
        <f t="shared" si="284"/>
        <v>40861.989999999932</v>
      </c>
      <c r="BW118" s="212">
        <f t="shared" si="284"/>
        <v>41073.729999999981</v>
      </c>
      <c r="BX118" s="212">
        <f t="shared" si="284"/>
        <v>73820.839999999967</v>
      </c>
      <c r="BY118" s="212">
        <f t="shared" si="284"/>
        <v>128500.82</v>
      </c>
      <c r="BZ118" s="212">
        <f t="shared" si="285"/>
        <v>-35576.029999999912</v>
      </c>
      <c r="CA118" s="275">
        <f t="shared" si="285"/>
        <v>155038.99</v>
      </c>
      <c r="CB118" s="275">
        <f t="shared" si="285"/>
        <v>79379.81</v>
      </c>
      <c r="CC118" s="275">
        <f t="shared" si="285"/>
        <v>-275823.42000000004</v>
      </c>
      <c r="CD118" s="275">
        <f t="shared" si="285"/>
        <v>124203.98999999993</v>
      </c>
      <c r="CE118" s="314">
        <f t="shared" si="285"/>
        <v>77908.820000000007</v>
      </c>
      <c r="CF118" s="314">
        <f t="shared" si="285"/>
        <v>84728.959999999963</v>
      </c>
      <c r="CG118" s="314">
        <f t="shared" si="285"/>
        <v>-23062.429999999993</v>
      </c>
      <c r="CH118" s="314">
        <f t="shared" si="285"/>
        <v>110237.67000000004</v>
      </c>
      <c r="CI118" s="314">
        <f t="shared" si="285"/>
        <v>-1125.6999999999534</v>
      </c>
      <c r="CJ118" s="314">
        <f t="shared" si="286"/>
        <v>92611.609999999986</v>
      </c>
      <c r="CK118" s="314">
        <f t="shared" si="286"/>
        <v>-165188.24000000002</v>
      </c>
      <c r="CL118" s="314">
        <f t="shared" si="286"/>
        <v>131080.0199999999</v>
      </c>
      <c r="CM118" s="314">
        <f t="shared" si="286"/>
        <v>-48292.190000000061</v>
      </c>
      <c r="CN118" s="314">
        <f t="shared" si="286"/>
        <v>-135018.79999999999</v>
      </c>
      <c r="CO118" s="314">
        <f t="shared" si="286"/>
        <v>-172295.82000000004</v>
      </c>
      <c r="CP118" s="314">
        <f t="shared" si="286"/>
        <v>-306639.33999999997</v>
      </c>
      <c r="CQ118" s="314">
        <f t="shared" si="286"/>
        <v>-227725.53000000003</v>
      </c>
      <c r="CR118" s="314">
        <f t="shared" si="286"/>
        <v>-99068.849999999977</v>
      </c>
      <c r="CS118" s="314"/>
      <c r="CT118" s="350"/>
      <c r="CU118" s="67">
        <f>'MONTHLY SUMMARIES'!F82</f>
        <v>437559.5</v>
      </c>
    </row>
    <row r="119" spans="1:103" s="40" customFormat="1" x14ac:dyDescent="0.3">
      <c r="A119" s="150"/>
      <c r="B119" s="41" t="s">
        <v>40</v>
      </c>
      <c r="C119" s="100">
        <f t="shared" ref="C119:P119" si="299">C137-C126</f>
        <v>148804.85999999999</v>
      </c>
      <c r="D119" s="101">
        <f t="shared" si="299"/>
        <v>162344.28000000003</v>
      </c>
      <c r="E119" s="101">
        <f t="shared" si="299"/>
        <v>228531.37</v>
      </c>
      <c r="F119" s="101">
        <f t="shared" si="299"/>
        <v>123834.63</v>
      </c>
      <c r="G119" s="101">
        <f t="shared" si="299"/>
        <v>231944.08</v>
      </c>
      <c r="H119" s="101">
        <f t="shared" si="299"/>
        <v>294203.90000000002</v>
      </c>
      <c r="I119" s="101">
        <f t="shared" si="299"/>
        <v>299208.37</v>
      </c>
      <c r="J119" s="101">
        <f t="shared" si="299"/>
        <v>355074.23</v>
      </c>
      <c r="K119" s="101">
        <f t="shared" si="299"/>
        <v>109477.86</v>
      </c>
      <c r="L119" s="102">
        <f t="shared" si="299"/>
        <v>175913.55000000002</v>
      </c>
      <c r="M119" s="101">
        <f t="shared" si="299"/>
        <v>297886.72000000003</v>
      </c>
      <c r="N119" s="101">
        <f t="shared" si="299"/>
        <v>116462.27</v>
      </c>
      <c r="O119" s="101">
        <f t="shared" si="299"/>
        <v>149773.39000000001</v>
      </c>
      <c r="P119" s="101">
        <f t="shared" si="299"/>
        <v>189099.84000000003</v>
      </c>
      <c r="Q119" s="101">
        <f t="shared" ref="Q119:R119" si="300">Q137-Q126</f>
        <v>188049.06000000003</v>
      </c>
      <c r="R119" s="101">
        <f t="shared" si="300"/>
        <v>153783.88</v>
      </c>
      <c r="S119" s="101">
        <f t="shared" ref="S119:T119" si="301">S137-S126</f>
        <v>194697.02000000002</v>
      </c>
      <c r="T119" s="101">
        <f t="shared" si="301"/>
        <v>450360.02000000008</v>
      </c>
      <c r="U119" s="101">
        <f t="shared" ref="U119:V119" si="302">U137-U126</f>
        <v>286514.07999999996</v>
      </c>
      <c r="V119" s="101">
        <f t="shared" si="302"/>
        <v>282919.76</v>
      </c>
      <c r="W119" s="101">
        <f t="shared" ref="W119:X119" si="303">W137-W126</f>
        <v>363963.08999999997</v>
      </c>
      <c r="X119" s="102">
        <f t="shared" si="303"/>
        <v>184644.2</v>
      </c>
      <c r="Y119" s="101">
        <f t="shared" ref="Y119:AA119" si="304">Y137-Y126</f>
        <v>149274.71000000002</v>
      </c>
      <c r="Z119" s="101">
        <v>202344.07</v>
      </c>
      <c r="AA119" s="101">
        <f t="shared" si="30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7">
        <f t="shared" si="283"/>
        <v>968.53000000002794</v>
      </c>
      <c r="BJ119" s="103">
        <f t="shared" si="283"/>
        <v>26755.559999999998</v>
      </c>
      <c r="BK119" s="103">
        <f t="shared" si="283"/>
        <v>-40482.309999999969</v>
      </c>
      <c r="BL119" s="103">
        <f t="shared" si="283"/>
        <v>29949.25</v>
      </c>
      <c r="BM119" s="103">
        <f t="shared" si="283"/>
        <v>-37247.059999999969</v>
      </c>
      <c r="BN119" s="103">
        <f t="shared" si="283"/>
        <v>156156.12000000005</v>
      </c>
      <c r="BO119" s="103">
        <f t="shared" si="283"/>
        <v>-12694.290000000037</v>
      </c>
      <c r="BP119" s="212">
        <f t="shared" si="284"/>
        <v>-72154.469999999972</v>
      </c>
      <c r="BQ119" s="212">
        <f t="shared" si="284"/>
        <v>254485.22999999998</v>
      </c>
      <c r="BR119" s="212">
        <f t="shared" si="284"/>
        <v>8730.6499999999942</v>
      </c>
      <c r="BS119" s="212">
        <f t="shared" si="284"/>
        <v>-148612.01</v>
      </c>
      <c r="BT119" s="212">
        <f t="shared" si="284"/>
        <v>85881.8</v>
      </c>
      <c r="BU119" s="212">
        <f t="shared" si="284"/>
        <v>11550.270000000019</v>
      </c>
      <c r="BV119" s="212">
        <f t="shared" si="284"/>
        <v>-33505.820000000007</v>
      </c>
      <c r="BW119" s="212">
        <f t="shared" si="284"/>
        <v>79397.229999999952</v>
      </c>
      <c r="BX119" s="212">
        <f t="shared" si="284"/>
        <v>67710.700000000012</v>
      </c>
      <c r="BY119" s="212">
        <f t="shared" si="284"/>
        <v>61845.849999999977</v>
      </c>
      <c r="BZ119" s="212">
        <f t="shared" si="285"/>
        <v>-77299.090000000026</v>
      </c>
      <c r="CA119" s="275">
        <f t="shared" si="285"/>
        <v>171898.56000000006</v>
      </c>
      <c r="CB119" s="275">
        <f t="shared" si="285"/>
        <v>-9324.5999999999767</v>
      </c>
      <c r="CC119" s="275">
        <f t="shared" si="285"/>
        <v>-46650.359999999986</v>
      </c>
      <c r="CD119" s="275">
        <f t="shared" si="285"/>
        <v>192457.77999999997</v>
      </c>
      <c r="CE119" s="314">
        <f t="shared" si="285"/>
        <v>96527.77999999997</v>
      </c>
      <c r="CF119" s="314">
        <f t="shared" si="285"/>
        <v>11009.839999999997</v>
      </c>
      <c r="CG119" s="314">
        <f t="shared" si="285"/>
        <v>-40213.310000000027</v>
      </c>
      <c r="CH119" s="314">
        <f t="shared" si="285"/>
        <v>95354.51999999999</v>
      </c>
      <c r="CI119" s="314">
        <f t="shared" si="285"/>
        <v>-51434.76999999996</v>
      </c>
      <c r="CJ119" s="314">
        <f t="shared" si="286"/>
        <v>54604.51999999996</v>
      </c>
      <c r="CK119" s="314">
        <f t="shared" si="286"/>
        <v>-87401.75</v>
      </c>
      <c r="CL119" s="314">
        <f t="shared" si="286"/>
        <v>133839.11999999994</v>
      </c>
      <c r="CM119" s="314">
        <f t="shared" si="286"/>
        <v>-27043.679999999993</v>
      </c>
      <c r="CN119" s="314">
        <f t="shared" si="286"/>
        <v>36480</v>
      </c>
      <c r="CO119" s="314">
        <f t="shared" si="286"/>
        <v>-206095.24</v>
      </c>
      <c r="CP119" s="314">
        <f t="shared" si="286"/>
        <v>-445845.02999999997</v>
      </c>
      <c r="CQ119" s="314">
        <f t="shared" si="286"/>
        <v>-202070.76</v>
      </c>
      <c r="CR119" s="314">
        <f t="shared" si="286"/>
        <v>-62979.59</v>
      </c>
      <c r="CS119" s="314"/>
      <c r="CT119" s="350"/>
      <c r="CU119" s="67">
        <f>'MONTHLY SUMMARIES'!F83</f>
        <v>254129.87</v>
      </c>
    </row>
    <row r="120" spans="1:103" s="40" customFormat="1" x14ac:dyDescent="0.3">
      <c r="A120" s="150"/>
      <c r="B120" s="41" t="s">
        <v>41</v>
      </c>
      <c r="C120" s="100">
        <f t="shared" ref="C120:P120" si="305">C138-C127</f>
        <v>44856.39</v>
      </c>
      <c r="D120" s="101">
        <f t="shared" si="305"/>
        <v>118159.67999999999</v>
      </c>
      <c r="E120" s="101">
        <f t="shared" si="305"/>
        <v>81548.820000000007</v>
      </c>
      <c r="F120" s="101">
        <f t="shared" si="305"/>
        <v>163324.87</v>
      </c>
      <c r="G120" s="101">
        <f t="shared" si="305"/>
        <v>206573.68</v>
      </c>
      <c r="H120" s="101">
        <f t="shared" si="305"/>
        <v>100782.94999999998</v>
      </c>
      <c r="I120" s="101">
        <f t="shared" si="305"/>
        <v>210289.96000000002</v>
      </c>
      <c r="J120" s="101">
        <f t="shared" si="305"/>
        <v>193114.78999999998</v>
      </c>
      <c r="K120" s="101">
        <f t="shared" si="305"/>
        <v>144717.44</v>
      </c>
      <c r="L120" s="102">
        <f t="shared" si="305"/>
        <v>70354.26999999999</v>
      </c>
      <c r="M120" s="101">
        <f t="shared" si="305"/>
        <v>218347.75</v>
      </c>
      <c r="N120" s="101">
        <f t="shared" si="305"/>
        <v>119420.98000000001</v>
      </c>
      <c r="O120" s="101">
        <f t="shared" si="305"/>
        <v>339086.6</v>
      </c>
      <c r="P120" s="101">
        <f t="shared" si="305"/>
        <v>134944.85999999999</v>
      </c>
      <c r="Q120" s="101">
        <f t="shared" ref="Q120:R120" si="306">Q138-Q127</f>
        <v>115099.03999999998</v>
      </c>
      <c r="R120" s="101">
        <f t="shared" si="306"/>
        <v>176298.05000000002</v>
      </c>
      <c r="S120" s="101">
        <f t="shared" ref="S120:T120" si="307">S138-S127</f>
        <v>154752.01999999999</v>
      </c>
      <c r="T120" s="101">
        <f t="shared" si="307"/>
        <v>207420.03999999998</v>
      </c>
      <c r="U120" s="101">
        <f t="shared" ref="U120:V120" si="308">U138-U127</f>
        <v>183981.81000000003</v>
      </c>
      <c r="V120" s="101">
        <f t="shared" si="308"/>
        <v>187723.76</v>
      </c>
      <c r="W120" s="101">
        <f t="shared" ref="W120:X120" si="309">W138-W127</f>
        <v>212469.02000000002</v>
      </c>
      <c r="X120" s="102">
        <f t="shared" si="309"/>
        <v>141491.82</v>
      </c>
      <c r="Y120" s="101">
        <f t="shared" ref="Y120:AA120" si="310">Y138-Y127</f>
        <v>157529.85999999999</v>
      </c>
      <c r="Z120" s="101">
        <v>187055.2</v>
      </c>
      <c r="AA120" s="101">
        <f t="shared" si="31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7">
        <f t="shared" si="283"/>
        <v>294230.20999999996</v>
      </c>
      <c r="BJ120" s="103">
        <f t="shared" si="283"/>
        <v>16785.179999999993</v>
      </c>
      <c r="BK120" s="103">
        <f t="shared" si="283"/>
        <v>33550.219999999972</v>
      </c>
      <c r="BL120" s="103">
        <f t="shared" si="283"/>
        <v>12973.180000000022</v>
      </c>
      <c r="BM120" s="103">
        <f t="shared" si="283"/>
        <v>-51821.66</v>
      </c>
      <c r="BN120" s="103">
        <f t="shared" si="283"/>
        <v>106637.09</v>
      </c>
      <c r="BO120" s="103">
        <f t="shared" si="283"/>
        <v>-26308.149999999994</v>
      </c>
      <c r="BP120" s="212">
        <f t="shared" si="284"/>
        <v>-5391.0299999999697</v>
      </c>
      <c r="BQ120" s="212">
        <f t="shared" si="284"/>
        <v>67751.580000000016</v>
      </c>
      <c r="BR120" s="212">
        <f t="shared" si="284"/>
        <v>71137.550000000017</v>
      </c>
      <c r="BS120" s="212">
        <f t="shared" si="284"/>
        <v>-60817.890000000014</v>
      </c>
      <c r="BT120" s="212">
        <f t="shared" si="284"/>
        <v>67634.22</v>
      </c>
      <c r="BU120" s="212">
        <f t="shared" si="284"/>
        <v>-202943.46999999997</v>
      </c>
      <c r="BV120" s="212">
        <f t="shared" si="284"/>
        <v>20819.170000000013</v>
      </c>
      <c r="BW120" s="212">
        <f t="shared" si="284"/>
        <v>28780.630000000005</v>
      </c>
      <c r="BX120" s="212">
        <f t="shared" si="284"/>
        <v>-48940.390000000014</v>
      </c>
      <c r="BY120" s="212">
        <f t="shared" si="284"/>
        <v>121901.92000000001</v>
      </c>
      <c r="BZ120" s="212">
        <f t="shared" si="285"/>
        <v>10072.670000000042</v>
      </c>
      <c r="CA120" s="275">
        <f t="shared" si="285"/>
        <v>-69187.60000000002</v>
      </c>
      <c r="CB120" s="275">
        <f t="shared" si="285"/>
        <v>-31233.540000000008</v>
      </c>
      <c r="CC120" s="275">
        <f t="shared" si="285"/>
        <v>-76907.320000000007</v>
      </c>
      <c r="CD120" s="275">
        <f t="shared" si="285"/>
        <v>134644</v>
      </c>
      <c r="CE120" s="314">
        <f t="shared" si="285"/>
        <v>16587.809999999998</v>
      </c>
      <c r="CF120" s="314">
        <f t="shared" si="285"/>
        <v>-52555.320000000007</v>
      </c>
      <c r="CG120" s="314">
        <f t="shared" si="285"/>
        <v>193157.63</v>
      </c>
      <c r="CH120" s="314">
        <f t="shared" si="285"/>
        <v>47711.97</v>
      </c>
      <c r="CI120" s="314">
        <f t="shared" si="285"/>
        <v>-23178.829999999987</v>
      </c>
      <c r="CJ120" s="314">
        <f t="shared" si="286"/>
        <v>54239.550000000017</v>
      </c>
      <c r="CK120" s="314">
        <f t="shared" si="286"/>
        <v>-169280.35</v>
      </c>
      <c r="CL120" s="314">
        <f t="shared" si="286"/>
        <v>-16709.650000000023</v>
      </c>
      <c r="CM120" s="314">
        <f t="shared" si="286"/>
        <v>76152.64999999998</v>
      </c>
      <c r="CN120" s="314">
        <f t="shared" si="286"/>
        <v>213624.00999999998</v>
      </c>
      <c r="CO120" s="314">
        <f t="shared" si="286"/>
        <v>-230968.88</v>
      </c>
      <c r="CP120" s="314">
        <f t="shared" si="286"/>
        <v>-350807.64</v>
      </c>
      <c r="CQ120" s="314">
        <f t="shared" si="286"/>
        <v>4461685.38</v>
      </c>
      <c r="CR120" s="314">
        <f t="shared" si="286"/>
        <v>-232519.38</v>
      </c>
      <c r="CS120" s="314"/>
      <c r="CT120" s="350"/>
      <c r="CU120" s="67">
        <f>'MONTHLY SUMMARIES'!F84</f>
        <v>140139.52000000002</v>
      </c>
    </row>
    <row r="121" spans="1:103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11">SUM(D116:D120)</f>
        <v>1377285.4999999998</v>
      </c>
      <c r="E121" s="136">
        <f t="shared" si="311"/>
        <v>1522244.14</v>
      </c>
      <c r="F121" s="136">
        <f t="shared" si="311"/>
        <v>1307544.1600000001</v>
      </c>
      <c r="G121" s="136">
        <f t="shared" si="311"/>
        <v>2184390.91</v>
      </c>
      <c r="H121" s="136">
        <f t="shared" si="311"/>
        <v>2662925.27</v>
      </c>
      <c r="I121" s="136">
        <f t="shared" si="311"/>
        <v>2613157.27</v>
      </c>
      <c r="J121" s="136">
        <f t="shared" si="311"/>
        <v>2277370.31</v>
      </c>
      <c r="K121" s="136">
        <f t="shared" si="311"/>
        <v>1037174.9199999999</v>
      </c>
      <c r="L121" s="138">
        <f t="shared" si="311"/>
        <v>1694516.8699999996</v>
      </c>
      <c r="M121" s="136">
        <f t="shared" si="311"/>
        <v>2246672.13</v>
      </c>
      <c r="N121" s="136">
        <f t="shared" si="311"/>
        <v>1609866.9499999997</v>
      </c>
      <c r="O121" s="136">
        <f t="shared" si="311"/>
        <v>1971293.3400000003</v>
      </c>
      <c r="P121" s="136">
        <f t="shared" si="311"/>
        <v>1731217.12</v>
      </c>
      <c r="Q121" s="136">
        <f t="shared" ref="Q121:R121" si="312">SUM(Q116:Q120)</f>
        <v>1624216.7000000002</v>
      </c>
      <c r="R121" s="136">
        <f t="shared" si="312"/>
        <v>1837990.1700000002</v>
      </c>
      <c r="S121" s="136">
        <f t="shared" ref="S121:T121" si="313">SUM(S116:S120)</f>
        <v>2457769.42</v>
      </c>
      <c r="T121" s="136">
        <f t="shared" si="313"/>
        <v>4114467.2999999993</v>
      </c>
      <c r="U121" s="136">
        <f t="shared" ref="U121:V121" si="314">SUM(U116:U120)</f>
        <v>2914970.6700000004</v>
      </c>
      <c r="V121" s="136">
        <f t="shared" si="314"/>
        <v>2018196.37</v>
      </c>
      <c r="W121" s="136">
        <f t="shared" ref="W121:X121" si="315">SUM(W116:W120)</f>
        <v>3864709.6700000004</v>
      </c>
      <c r="X121" s="138">
        <f t="shared" si="315"/>
        <v>1890887.7600000002</v>
      </c>
      <c r="Y121" s="136">
        <f t="shared" ref="Y121:AA121" si="316">SUM(Y116:Y120)</f>
        <v>1800186.29</v>
      </c>
      <c r="Z121" s="136">
        <v>2208367.04</v>
      </c>
      <c r="AA121" s="136">
        <f t="shared" si="31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57"/>
        <v>591476.32999999984</v>
      </c>
      <c r="BJ121" s="139">
        <f t="shared" ref="BJ121:BL121" si="317">SUM(BJ116:BJ120)</f>
        <v>353931.62000000011</v>
      </c>
      <c r="BK121" s="139">
        <f t="shared" si="317"/>
        <v>101972.56000000017</v>
      </c>
      <c r="BL121" s="139">
        <f t="shared" si="317"/>
        <v>530446.01000000024</v>
      </c>
      <c r="BM121" s="139">
        <f t="shared" ref="BM121:BN121" si="318">SUM(BM116:BM120)</f>
        <v>273378.50999999989</v>
      </c>
      <c r="BN121" s="139">
        <f t="shared" si="318"/>
        <v>1451542.0299999998</v>
      </c>
      <c r="BO121" s="139">
        <f t="shared" ref="BO121" si="319">SUM(BO116:BO120)</f>
        <v>301813.40000000037</v>
      </c>
      <c r="BP121" s="213">
        <f t="shared" ref="BP121:BV121" si="320">IF(BP120="N/A","N/A",SUM(BP116:BP120))</f>
        <v>-259173.94</v>
      </c>
      <c r="BQ121" s="213">
        <f t="shared" si="320"/>
        <v>2827534.7500000005</v>
      </c>
      <c r="BR121" s="213">
        <f t="shared" si="320"/>
        <v>196370.89000000051</v>
      </c>
      <c r="BS121" s="213">
        <f t="shared" si="320"/>
        <v>-446485.83999999991</v>
      </c>
      <c r="BT121" s="213">
        <f t="shared" si="320"/>
        <v>598500.0900000002</v>
      </c>
      <c r="BU121" s="213">
        <f t="shared" si="320"/>
        <v>41600.480000000127</v>
      </c>
      <c r="BV121" s="213">
        <f t="shared" si="320"/>
        <v>162810.57000000015</v>
      </c>
      <c r="BW121" s="213">
        <f t="shared" ref="BW121:BX121" si="321">IF(BW120="N/A","N/A",SUM(BW116:BW120))</f>
        <v>331217.83999999985</v>
      </c>
      <c r="BX121" s="213">
        <f t="shared" si="321"/>
        <v>236688.06999999995</v>
      </c>
      <c r="BY121" s="213">
        <f t="shared" ref="BY121:BZ121" si="322">IF(BY120="N/A","N/A",SUM(BY116:BY120))</f>
        <v>514433.39999999991</v>
      </c>
      <c r="BZ121" s="213">
        <f t="shared" si="322"/>
        <v>-569061.86999999965</v>
      </c>
      <c r="CA121" s="276">
        <f t="shared" ref="CA121:CB121" si="323">IF(CA120="N/A","N/A",SUM(CA116:CA120))</f>
        <v>843099.16999999981</v>
      </c>
      <c r="CB121" s="276">
        <f t="shared" si="323"/>
        <v>324242.72999999986</v>
      </c>
      <c r="CC121" s="276">
        <f t="shared" ref="CC121:CD121" si="324">IF(CC120="N/A","N/A",SUM(CC116:CC120))</f>
        <v>-1868199.6500000001</v>
      </c>
      <c r="CD121" s="276">
        <f t="shared" si="324"/>
        <v>711108.23999999976</v>
      </c>
      <c r="CE121" s="315">
        <f t="shared" ref="CE121" si="325">IF(CE120="N/A","N/A",SUM(CE116:CE120))</f>
        <v>520909.20999999973</v>
      </c>
      <c r="CF121" s="315">
        <f t="shared" ref="CF121:CK121" si="326">IF(CF120="N/A","N/A",SUM(CF116:CF120))</f>
        <v>157576.82</v>
      </c>
      <c r="CG121" s="315">
        <f t="shared" si="326"/>
        <v>37377.809999999852</v>
      </c>
      <c r="CH121" s="315">
        <f t="shared" si="326"/>
        <v>866573.3899999999</v>
      </c>
      <c r="CI121" s="315">
        <f t="shared" si="326"/>
        <v>-119230.47999999975</v>
      </c>
      <c r="CJ121" s="315">
        <f t="shared" si="326"/>
        <v>447793.61999999988</v>
      </c>
      <c r="CK121" s="315">
        <f t="shared" si="326"/>
        <v>-833651.87</v>
      </c>
      <c r="CL121" s="315">
        <f t="shared" ref="CL121" si="327">IF(CL120="N/A","N/A",SUM(CL116:CL120))</f>
        <v>934107.90000000026</v>
      </c>
      <c r="CM121" s="315">
        <f t="shared" ref="CM121" si="328">IF(CM120="N/A","N/A",SUM(CM116:CM120))</f>
        <v>-223475.90999999992</v>
      </c>
      <c r="CN121" s="315">
        <f t="shared" ref="CN121" si="329">IF(CN120="N/A","N/A",SUM(CN116:CN120))</f>
        <v>-293624.35999999975</v>
      </c>
      <c r="CO121" s="315">
        <f t="shared" ref="CO121" si="330">IF(CO120="N/A","N/A",SUM(CO116:CO120))</f>
        <v>-1792803.5</v>
      </c>
      <c r="CP121" s="315">
        <f t="shared" ref="CP121" si="331">IF(CP120="N/A","N/A",SUM(CP116:CP120))</f>
        <v>-2980295.15</v>
      </c>
      <c r="CQ121" s="315">
        <f t="shared" ref="CQ121:CS121" si="332">IF(CQ120="N/A","N/A",SUM(CQ116:CQ120))</f>
        <v>2173215.2599999998</v>
      </c>
      <c r="CR121" s="315">
        <f t="shared" ref="CR121" si="333">IF(CR120="N/A","N/A",SUM(CR116:CR120))</f>
        <v>-1746704.4300000002</v>
      </c>
      <c r="CS121" s="315"/>
      <c r="CT121" s="351"/>
      <c r="CU121" s="184">
        <f t="shared" si="275"/>
        <v>2807965.29</v>
      </c>
      <c r="CV121" s="40"/>
      <c r="CW121" s="40"/>
      <c r="CX121" s="40"/>
      <c r="CY121" s="40"/>
    </row>
    <row r="122" spans="1:103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50"/>
      <c r="CU122" s="255"/>
    </row>
    <row r="123" spans="1:103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7">
        <f t="shared" ref="BI123:BO127" si="334">O123-C123</f>
        <v>-60551.930000000051</v>
      </c>
      <c r="BJ123" s="103">
        <f t="shared" si="334"/>
        <v>9638.4399999999441</v>
      </c>
      <c r="BK123" s="103">
        <f t="shared" si="334"/>
        <v>-76438.180000000051</v>
      </c>
      <c r="BL123" s="103">
        <f t="shared" si="334"/>
        <v>142382.12</v>
      </c>
      <c r="BM123" s="103">
        <f t="shared" si="334"/>
        <v>55760.729999999749</v>
      </c>
      <c r="BN123" s="103">
        <f t="shared" si="334"/>
        <v>404974.49</v>
      </c>
      <c r="BO123" s="103">
        <f t="shared" si="334"/>
        <v>267785.05999999982</v>
      </c>
      <c r="BP123" s="212">
        <f t="shared" ref="BP123:BY127" si="335">IF(ISERROR(V123-J123)=TRUE,"N/A",V123-J123)</f>
        <v>72206.729999999981</v>
      </c>
      <c r="BQ123" s="212">
        <f t="shared" si="335"/>
        <v>233271.14000000007</v>
      </c>
      <c r="BR123" s="212">
        <f t="shared" si="335"/>
        <v>111921.57999999996</v>
      </c>
      <c r="BS123" s="212">
        <f t="shared" si="335"/>
        <v>13248.020000000019</v>
      </c>
      <c r="BT123" s="212">
        <f t="shared" si="335"/>
        <v>328408.15999999992</v>
      </c>
      <c r="BU123" s="212">
        <f t="shared" si="335"/>
        <v>266224.46999999997</v>
      </c>
      <c r="BV123" s="212">
        <f t="shared" si="335"/>
        <v>137200.86999999988</v>
      </c>
      <c r="BW123" s="212">
        <f t="shared" si="335"/>
        <v>87979.270000000019</v>
      </c>
      <c r="BX123" s="212">
        <f t="shared" si="335"/>
        <v>178467.57999999996</v>
      </c>
      <c r="BY123" s="212">
        <f t="shared" si="335"/>
        <v>236670.58000000031</v>
      </c>
      <c r="BZ123" s="212">
        <f t="shared" ref="BZ123:CI127" si="336">IF(ISERROR(AF123-T123)=TRUE,"N/A",AF123-T123)</f>
        <v>-132279.91000000015</v>
      </c>
      <c r="CA123" s="275">
        <f t="shared" si="336"/>
        <v>279449.41000000015</v>
      </c>
      <c r="CB123" s="275">
        <f t="shared" si="336"/>
        <v>-92109.640000000014</v>
      </c>
      <c r="CC123" s="275">
        <f t="shared" si="336"/>
        <v>50175.919999999925</v>
      </c>
      <c r="CD123" s="275">
        <f t="shared" si="336"/>
        <v>38327.949999999953</v>
      </c>
      <c r="CE123" s="314">
        <f t="shared" si="336"/>
        <v>19412.240000000107</v>
      </c>
      <c r="CF123" s="314">
        <f t="shared" si="336"/>
        <v>-28451.04999999993</v>
      </c>
      <c r="CG123" s="314">
        <f t="shared" si="336"/>
        <v>-225563.97999999986</v>
      </c>
      <c r="CH123" s="314">
        <f t="shared" si="336"/>
        <v>-581327.68999999994</v>
      </c>
      <c r="CI123" s="314">
        <f t="shared" si="336"/>
        <v>6369.3299999999581</v>
      </c>
      <c r="CJ123" s="314">
        <f t="shared" ref="CJ123:CR127" si="337">IF(ISERROR(AP123-AD123)=TRUE,"N/A",AP123-AD123)</f>
        <v>140747.47999999998</v>
      </c>
      <c r="CK123" s="314">
        <f t="shared" si="337"/>
        <v>-322184.29000000004</v>
      </c>
      <c r="CL123" s="314">
        <f t="shared" si="337"/>
        <v>426549.64000000013</v>
      </c>
      <c r="CM123" s="314">
        <f t="shared" si="337"/>
        <v>-190122.66000000015</v>
      </c>
      <c r="CN123" s="314">
        <f t="shared" si="337"/>
        <v>59055.530000000028</v>
      </c>
      <c r="CO123" s="314">
        <f t="shared" si="337"/>
        <v>-173763.01</v>
      </c>
      <c r="CP123" s="314">
        <f t="shared" si="337"/>
        <v>73437.780000000028</v>
      </c>
      <c r="CQ123" s="314">
        <f t="shared" si="337"/>
        <v>74124.029999999912</v>
      </c>
      <c r="CR123" s="314">
        <f t="shared" si="337"/>
        <v>-184837.85000000009</v>
      </c>
      <c r="CS123" s="314"/>
      <c r="CT123" s="350"/>
      <c r="CU123" s="67">
        <f>'MONTHLY SUMMARIES'!F87</f>
        <v>944714.02</v>
      </c>
    </row>
    <row r="124" spans="1:103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7">
        <f t="shared" si="334"/>
        <v>-1409.92</v>
      </c>
      <c r="BJ124" s="103">
        <f t="shared" si="334"/>
        <v>337.64999999999964</v>
      </c>
      <c r="BK124" s="103">
        <f t="shared" si="334"/>
        <v>209.64000000000033</v>
      </c>
      <c r="BL124" s="103">
        <f t="shared" si="334"/>
        <v>1196.8500000000004</v>
      </c>
      <c r="BM124" s="103">
        <f t="shared" si="334"/>
        <v>925.46</v>
      </c>
      <c r="BN124" s="103">
        <f t="shared" si="334"/>
        <v>2796.91</v>
      </c>
      <c r="BO124" s="103">
        <f t="shared" si="334"/>
        <v>4620.0499999999984</v>
      </c>
      <c r="BP124" s="212">
        <f t="shared" si="335"/>
        <v>2351.2799999999997</v>
      </c>
      <c r="BQ124" s="212">
        <f t="shared" si="335"/>
        <v>1458.9300000000003</v>
      </c>
      <c r="BR124" s="212">
        <f t="shared" si="335"/>
        <v>2289.2600000000002</v>
      </c>
      <c r="BS124" s="212">
        <f t="shared" si="335"/>
        <v>3539.3500000000004</v>
      </c>
      <c r="BT124" s="212">
        <f t="shared" si="335"/>
        <v>4441.130000000001</v>
      </c>
      <c r="BU124" s="212">
        <f t="shared" si="335"/>
        <v>6859.84</v>
      </c>
      <c r="BV124" s="212">
        <f t="shared" si="335"/>
        <v>3281.09</v>
      </c>
      <c r="BW124" s="212">
        <f t="shared" si="335"/>
        <v>3360.1200000000008</v>
      </c>
      <c r="BX124" s="212">
        <f t="shared" si="335"/>
        <v>3349.91</v>
      </c>
      <c r="BY124" s="212">
        <f t="shared" si="335"/>
        <v>4723.1499999999996</v>
      </c>
      <c r="BZ124" s="212">
        <f t="shared" si="336"/>
        <v>1408.9400000000005</v>
      </c>
      <c r="CA124" s="275">
        <f t="shared" si="336"/>
        <v>1638.2600000000002</v>
      </c>
      <c r="CB124" s="275">
        <f t="shared" si="336"/>
        <v>252.57999999999993</v>
      </c>
      <c r="CC124" s="275">
        <f t="shared" si="336"/>
        <v>525.52000000000044</v>
      </c>
      <c r="CD124" s="275">
        <f t="shared" si="336"/>
        <v>-433.77000000000044</v>
      </c>
      <c r="CE124" s="314">
        <f t="shared" si="336"/>
        <v>-2442.0399999999991</v>
      </c>
      <c r="CF124" s="314">
        <f t="shared" si="336"/>
        <v>108.71000000000095</v>
      </c>
      <c r="CG124" s="314">
        <f t="shared" si="336"/>
        <v>-4296.6900000000005</v>
      </c>
      <c r="CH124" s="314">
        <f t="shared" si="336"/>
        <v>-11901.8</v>
      </c>
      <c r="CI124" s="314">
        <f t="shared" si="336"/>
        <v>-2460.1500000000015</v>
      </c>
      <c r="CJ124" s="314">
        <f t="shared" si="337"/>
        <v>-1869.0299999999988</v>
      </c>
      <c r="CK124" s="314">
        <f t="shared" si="337"/>
        <v>-4991.1799999999994</v>
      </c>
      <c r="CL124" s="314">
        <f t="shared" si="337"/>
        <v>-1846.7000000000007</v>
      </c>
      <c r="CM124" s="314">
        <f t="shared" si="337"/>
        <v>-2273.6499999999996</v>
      </c>
      <c r="CN124" s="314">
        <f t="shared" si="337"/>
        <v>-226.95999999999913</v>
      </c>
      <c r="CO124" s="314">
        <f t="shared" si="337"/>
        <v>-1971.4300000000003</v>
      </c>
      <c r="CP124" s="314">
        <f t="shared" si="337"/>
        <v>646.3600000000024</v>
      </c>
      <c r="CQ124" s="314">
        <f t="shared" si="337"/>
        <v>-22.200000000000728</v>
      </c>
      <c r="CR124" s="314">
        <f t="shared" si="337"/>
        <v>-3147.5400000000009</v>
      </c>
      <c r="CS124" s="314"/>
      <c r="CT124" s="350"/>
      <c r="CU124" s="67">
        <f>'MONTHLY SUMMARIES'!F88</f>
        <v>11164.58</v>
      </c>
    </row>
    <row r="125" spans="1:103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/>
      <c r="BA125" s="301"/>
      <c r="BB125" s="301"/>
      <c r="BC125" s="301"/>
      <c r="BD125" s="301"/>
      <c r="BE125" s="301"/>
      <c r="BF125" s="301"/>
      <c r="BG125" s="301"/>
      <c r="BH125" s="301"/>
      <c r="BI125" s="37">
        <f t="shared" si="334"/>
        <v>-1467.0599999999686</v>
      </c>
      <c r="BJ125" s="103">
        <f t="shared" si="334"/>
        <v>-16961.110000000015</v>
      </c>
      <c r="BK125" s="103">
        <f t="shared" si="334"/>
        <v>-63101.720000000016</v>
      </c>
      <c r="BL125" s="103">
        <f t="shared" si="334"/>
        <v>2962.6800000000076</v>
      </c>
      <c r="BM125" s="103">
        <f t="shared" si="334"/>
        <v>-33059.129999999976</v>
      </c>
      <c r="BN125" s="103">
        <f t="shared" si="334"/>
        <v>32732.360000000044</v>
      </c>
      <c r="BO125" s="103">
        <f t="shared" si="334"/>
        <v>5236.789999999979</v>
      </c>
      <c r="BP125" s="212">
        <f t="shared" si="335"/>
        <v>-55711.179999999993</v>
      </c>
      <c r="BQ125" s="212">
        <f t="shared" si="335"/>
        <v>48318.78</v>
      </c>
      <c r="BR125" s="212">
        <f t="shared" si="335"/>
        <v>14203.979999999981</v>
      </c>
      <c r="BS125" s="212">
        <f t="shared" si="335"/>
        <v>-35714.130000000034</v>
      </c>
      <c r="BT125" s="212">
        <f t="shared" si="335"/>
        <v>59568.369999999981</v>
      </c>
      <c r="BU125" s="212">
        <f t="shared" si="335"/>
        <v>31776.679999999993</v>
      </c>
      <c r="BV125" s="212">
        <f t="shared" si="335"/>
        <v>43162.47</v>
      </c>
      <c r="BW125" s="212">
        <f t="shared" si="335"/>
        <v>37796.319999999992</v>
      </c>
      <c r="BX125" s="212">
        <f t="shared" si="335"/>
        <v>57433.740000000005</v>
      </c>
      <c r="BY125" s="212">
        <f t="shared" si="335"/>
        <v>71478.469999999972</v>
      </c>
      <c r="BZ125" s="212">
        <f t="shared" si="336"/>
        <v>-16891.410000000033</v>
      </c>
      <c r="CA125" s="275">
        <f t="shared" si="336"/>
        <v>74087.729999999981</v>
      </c>
      <c r="CB125" s="275">
        <f t="shared" si="336"/>
        <v>-24178.809999999969</v>
      </c>
      <c r="CC125" s="275">
        <f t="shared" si="336"/>
        <v>46237.139999999985</v>
      </c>
      <c r="CD125" s="275">
        <f t="shared" si="336"/>
        <v>27132.23000000001</v>
      </c>
      <c r="CE125" s="314">
        <f t="shared" si="336"/>
        <v>10688.180000000022</v>
      </c>
      <c r="CF125" s="314">
        <f t="shared" si="336"/>
        <v>9732.0400000000081</v>
      </c>
      <c r="CG125" s="314">
        <f t="shared" si="336"/>
        <v>-47194.310000000012</v>
      </c>
      <c r="CH125" s="314">
        <f t="shared" si="336"/>
        <v>-94023.72</v>
      </c>
      <c r="CI125" s="314">
        <f t="shared" si="336"/>
        <v>13823.699999999983</v>
      </c>
      <c r="CJ125" s="314">
        <f t="shared" si="337"/>
        <v>64013</v>
      </c>
      <c r="CK125" s="314">
        <f t="shared" si="337"/>
        <v>-87024.75999999998</v>
      </c>
      <c r="CL125" s="314">
        <f t="shared" si="337"/>
        <v>83849.320000000065</v>
      </c>
      <c r="CM125" s="314">
        <f t="shared" si="337"/>
        <v>-35235.809999999939</v>
      </c>
      <c r="CN125" s="314">
        <f t="shared" si="337"/>
        <v>22803.799999999959</v>
      </c>
      <c r="CO125" s="314">
        <f t="shared" si="337"/>
        <v>-71150.179999999993</v>
      </c>
      <c r="CP125" s="314">
        <f t="shared" si="337"/>
        <v>14016.339999999997</v>
      </c>
      <c r="CQ125" s="314">
        <f t="shared" si="337"/>
        <v>18389.53</v>
      </c>
      <c r="CR125" s="314">
        <f t="shared" si="337"/>
        <v>-49734.150000000009</v>
      </c>
      <c r="CS125" s="314"/>
      <c r="CT125" s="350"/>
      <c r="CU125" s="67">
        <f>'MONTHLY SUMMARIES'!F89</f>
        <v>219089.5</v>
      </c>
    </row>
    <row r="126" spans="1:103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/>
      <c r="BA126" s="301"/>
      <c r="BB126" s="301"/>
      <c r="BC126" s="301"/>
      <c r="BD126" s="301"/>
      <c r="BE126" s="301"/>
      <c r="BF126" s="301"/>
      <c r="BG126" s="301"/>
      <c r="BH126" s="301"/>
      <c r="BI126" s="37">
        <f t="shared" si="334"/>
        <v>-7595.4900000000052</v>
      </c>
      <c r="BJ126" s="103">
        <f t="shared" si="334"/>
        <v>-14979.449999999997</v>
      </c>
      <c r="BK126" s="103">
        <f t="shared" si="334"/>
        <v>-69054.579999999987</v>
      </c>
      <c r="BL126" s="103">
        <f t="shared" si="334"/>
        <v>3767.5299999999843</v>
      </c>
      <c r="BM126" s="103">
        <f t="shared" si="334"/>
        <v>-17825.490000000005</v>
      </c>
      <c r="BN126" s="103">
        <f t="shared" si="334"/>
        <v>37639.479999999952</v>
      </c>
      <c r="BO126" s="103">
        <f t="shared" si="334"/>
        <v>169.05000000001746</v>
      </c>
      <c r="BP126" s="212">
        <f t="shared" si="335"/>
        <v>-58022.91</v>
      </c>
      <c r="BQ126" s="212">
        <f t="shared" si="335"/>
        <v>46189.86</v>
      </c>
      <c r="BR126" s="212">
        <f t="shared" si="335"/>
        <v>2551.1100000000006</v>
      </c>
      <c r="BS126" s="212">
        <f t="shared" si="335"/>
        <v>-80104.45</v>
      </c>
      <c r="BT126" s="212">
        <f t="shared" si="335"/>
        <v>27088.42</v>
      </c>
      <c r="BU126" s="212">
        <f t="shared" si="335"/>
        <v>5722.9599999999919</v>
      </c>
      <c r="BV126" s="212">
        <f t="shared" si="335"/>
        <v>-1494.5</v>
      </c>
      <c r="BW126" s="212">
        <f t="shared" si="335"/>
        <v>26474.12000000001</v>
      </c>
      <c r="BX126" s="212">
        <f t="shared" si="335"/>
        <v>39242.94</v>
      </c>
      <c r="BY126" s="212">
        <f t="shared" si="335"/>
        <v>35882.150000000009</v>
      </c>
      <c r="BZ126" s="212">
        <f t="shared" si="336"/>
        <v>-43243.02999999997</v>
      </c>
      <c r="CA126" s="275">
        <f t="shared" si="336"/>
        <v>69463.569999999978</v>
      </c>
      <c r="CB126" s="275">
        <f t="shared" si="336"/>
        <v>-29759.399999999994</v>
      </c>
      <c r="CC126" s="275">
        <f t="shared" si="336"/>
        <v>37067.490000000005</v>
      </c>
      <c r="CD126" s="275">
        <f t="shared" si="336"/>
        <v>53310.190000000017</v>
      </c>
      <c r="CE126" s="314">
        <f t="shared" si="336"/>
        <v>35667.220000000016</v>
      </c>
      <c r="CF126" s="314">
        <f t="shared" si="336"/>
        <v>15594.160000000003</v>
      </c>
      <c r="CG126" s="314">
        <f t="shared" si="336"/>
        <v>-26189.319999999992</v>
      </c>
      <c r="CH126" s="314">
        <f t="shared" si="336"/>
        <v>-40077.340000000004</v>
      </c>
      <c r="CI126" s="314">
        <f t="shared" si="336"/>
        <v>4979.7699999999895</v>
      </c>
      <c r="CJ126" s="314">
        <f t="shared" si="337"/>
        <v>68662.42</v>
      </c>
      <c r="CK126" s="314">
        <f t="shared" si="337"/>
        <v>-53492.25</v>
      </c>
      <c r="CL126" s="314">
        <f t="shared" si="337"/>
        <v>113393.82</v>
      </c>
      <c r="CM126" s="314">
        <f t="shared" si="337"/>
        <v>-30790.320000000007</v>
      </c>
      <c r="CN126" s="314">
        <f t="shared" si="337"/>
        <v>56285</v>
      </c>
      <c r="CO126" s="314">
        <f t="shared" si="337"/>
        <v>-65814.760000000009</v>
      </c>
      <c r="CP126" s="314">
        <f t="shared" si="337"/>
        <v>21857.02999999997</v>
      </c>
      <c r="CQ126" s="314">
        <f t="shared" si="337"/>
        <v>20982.759999999995</v>
      </c>
      <c r="CR126" s="314">
        <f t="shared" si="337"/>
        <v>-20693.410000000003</v>
      </c>
      <c r="CS126" s="314"/>
      <c r="CT126" s="350"/>
      <c r="CU126" s="67">
        <f>'MONTHLY SUMMARIES'!F90</f>
        <v>167344.13</v>
      </c>
    </row>
    <row r="127" spans="1:103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/>
      <c r="BA127" s="301"/>
      <c r="BB127" s="301"/>
      <c r="BC127" s="301"/>
      <c r="BD127" s="301"/>
      <c r="BE127" s="301"/>
      <c r="BF127" s="301"/>
      <c r="BG127" s="301"/>
      <c r="BH127" s="301"/>
      <c r="BI127" s="37">
        <f t="shared" si="334"/>
        <v>-260763.13</v>
      </c>
      <c r="BJ127" s="103">
        <f t="shared" si="334"/>
        <v>113622.07</v>
      </c>
      <c r="BK127" s="103">
        <f t="shared" si="334"/>
        <v>149064.6</v>
      </c>
      <c r="BL127" s="103">
        <f t="shared" si="334"/>
        <v>2895.9799999999959</v>
      </c>
      <c r="BM127" s="103">
        <f t="shared" si="334"/>
        <v>-3727.5400000000081</v>
      </c>
      <c r="BN127" s="103">
        <f t="shared" si="334"/>
        <v>-3344.1900000000023</v>
      </c>
      <c r="BO127" s="103">
        <f t="shared" si="334"/>
        <v>1534.8500000000058</v>
      </c>
      <c r="BP127" s="212">
        <f t="shared" si="335"/>
        <v>546.18000000000757</v>
      </c>
      <c r="BQ127" s="212">
        <f t="shared" si="335"/>
        <v>16815.840000000011</v>
      </c>
      <c r="BR127" s="212">
        <f t="shared" si="335"/>
        <v>-11884.429999999993</v>
      </c>
      <c r="BS127" s="212">
        <f t="shared" si="335"/>
        <v>20252.57</v>
      </c>
      <c r="BT127" s="212">
        <f t="shared" si="335"/>
        <v>-88140.099999999991</v>
      </c>
      <c r="BU127" s="212">
        <f t="shared" si="335"/>
        <v>263829.96999999997</v>
      </c>
      <c r="BV127" s="212">
        <f t="shared" si="335"/>
        <v>-144480.68</v>
      </c>
      <c r="BW127" s="212">
        <f t="shared" si="335"/>
        <v>-180066.87</v>
      </c>
      <c r="BX127" s="212">
        <f t="shared" si="335"/>
        <v>-31199.410000000003</v>
      </c>
      <c r="BY127" s="212">
        <f t="shared" si="335"/>
        <v>-9486.7799999999988</v>
      </c>
      <c r="BZ127" s="212">
        <f t="shared" si="336"/>
        <v>-30484.510000000009</v>
      </c>
      <c r="CA127" s="275">
        <f t="shared" si="336"/>
        <v>-39807.990000000005</v>
      </c>
      <c r="CB127" s="275">
        <f t="shared" si="336"/>
        <v>-18431.460000000006</v>
      </c>
      <c r="CC127" s="275">
        <f t="shared" si="336"/>
        <v>-28402.270000000004</v>
      </c>
      <c r="CD127" s="275">
        <f t="shared" si="336"/>
        <v>-68054.700000000012</v>
      </c>
      <c r="CE127" s="314">
        <f t="shared" si="336"/>
        <v>48189.19</v>
      </c>
      <c r="CF127" s="314">
        <f t="shared" si="336"/>
        <v>-33453.680000000008</v>
      </c>
      <c r="CG127" s="314">
        <f t="shared" si="336"/>
        <v>31422.23000000001</v>
      </c>
      <c r="CH127" s="314">
        <f t="shared" si="336"/>
        <v>-55252.51</v>
      </c>
      <c r="CI127" s="314">
        <f t="shared" si="336"/>
        <v>-798.16999999999825</v>
      </c>
      <c r="CJ127" s="314">
        <f t="shared" si="337"/>
        <v>2723.4199999999983</v>
      </c>
      <c r="CK127" s="314">
        <f t="shared" si="337"/>
        <v>-27297.649999999994</v>
      </c>
      <c r="CL127" s="314">
        <f t="shared" si="337"/>
        <v>8755.820000000007</v>
      </c>
      <c r="CM127" s="314">
        <f t="shared" si="337"/>
        <v>12017.350000000006</v>
      </c>
      <c r="CN127" s="314">
        <f t="shared" si="337"/>
        <v>43282.990000000005</v>
      </c>
      <c r="CO127" s="314">
        <f t="shared" si="337"/>
        <v>20294.87999999999</v>
      </c>
      <c r="CP127" s="314">
        <f t="shared" si="337"/>
        <v>57661.640000000007</v>
      </c>
      <c r="CQ127" s="314">
        <f t="shared" si="337"/>
        <v>-22068.380000000005</v>
      </c>
      <c r="CR127" s="314">
        <f t="shared" si="337"/>
        <v>31925.380000000005</v>
      </c>
      <c r="CS127" s="314"/>
      <c r="CT127" s="350"/>
      <c r="CU127" s="67">
        <f>'MONTHLY SUMMARIES'!F91</f>
        <v>110339.48</v>
      </c>
    </row>
    <row r="128" spans="1:103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38">SUM(D123:D127)</f>
        <v>974883.13000000012</v>
      </c>
      <c r="E128" s="136">
        <f t="shared" si="338"/>
        <v>1109179.7400000002</v>
      </c>
      <c r="F128" s="136">
        <f t="shared" si="338"/>
        <v>855842.93</v>
      </c>
      <c r="G128" s="136">
        <f t="shared" si="338"/>
        <v>1467488.58</v>
      </c>
      <c r="H128" s="136">
        <f t="shared" si="338"/>
        <v>1875446.64</v>
      </c>
      <c r="I128" s="136">
        <f t="shared" si="338"/>
        <v>1650756.3800000001</v>
      </c>
      <c r="J128" s="136">
        <f t="shared" si="338"/>
        <v>1319849.53</v>
      </c>
      <c r="K128" s="136">
        <f t="shared" si="338"/>
        <v>634308.63</v>
      </c>
      <c r="L128" s="138">
        <f t="shared" si="338"/>
        <v>1097675.6000000001</v>
      </c>
      <c r="M128" s="136">
        <f t="shared" si="338"/>
        <v>1228096.3500000001</v>
      </c>
      <c r="N128" s="136">
        <f t="shared" si="338"/>
        <v>986014.9800000001</v>
      </c>
      <c r="O128" s="136">
        <f t="shared" si="338"/>
        <v>732735.52</v>
      </c>
      <c r="P128" s="136">
        <f t="shared" si="338"/>
        <v>1066540.73</v>
      </c>
      <c r="Q128" s="136">
        <f t="shared" si="338"/>
        <v>1049859.5</v>
      </c>
      <c r="R128" s="136">
        <f t="shared" si="338"/>
        <v>1009048.0900000002</v>
      </c>
      <c r="S128" s="136">
        <f t="shared" si="338"/>
        <v>1469562.6099999999</v>
      </c>
      <c r="T128" s="136">
        <f t="shared" si="338"/>
        <v>2350245.69</v>
      </c>
      <c r="U128" s="174">
        <f t="shared" si="338"/>
        <v>1930102.18</v>
      </c>
      <c r="V128" s="174">
        <f t="shared" si="338"/>
        <v>1281219.6299999999</v>
      </c>
      <c r="W128" s="174">
        <f t="shared" si="338"/>
        <v>980363.18000000017</v>
      </c>
      <c r="X128" s="138">
        <f t="shared" si="338"/>
        <v>1216757.1000000001</v>
      </c>
      <c r="Y128" s="174">
        <f t="shared" si="338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/>
      <c r="BA128" s="302"/>
      <c r="BB128" s="302"/>
      <c r="BC128" s="302"/>
      <c r="BD128" s="302"/>
      <c r="BE128" s="302"/>
      <c r="BF128" s="302"/>
      <c r="BG128" s="302"/>
      <c r="BH128" s="302"/>
      <c r="BI128" s="137">
        <f t="shared" si="338"/>
        <v>-331787.53000000003</v>
      </c>
      <c r="BJ128" s="139">
        <f t="shared" ref="BJ128:BL128" si="339">SUM(BJ123:BJ127)</f>
        <v>91657.599999999948</v>
      </c>
      <c r="BK128" s="139">
        <f t="shared" si="339"/>
        <v>-59320.240000000049</v>
      </c>
      <c r="BL128" s="139">
        <f t="shared" si="339"/>
        <v>153205.15999999997</v>
      </c>
      <c r="BM128" s="139">
        <f t="shared" ref="BM128:BN128" si="340">SUM(BM123:BM127)</f>
        <v>2074.0299999997587</v>
      </c>
      <c r="BN128" s="139">
        <f t="shared" si="340"/>
        <v>474799.05</v>
      </c>
      <c r="BO128" s="139">
        <f t="shared" ref="BO128" si="341">SUM(BO123:BO127)</f>
        <v>279345.79999999981</v>
      </c>
      <c r="BP128" s="213">
        <f t="shared" ref="BP128:BV128" si="342">IF(BP127="N/A","N/A",SUM(BP123:BP127))</f>
        <v>-38629.900000000009</v>
      </c>
      <c r="BQ128" s="213">
        <f t="shared" si="342"/>
        <v>346054.5500000001</v>
      </c>
      <c r="BR128" s="213">
        <f t="shared" si="342"/>
        <v>119081.49999999994</v>
      </c>
      <c r="BS128" s="213">
        <f t="shared" si="342"/>
        <v>-78778.640000000014</v>
      </c>
      <c r="BT128" s="213">
        <f t="shared" si="342"/>
        <v>331365.97999999992</v>
      </c>
      <c r="BU128" s="213">
        <f t="shared" si="342"/>
        <v>574413.91999999993</v>
      </c>
      <c r="BV128" s="213">
        <f t="shared" si="342"/>
        <v>37669.249999999884</v>
      </c>
      <c r="BW128" s="213">
        <f t="shared" ref="BW128:BX128" si="343">IF(BW127="N/A","N/A",SUM(BW123:BW127))</f>
        <v>-24457.039999999979</v>
      </c>
      <c r="BX128" s="213">
        <f t="shared" si="343"/>
        <v>247294.75999999998</v>
      </c>
      <c r="BY128" s="213">
        <f t="shared" ref="BY128:BZ128" si="344">IF(BY127="N/A","N/A",SUM(BY123:BY127))</f>
        <v>339267.5700000003</v>
      </c>
      <c r="BZ128" s="213">
        <f t="shared" si="344"/>
        <v>-221489.92000000016</v>
      </c>
      <c r="CA128" s="276">
        <f t="shared" ref="CA128:CB128" si="345">IF(CA127="N/A","N/A",SUM(CA123:CA127))</f>
        <v>384830.9800000001</v>
      </c>
      <c r="CB128" s="276">
        <f t="shared" si="345"/>
        <v>-164226.72999999998</v>
      </c>
      <c r="CC128" s="276">
        <f t="shared" ref="CC128:CD128" si="346">IF(CC127="N/A","N/A",SUM(CC123:CC127))</f>
        <v>105603.79999999992</v>
      </c>
      <c r="CD128" s="276">
        <f t="shared" si="346"/>
        <v>50281.899999999965</v>
      </c>
      <c r="CE128" s="315">
        <f t="shared" ref="CE128" si="347">IF(CE127="N/A","N/A",SUM(CE123:CE127))</f>
        <v>111514.79000000015</v>
      </c>
      <c r="CF128" s="315">
        <f t="shared" ref="CF128:CK128" si="348">IF(CF127="N/A","N/A",SUM(CF123:CF127))</f>
        <v>-36469.819999999927</v>
      </c>
      <c r="CG128" s="315">
        <f t="shared" si="348"/>
        <v>-271822.06999999983</v>
      </c>
      <c r="CH128" s="315">
        <f t="shared" si="348"/>
        <v>-782583.05999999994</v>
      </c>
      <c r="CI128" s="315">
        <f t="shared" si="348"/>
        <v>21914.47999999993</v>
      </c>
      <c r="CJ128" s="315">
        <f t="shared" si="348"/>
        <v>274277.28999999998</v>
      </c>
      <c r="CK128" s="315">
        <f t="shared" si="348"/>
        <v>-494990.13</v>
      </c>
      <c r="CL128" s="315">
        <f t="shared" ref="CL128" si="349">IF(CL127="N/A","N/A",SUM(CL123:CL127))</f>
        <v>630701.90000000014</v>
      </c>
      <c r="CM128" s="315">
        <f t="shared" ref="CM128" si="350">IF(CM127="N/A","N/A",SUM(CM123:CM127))</f>
        <v>-246405.09000000008</v>
      </c>
      <c r="CN128" s="315">
        <f t="shared" ref="CN128" si="351">IF(CN127="N/A","N/A",SUM(CN123:CN127))</f>
        <v>181200.36</v>
      </c>
      <c r="CO128" s="315">
        <f t="shared" ref="CO128" si="352">IF(CO127="N/A","N/A",SUM(CO123:CO127))</f>
        <v>-292404.5</v>
      </c>
      <c r="CP128" s="315">
        <f t="shared" ref="CP128" si="353">IF(CP127="N/A","N/A",SUM(CP123:CP127))</f>
        <v>167619.15</v>
      </c>
      <c r="CQ128" s="315">
        <f t="shared" ref="CQ128:CS128" si="354">IF(CQ127="N/A","N/A",SUM(CQ123:CQ127))</f>
        <v>91405.739999999903</v>
      </c>
      <c r="CR128" s="315">
        <f t="shared" ref="CR128" si="355">IF(CR127="N/A","N/A",SUM(CR123:CR127))</f>
        <v>-226487.57000000009</v>
      </c>
      <c r="CS128" s="315"/>
      <c r="CT128" s="351"/>
      <c r="CU128" s="184">
        <f t="shared" ref="CU128:CU146" si="356">SUM(CU123:CU127)</f>
        <v>1452651.71</v>
      </c>
      <c r="CV128" s="40"/>
      <c r="CW128" s="40"/>
      <c r="CX128" s="40"/>
      <c r="CY128" s="40"/>
    </row>
    <row r="129" spans="1:9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50"/>
      <c r="CU129" s="52"/>
    </row>
    <row r="130" spans="1:99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R130" si="357">O130-C130</f>
        <v>194447.79000000004</v>
      </c>
      <c r="BJ130" s="103">
        <f t="shared" si="357"/>
        <v>288638.48</v>
      </c>
      <c r="BK130" s="103">
        <f t="shared" si="357"/>
        <v>59340.590000000084</v>
      </c>
      <c r="BL130" s="103">
        <f t="shared" si="357"/>
        <v>583345.87000000011</v>
      </c>
      <c r="BM130" s="103">
        <f t="shared" si="357"/>
        <v>404469.94999999972</v>
      </c>
      <c r="BN130" s="103">
        <f t="shared" si="357"/>
        <v>1427406.5899999999</v>
      </c>
      <c r="BO130" s="103">
        <f t="shared" si="357"/>
        <v>563616.70000000019</v>
      </c>
      <c r="BP130" s="103">
        <f t="shared" si="357"/>
        <v>35492.379999999888</v>
      </c>
      <c r="BQ130" s="103">
        <f t="shared" si="357"/>
        <v>2248277.4300000002</v>
      </c>
      <c r="BR130" s="103">
        <f t="shared" si="357"/>
        <v>222668.0700000003</v>
      </c>
      <c r="BS130" s="103">
        <f t="shared" si="357"/>
        <v>-156613.83999999985</v>
      </c>
      <c r="BT130" s="103">
        <f t="shared" si="357"/>
        <v>675778.53</v>
      </c>
      <c r="BU130" s="103">
        <f t="shared" si="357"/>
        <v>466910.26</v>
      </c>
      <c r="BV130" s="103">
        <f t="shared" si="357"/>
        <v>267854.8600000001</v>
      </c>
      <c r="BW130" s="103">
        <f t="shared" si="357"/>
        <v>264868.93999999994</v>
      </c>
      <c r="BX130" s="103">
        <f t="shared" si="357"/>
        <v>318334.10000000009</v>
      </c>
      <c r="BY130" s="103">
        <f t="shared" si="357"/>
        <v>438711.43000000017</v>
      </c>
      <c r="BZ130" s="103">
        <f t="shared" si="357"/>
        <v>-598234.62999999989</v>
      </c>
      <c r="CA130" s="277">
        <f t="shared" si="357"/>
        <v>863499.16999999993</v>
      </c>
      <c r="CB130" s="277">
        <f t="shared" si="357"/>
        <v>187497</v>
      </c>
      <c r="CC130" s="277">
        <f t="shared" si="357"/>
        <v>-1421079.83</v>
      </c>
      <c r="CD130" s="277">
        <f t="shared" si="357"/>
        <v>300201.0299999998</v>
      </c>
      <c r="CE130" s="312">
        <f t="shared" si="357"/>
        <v>348995</v>
      </c>
      <c r="CF130" s="312">
        <f t="shared" si="357"/>
        <v>98276</v>
      </c>
      <c r="CG130" s="312">
        <f t="shared" si="357"/>
        <v>-316884.87000000011</v>
      </c>
      <c r="CH130" s="312">
        <f t="shared" si="357"/>
        <v>24783.379999999888</v>
      </c>
      <c r="CI130" s="312">
        <f t="shared" si="357"/>
        <v>-35565</v>
      </c>
      <c r="CJ130" s="312">
        <f t="shared" si="357"/>
        <v>390907.89999999991</v>
      </c>
      <c r="CK130" s="312">
        <f t="shared" si="357"/>
        <v>-731927</v>
      </c>
      <c r="CL130" s="312">
        <f t="shared" si="357"/>
        <v>1113082.4100000001</v>
      </c>
      <c r="CM130" s="312">
        <f t="shared" si="357"/>
        <v>-414388</v>
      </c>
      <c r="CN130" s="312">
        <f t="shared" si="357"/>
        <v>-343106</v>
      </c>
      <c r="CO130" s="312">
        <f t="shared" si="357"/>
        <v>-1341780</v>
      </c>
      <c r="CP130" s="312">
        <f t="shared" si="357"/>
        <v>-1793891</v>
      </c>
      <c r="CQ130" s="312">
        <f t="shared" si="357"/>
        <v>-1773491</v>
      </c>
      <c r="CR130" s="312">
        <f t="shared" si="357"/>
        <v>-1524641</v>
      </c>
      <c r="CS130" s="312"/>
      <c r="CT130" s="350"/>
      <c r="CU130" s="67">
        <f>'MONTHLY SUMMARIES'!F94</f>
        <v>2901401</v>
      </c>
    </row>
    <row r="131" spans="1:99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50"/>
      <c r="CU131" s="67">
        <f>GETPIVOTDATA("VALUE",'CSS ESCO pvt'!$I$3,"DATE_FILE",$CU$8,"COMPANY",$CU$6,"TRIM_CAT","Residential-GRID","TRIM_LINE",$A129)</f>
        <v>720450</v>
      </c>
    </row>
    <row r="132" spans="1:99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50"/>
      <c r="CU132" s="81">
        <f>CU130-CU131</f>
        <v>2180951</v>
      </c>
    </row>
    <row r="133" spans="1:99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R133" si="358">O133-C133</f>
        <v>3119.16</v>
      </c>
      <c r="BJ133" s="103">
        <f t="shared" si="358"/>
        <v>199.41000000000167</v>
      </c>
      <c r="BK133" s="103">
        <f t="shared" si="358"/>
        <v>1524.0999999999985</v>
      </c>
      <c r="BL133" s="103">
        <f t="shared" si="358"/>
        <v>2375.6000000000004</v>
      </c>
      <c r="BM133" s="103">
        <f t="shared" si="358"/>
        <v>1482.9499999999989</v>
      </c>
      <c r="BN133" s="103">
        <f t="shared" si="358"/>
        <v>3949.5399999999991</v>
      </c>
      <c r="BO133" s="103">
        <f t="shared" si="358"/>
        <v>2086.2699999999986</v>
      </c>
      <c r="BP133" s="103">
        <f t="shared" si="358"/>
        <v>-1376.0400000000009</v>
      </c>
      <c r="BQ133" s="103">
        <f t="shared" si="358"/>
        <v>6210.1899999999987</v>
      </c>
      <c r="BR133" s="103">
        <f t="shared" si="358"/>
        <v>2387.6700000000019</v>
      </c>
      <c r="BS133" s="103">
        <f t="shared" si="358"/>
        <v>3705.9700000000012</v>
      </c>
      <c r="BT133" s="103">
        <f t="shared" si="358"/>
        <v>18013</v>
      </c>
      <c r="BU133" s="103">
        <f t="shared" si="358"/>
        <v>9853.9200000000019</v>
      </c>
      <c r="BV133" s="103">
        <f t="shared" si="358"/>
        <v>7262.3299999999981</v>
      </c>
      <c r="BW133" s="103">
        <f t="shared" si="358"/>
        <v>8436.7000000000007</v>
      </c>
      <c r="BX133" s="103">
        <f t="shared" si="358"/>
        <v>7580.3099999999977</v>
      </c>
      <c r="BY133" s="103">
        <f t="shared" si="358"/>
        <v>4867.1100000000006</v>
      </c>
      <c r="BZ133" s="103">
        <f t="shared" si="358"/>
        <v>1104.2400000000016</v>
      </c>
      <c r="CA133" s="277">
        <f t="shared" si="358"/>
        <v>2937.7200000000012</v>
      </c>
      <c r="CB133" s="277">
        <f t="shared" si="358"/>
        <v>6067</v>
      </c>
      <c r="CC133" s="277">
        <f t="shared" si="358"/>
        <v>2962.7200000000012</v>
      </c>
      <c r="CD133" s="277">
        <f t="shared" si="358"/>
        <v>-2504.380000000001</v>
      </c>
      <c r="CE133" s="312">
        <f t="shared" si="358"/>
        <v>-2140</v>
      </c>
      <c r="CF133" s="312">
        <f t="shared" si="358"/>
        <v>-12225</v>
      </c>
      <c r="CG133" s="312">
        <f t="shared" si="358"/>
        <v>-5479.880000000001</v>
      </c>
      <c r="CH133" s="312">
        <f t="shared" si="358"/>
        <v>-4743.6399999999994</v>
      </c>
      <c r="CI133" s="312">
        <f t="shared" si="358"/>
        <v>-4017</v>
      </c>
      <c r="CJ133" s="312">
        <f t="shared" si="358"/>
        <v>-5691.5099999999984</v>
      </c>
      <c r="CK133" s="312">
        <f t="shared" si="358"/>
        <v>-7030</v>
      </c>
      <c r="CL133" s="312">
        <f t="shared" si="358"/>
        <v>-2481.0600000000013</v>
      </c>
      <c r="CM133" s="312">
        <f t="shared" si="358"/>
        <v>-2301</v>
      </c>
      <c r="CN133" s="312">
        <f t="shared" si="358"/>
        <v>-6775</v>
      </c>
      <c r="CO133" s="312">
        <f t="shared" si="358"/>
        <v>-17398</v>
      </c>
      <c r="CP133" s="312">
        <f t="shared" si="358"/>
        <v>-9028</v>
      </c>
      <c r="CQ133" s="312">
        <f t="shared" si="358"/>
        <v>-11081</v>
      </c>
      <c r="CR133" s="312">
        <f t="shared" si="358"/>
        <v>-15481</v>
      </c>
      <c r="CS133" s="312"/>
      <c r="CT133" s="350"/>
      <c r="CU133" s="67">
        <f>'MONTHLY SUMMARIES'!F95</f>
        <v>30614</v>
      </c>
    </row>
    <row r="134" spans="1:99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50"/>
      <c r="CU134" s="67">
        <f>GETPIVOTDATA("VALUE",'CSS ESCO pvt'!$I$3,"DATE_FILE",$CU$8,"COMPANY",$CU$6,"TRIM_CAT","Low Income Residential-GRID","TRIM_LINE",$A129)</f>
        <v>11427</v>
      </c>
    </row>
    <row r="135" spans="1:99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50"/>
      <c r="CU135" s="81">
        <f>CU133-CU134</f>
        <v>19187</v>
      </c>
    </row>
    <row r="136" spans="1:99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59">O136-C136</f>
        <v>35281.729999999981</v>
      </c>
      <c r="BJ136" s="103">
        <f t="shared" si="359"/>
        <v>14567.97000000003</v>
      </c>
      <c r="BK136" s="103">
        <f t="shared" si="359"/>
        <v>-91290.299999999988</v>
      </c>
      <c r="BL136" s="103">
        <f t="shared" si="359"/>
        <v>48343.760000000009</v>
      </c>
      <c r="BM136" s="103">
        <f t="shared" si="359"/>
        <v>-19878.609999999986</v>
      </c>
      <c r="BN136" s="103">
        <f t="shared" si="359"/>
        <v>197896.44999999995</v>
      </c>
      <c r="BO136" s="103">
        <f t="shared" si="359"/>
        <v>52754.770000000019</v>
      </c>
      <c r="BP136" s="103">
        <f t="shared" si="359"/>
        <v>-196897.94999999995</v>
      </c>
      <c r="BQ136" s="103">
        <f t="shared" si="359"/>
        <v>533859.17000000004</v>
      </c>
      <c r="BR136" s="103">
        <f t="shared" si="359"/>
        <v>19861.770000000019</v>
      </c>
      <c r="BS136" s="103">
        <f t="shared" ref="BS136:CB138" si="360">Y136-M136</f>
        <v>-103074.83000000002</v>
      </c>
      <c r="BT136" s="103">
        <f t="shared" si="360"/>
        <v>143610.20000000001</v>
      </c>
      <c r="BU136" s="103">
        <f t="shared" si="360"/>
        <v>61090.489999999991</v>
      </c>
      <c r="BV136" s="103">
        <f t="shared" si="360"/>
        <v>84024.459999999905</v>
      </c>
      <c r="BW136" s="103">
        <f t="shared" si="360"/>
        <v>78870.049999999988</v>
      </c>
      <c r="BX136" s="103">
        <f t="shared" si="360"/>
        <v>131254.58000000002</v>
      </c>
      <c r="BY136" s="103">
        <f t="shared" si="360"/>
        <v>199979.28999999998</v>
      </c>
      <c r="BZ136" s="103">
        <f t="shared" si="360"/>
        <v>-52467.439999999944</v>
      </c>
      <c r="CA136" s="277">
        <f t="shared" si="360"/>
        <v>229126.71999999997</v>
      </c>
      <c r="CB136" s="277">
        <f t="shared" si="360"/>
        <v>55201</v>
      </c>
      <c r="CC136" s="277">
        <f t="shared" ref="CC136:CL138" si="361">AI136-W136</f>
        <v>-229586.28000000003</v>
      </c>
      <c r="CD136" s="277">
        <f t="shared" si="361"/>
        <v>151336.21999999997</v>
      </c>
      <c r="CE136" s="312">
        <f t="shared" si="361"/>
        <v>88597</v>
      </c>
      <c r="CF136" s="312">
        <f t="shared" si="361"/>
        <v>94461</v>
      </c>
      <c r="CG136" s="312">
        <f t="shared" si="361"/>
        <v>-70256.739999999991</v>
      </c>
      <c r="CH136" s="312">
        <f t="shared" si="361"/>
        <v>16213.95000000007</v>
      </c>
      <c r="CI136" s="312">
        <f t="shared" si="361"/>
        <v>12698</v>
      </c>
      <c r="CJ136" s="312">
        <f t="shared" si="361"/>
        <v>156624.60999999999</v>
      </c>
      <c r="CK136" s="312">
        <f t="shared" si="361"/>
        <v>-252213</v>
      </c>
      <c r="CL136" s="312">
        <f t="shared" si="361"/>
        <v>214929.33999999997</v>
      </c>
      <c r="CM136" s="312">
        <f t="shared" ref="CM136:CR138" si="362">AS136-AG136</f>
        <v>-83528</v>
      </c>
      <c r="CN136" s="312">
        <f t="shared" si="362"/>
        <v>-112215</v>
      </c>
      <c r="CO136" s="312">
        <f t="shared" si="362"/>
        <v>-243446</v>
      </c>
      <c r="CP136" s="312">
        <f t="shared" si="362"/>
        <v>-292623</v>
      </c>
      <c r="CQ136" s="312">
        <f t="shared" si="362"/>
        <v>-209336</v>
      </c>
      <c r="CR136" s="312">
        <f t="shared" si="362"/>
        <v>-148803</v>
      </c>
      <c r="CS136" s="312"/>
      <c r="CT136" s="350"/>
      <c r="CU136" s="67">
        <f>'MONTHLY SUMMARIES'!F96</f>
        <v>656649</v>
      </c>
    </row>
    <row r="137" spans="1:99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59"/>
        <v>-6626.9599999999919</v>
      </c>
      <c r="BJ137" s="103">
        <f t="shared" si="359"/>
        <v>11776.109999999986</v>
      </c>
      <c r="BK137" s="103">
        <f t="shared" si="359"/>
        <v>-109536.88999999996</v>
      </c>
      <c r="BL137" s="103">
        <f t="shared" si="359"/>
        <v>33716.78</v>
      </c>
      <c r="BM137" s="103">
        <f t="shared" si="359"/>
        <v>-55072.549999999988</v>
      </c>
      <c r="BN137" s="103">
        <f t="shared" si="359"/>
        <v>193795.60000000003</v>
      </c>
      <c r="BO137" s="103">
        <f t="shared" si="359"/>
        <v>-12525.239999999991</v>
      </c>
      <c r="BP137" s="103">
        <f t="shared" si="359"/>
        <v>-130177.38</v>
      </c>
      <c r="BQ137" s="103">
        <f t="shared" si="359"/>
        <v>300675.08999999997</v>
      </c>
      <c r="BR137" s="103">
        <f t="shared" si="359"/>
        <v>11281.760000000009</v>
      </c>
      <c r="BS137" s="103">
        <f t="shared" si="360"/>
        <v>-228716.46000000002</v>
      </c>
      <c r="BT137" s="103">
        <f t="shared" si="360"/>
        <v>112970.22</v>
      </c>
      <c r="BU137" s="103">
        <f t="shared" si="360"/>
        <v>17273.23000000001</v>
      </c>
      <c r="BV137" s="103">
        <f t="shared" si="360"/>
        <v>-35000.320000000007</v>
      </c>
      <c r="BW137" s="103">
        <f t="shared" si="360"/>
        <v>105871.34999999998</v>
      </c>
      <c r="BX137" s="103">
        <f t="shared" si="360"/>
        <v>106953.63999999998</v>
      </c>
      <c r="BY137" s="103">
        <f t="shared" si="360"/>
        <v>97728</v>
      </c>
      <c r="BZ137" s="103">
        <f t="shared" si="360"/>
        <v>-120542.12</v>
      </c>
      <c r="CA137" s="277">
        <f t="shared" si="360"/>
        <v>241362.13</v>
      </c>
      <c r="CB137" s="277">
        <f t="shared" si="360"/>
        <v>-39084</v>
      </c>
      <c r="CC137" s="277">
        <f t="shared" si="361"/>
        <v>-9582.8699999999953</v>
      </c>
      <c r="CD137" s="277">
        <f t="shared" si="361"/>
        <v>245767.96999999997</v>
      </c>
      <c r="CE137" s="312">
        <f t="shared" si="361"/>
        <v>132195</v>
      </c>
      <c r="CF137" s="312">
        <f t="shared" si="361"/>
        <v>26604</v>
      </c>
      <c r="CG137" s="312">
        <f t="shared" si="361"/>
        <v>-66402.63</v>
      </c>
      <c r="CH137" s="312">
        <f t="shared" si="361"/>
        <v>55277.179999999993</v>
      </c>
      <c r="CI137" s="312">
        <f t="shared" si="361"/>
        <v>-46455</v>
      </c>
      <c r="CJ137" s="312">
        <f t="shared" si="361"/>
        <v>123266.94</v>
      </c>
      <c r="CK137" s="312">
        <f t="shared" si="361"/>
        <v>-140894</v>
      </c>
      <c r="CL137" s="312">
        <f t="shared" si="361"/>
        <v>247232.93999999994</v>
      </c>
      <c r="CM137" s="312">
        <f t="shared" si="362"/>
        <v>-57834</v>
      </c>
      <c r="CN137" s="312">
        <f t="shared" si="362"/>
        <v>92765</v>
      </c>
      <c r="CO137" s="312">
        <f t="shared" si="362"/>
        <v>-271910</v>
      </c>
      <c r="CP137" s="312">
        <f t="shared" si="362"/>
        <v>-423988</v>
      </c>
      <c r="CQ137" s="312">
        <f t="shared" si="362"/>
        <v>-181088</v>
      </c>
      <c r="CR137" s="312">
        <f t="shared" si="362"/>
        <v>-83673</v>
      </c>
      <c r="CS137" s="312"/>
      <c r="CT137" s="350"/>
      <c r="CU137" s="67">
        <f>'MONTHLY SUMMARIES'!F97</f>
        <v>421474</v>
      </c>
    </row>
    <row r="138" spans="1:99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59"/>
        <v>33467.080000000016</v>
      </c>
      <c r="BJ138" s="103">
        <f t="shared" si="359"/>
        <v>130407.25</v>
      </c>
      <c r="BK138" s="103">
        <f t="shared" si="359"/>
        <v>182614.81999999998</v>
      </c>
      <c r="BL138" s="103">
        <f t="shared" si="359"/>
        <v>15869.160000000033</v>
      </c>
      <c r="BM138" s="103">
        <f t="shared" si="359"/>
        <v>-55549.200000000012</v>
      </c>
      <c r="BN138" s="103">
        <f t="shared" si="359"/>
        <v>103292.9</v>
      </c>
      <c r="BO138" s="103">
        <f t="shared" si="359"/>
        <v>-24773.299999999988</v>
      </c>
      <c r="BP138" s="103">
        <f t="shared" si="359"/>
        <v>-4844.8499999999767</v>
      </c>
      <c r="BQ138" s="103">
        <f t="shared" si="359"/>
        <v>84567.420000000013</v>
      </c>
      <c r="BR138" s="103">
        <f t="shared" si="359"/>
        <v>59253.120000000024</v>
      </c>
      <c r="BS138" s="103">
        <f t="shared" si="360"/>
        <v>-40565.320000000007</v>
      </c>
      <c r="BT138" s="103">
        <f t="shared" si="360"/>
        <v>-20505.880000000005</v>
      </c>
      <c r="BU138" s="103">
        <f t="shared" si="360"/>
        <v>60886.5</v>
      </c>
      <c r="BV138" s="103">
        <f t="shared" si="360"/>
        <v>-123661.50999999998</v>
      </c>
      <c r="BW138" s="103">
        <f t="shared" si="360"/>
        <v>-151286.24</v>
      </c>
      <c r="BX138" s="103">
        <f t="shared" si="360"/>
        <v>-80139.800000000017</v>
      </c>
      <c r="BY138" s="103">
        <f t="shared" si="360"/>
        <v>112415.14000000001</v>
      </c>
      <c r="BZ138" s="103">
        <f t="shared" si="360"/>
        <v>-20411.839999999967</v>
      </c>
      <c r="CA138" s="277">
        <f t="shared" si="360"/>
        <v>-108995.59000000003</v>
      </c>
      <c r="CB138" s="277">
        <f t="shared" si="360"/>
        <v>-49665</v>
      </c>
      <c r="CC138" s="277">
        <f t="shared" si="361"/>
        <v>-105309.59000000003</v>
      </c>
      <c r="CD138" s="277">
        <f t="shared" si="361"/>
        <v>66589.299999999988</v>
      </c>
      <c r="CE138" s="312">
        <f t="shared" si="361"/>
        <v>64777</v>
      </c>
      <c r="CF138" s="312">
        <f t="shared" si="361"/>
        <v>-86009</v>
      </c>
      <c r="CG138" s="312">
        <f t="shared" si="361"/>
        <v>224579.86</v>
      </c>
      <c r="CH138" s="312">
        <f t="shared" si="361"/>
        <v>-7540.5400000000081</v>
      </c>
      <c r="CI138" s="312">
        <f t="shared" si="361"/>
        <v>-23977</v>
      </c>
      <c r="CJ138" s="312">
        <f t="shared" si="361"/>
        <v>56962.97</v>
      </c>
      <c r="CK138" s="312">
        <f t="shared" si="361"/>
        <v>-196578</v>
      </c>
      <c r="CL138" s="312">
        <f t="shared" si="361"/>
        <v>-7953.8300000000163</v>
      </c>
      <c r="CM138" s="312">
        <f t="shared" si="362"/>
        <v>88170</v>
      </c>
      <c r="CN138" s="312">
        <f t="shared" si="362"/>
        <v>256907</v>
      </c>
      <c r="CO138" s="312">
        <f t="shared" si="362"/>
        <v>-210674</v>
      </c>
      <c r="CP138" s="312">
        <f t="shared" si="362"/>
        <v>-293146</v>
      </c>
      <c r="CQ138" s="312">
        <f t="shared" si="362"/>
        <v>4439617</v>
      </c>
      <c r="CR138" s="312">
        <f t="shared" si="362"/>
        <v>-200594</v>
      </c>
      <c r="CS138" s="312"/>
      <c r="CT138" s="350"/>
      <c r="CU138" s="67">
        <f>'MONTHLY SUMMARIES'!F98</f>
        <v>250479</v>
      </c>
    </row>
    <row r="139" spans="1:99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63">SUM(D130:D138)</f>
        <v>2352168.63</v>
      </c>
      <c r="E139" s="131">
        <f t="shared" si="363"/>
        <v>2631423.88</v>
      </c>
      <c r="F139" s="131">
        <f t="shared" si="363"/>
        <v>2163387.09</v>
      </c>
      <c r="G139" s="131">
        <f t="shared" si="363"/>
        <v>3651879.4899999998</v>
      </c>
      <c r="H139" s="131">
        <f t="shared" si="363"/>
        <v>4538371.9099999992</v>
      </c>
      <c r="I139" s="131">
        <f t="shared" si="363"/>
        <v>4263913.6499999994</v>
      </c>
      <c r="J139" s="131">
        <f t="shared" si="363"/>
        <v>3597219.8400000003</v>
      </c>
      <c r="K139" s="131">
        <f t="shared" si="363"/>
        <v>1671483.55</v>
      </c>
      <c r="L139" s="132">
        <f t="shared" si="363"/>
        <v>2792192.47</v>
      </c>
      <c r="M139" s="131">
        <f t="shared" si="363"/>
        <v>3474768.4799999995</v>
      </c>
      <c r="N139" s="131">
        <f t="shared" si="363"/>
        <v>2595881.9299999997</v>
      </c>
      <c r="O139" s="131">
        <f t="shared" si="363"/>
        <v>2704028.8600000003</v>
      </c>
      <c r="P139" s="131">
        <f t="shared" si="363"/>
        <v>2797757.85</v>
      </c>
      <c r="Q139" s="131">
        <f t="shared" si="363"/>
        <v>2674076.2000000002</v>
      </c>
      <c r="R139" s="131">
        <f t="shared" si="363"/>
        <v>2847038.26</v>
      </c>
      <c r="S139" s="131">
        <f t="shared" si="363"/>
        <v>3927332.03</v>
      </c>
      <c r="T139" s="131">
        <f t="shared" si="363"/>
        <v>6464712.9899999993</v>
      </c>
      <c r="U139" s="131">
        <f t="shared" si="363"/>
        <v>4845072.8499999996</v>
      </c>
      <c r="V139" s="131">
        <f t="shared" si="363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64">SUM(Y130+Y133+Y136+Y137+Y138)</f>
        <v>2949504</v>
      </c>
      <c r="Z139" s="131">
        <v>3525748</v>
      </c>
      <c r="AA139" s="131">
        <f t="shared" si="364"/>
        <v>3320043.2600000002</v>
      </c>
      <c r="AB139" s="131">
        <f t="shared" si="364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259688.80000000005</v>
      </c>
      <c r="BJ139" s="133">
        <f t="shared" ref="BJ139:BL139" si="365">SUM(BJ130:BJ138)</f>
        <v>445589.22</v>
      </c>
      <c r="BK139" s="133">
        <f t="shared" si="365"/>
        <v>42652.320000000123</v>
      </c>
      <c r="BL139" s="133">
        <f t="shared" si="365"/>
        <v>683651.17000000016</v>
      </c>
      <c r="BM139" s="133">
        <f t="shared" ref="BM139:BN139" si="366">SUM(BM130:BM138)</f>
        <v>275452.53999999975</v>
      </c>
      <c r="BN139" s="133">
        <f t="shared" si="366"/>
        <v>1926341.0799999998</v>
      </c>
      <c r="BO139" s="133">
        <f t="shared" ref="BO139:BP139" si="367">SUM(BO130:BO138)</f>
        <v>581159.20000000019</v>
      </c>
      <c r="BP139" s="133">
        <f t="shared" si="367"/>
        <v>-297803.84000000008</v>
      </c>
      <c r="BQ139" s="133">
        <f t="shared" ref="BQ139:BR139" si="368">SUM(BQ130:BQ138)</f>
        <v>3173589.3</v>
      </c>
      <c r="BR139" s="133">
        <f t="shared" si="368"/>
        <v>315452.39000000036</v>
      </c>
      <c r="BS139" s="133">
        <f t="shared" ref="BS139:BT139" si="369">SUM(BS130:BS138)</f>
        <v>-525264.48</v>
      </c>
      <c r="BT139" s="133">
        <f t="shared" si="369"/>
        <v>929866.07</v>
      </c>
      <c r="BU139" s="133">
        <f t="shared" ref="BU139:BV139" si="370">SUM(BU130:BU138)</f>
        <v>616014.39999999991</v>
      </c>
      <c r="BV139" s="133">
        <f t="shared" si="370"/>
        <v>200479.82000000004</v>
      </c>
      <c r="BW139" s="133">
        <f t="shared" ref="BW139:BX139" si="371">SUM(BW130:BW138)</f>
        <v>306760.79999999993</v>
      </c>
      <c r="BX139" s="133">
        <f t="shared" si="371"/>
        <v>483982.83000000007</v>
      </c>
      <c r="BY139" s="133">
        <f t="shared" ref="BY139:BZ139" si="372">SUM(BY130:BY138)</f>
        <v>853700.97000000009</v>
      </c>
      <c r="BZ139" s="133">
        <f t="shared" si="372"/>
        <v>-790551.7899999998</v>
      </c>
      <c r="CA139" s="274">
        <f t="shared" ref="CA139:CB139" si="373">SUM(CA130:CA138)</f>
        <v>1227930.1499999997</v>
      </c>
      <c r="CB139" s="274">
        <f t="shared" si="373"/>
        <v>160016</v>
      </c>
      <c r="CC139" s="274">
        <f t="shared" ref="CC139:CE139" si="374">SUM(CC130:CC138)</f>
        <v>-1762595.8500000003</v>
      </c>
      <c r="CD139" s="274">
        <f t="shared" si="374"/>
        <v>761390.13999999966</v>
      </c>
      <c r="CE139" s="326">
        <f t="shared" si="374"/>
        <v>632424</v>
      </c>
      <c r="CF139" s="326">
        <f t="shared" ref="CF139:CG139" si="375">SUM(CF130:CF138)</f>
        <v>121107</v>
      </c>
      <c r="CG139" s="326">
        <f t="shared" si="375"/>
        <v>-234444.26000000013</v>
      </c>
      <c r="CH139" s="326">
        <f t="shared" ref="CH139:CI139" si="376">SUM(CH130:CH138)</f>
        <v>83990.329999999944</v>
      </c>
      <c r="CI139" s="326">
        <f t="shared" si="376"/>
        <v>-97316</v>
      </c>
      <c r="CJ139" s="326">
        <f t="shared" ref="CJ139" si="377">SUM(CJ130:CJ138)</f>
        <v>722070.90999999992</v>
      </c>
      <c r="CK139" s="326">
        <f t="shared" ref="CK139" si="378">SUM(CK130:CK138)</f>
        <v>-1328642</v>
      </c>
      <c r="CL139" s="326">
        <f t="shared" ref="CL139" si="379">SUM(CL130:CL138)</f>
        <v>1564809.7999999998</v>
      </c>
      <c r="CM139" s="326">
        <f t="shared" ref="CM139" si="380">SUM(CM130:CM138)</f>
        <v>-469881</v>
      </c>
      <c r="CN139" s="326">
        <f t="shared" ref="CN139" si="381">SUM(CN130:CN138)</f>
        <v>-112424</v>
      </c>
      <c r="CO139" s="326">
        <f t="shared" ref="CO139" si="382">SUM(CO130:CO138)</f>
        <v>-2085208</v>
      </c>
      <c r="CP139" s="366">
        <f t="shared" ref="CP139" si="383">SUM(CP130:CP138)</f>
        <v>-2812676</v>
      </c>
      <c r="CQ139" s="366">
        <f t="shared" ref="CQ139:CS139" si="384">SUM(CQ130:CQ138)</f>
        <v>2264621</v>
      </c>
      <c r="CR139" s="366">
        <f t="shared" ref="CR139" si="385">SUM(CR130:CR138)</f>
        <v>-1973192</v>
      </c>
      <c r="CS139" s="366"/>
      <c r="CT139" s="351"/>
      <c r="CU139" s="263">
        <f>CU130+CU133+CU136+CU137+CU138</f>
        <v>4260617</v>
      </c>
    </row>
    <row r="140" spans="1:99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50"/>
      <c r="CU140" s="98"/>
    </row>
    <row r="141" spans="1:99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386">O141-C141</f>
        <v>129959.48999999999</v>
      </c>
      <c r="BJ141" s="103">
        <f t="shared" si="386"/>
        <v>-25829.059999999823</v>
      </c>
      <c r="BK141" s="103">
        <f t="shared" si="386"/>
        <v>107566.27000000002</v>
      </c>
      <c r="BL141" s="103">
        <f t="shared" si="386"/>
        <v>291192.24</v>
      </c>
      <c r="BM141" s="103">
        <f t="shared" si="386"/>
        <v>521949.91000000015</v>
      </c>
      <c r="BN141" s="103">
        <f t="shared" si="386"/>
        <v>257475.13000000035</v>
      </c>
      <c r="BO141" s="103">
        <f t="shared" si="386"/>
        <v>909980.8200000003</v>
      </c>
      <c r="BP141" s="103">
        <f t="shared" si="386"/>
        <v>457836.14000000013</v>
      </c>
      <c r="BQ141" s="103">
        <f t="shared" si="386"/>
        <v>2340828.7999999998</v>
      </c>
      <c r="BR141" s="103">
        <f t="shared" si="386"/>
        <v>222142.1399999999</v>
      </c>
      <c r="BS141" s="103">
        <f t="shared" ref="BS141:CB145" si="387">Y141-M141</f>
        <v>83030.290000000037</v>
      </c>
      <c r="BT141" s="103">
        <f t="shared" si="387"/>
        <v>385971.53</v>
      </c>
      <c r="BU141" s="103">
        <f t="shared" si="387"/>
        <v>683549.87000000011</v>
      </c>
      <c r="BV141" s="103">
        <f t="shared" si="387"/>
        <v>515044.32000000007</v>
      </c>
      <c r="BW141" s="103">
        <f t="shared" si="387"/>
        <v>274375.04000000004</v>
      </c>
      <c r="BX141" s="103">
        <f t="shared" si="387"/>
        <v>274023.40999999992</v>
      </c>
      <c r="BY141" s="103">
        <f t="shared" si="387"/>
        <v>322508.79999999981</v>
      </c>
      <c r="BZ141" s="103">
        <f t="shared" si="387"/>
        <v>611069.96999999974</v>
      </c>
      <c r="CA141" s="277">
        <f t="shared" si="387"/>
        <v>57851.35999999987</v>
      </c>
      <c r="CB141" s="277">
        <f t="shared" si="387"/>
        <v>381286</v>
      </c>
      <c r="CC141" s="277">
        <f t="shared" ref="CC141:CL145" si="388">AI141-W141</f>
        <v>-1516804.6400000001</v>
      </c>
      <c r="CD141" s="277">
        <f t="shared" si="388"/>
        <v>278614.99</v>
      </c>
      <c r="CE141" s="312">
        <f t="shared" si="388"/>
        <v>27692</v>
      </c>
      <c r="CF141" s="312">
        <f t="shared" si="388"/>
        <v>186284</v>
      </c>
      <c r="CG141" s="312">
        <f t="shared" si="388"/>
        <v>135499.18999999994</v>
      </c>
      <c r="CH141" s="312">
        <f t="shared" si="388"/>
        <v>-14854.430000000168</v>
      </c>
      <c r="CI141" s="312">
        <f t="shared" si="388"/>
        <v>38868.540000000037</v>
      </c>
      <c r="CJ141" s="312">
        <f t="shared" si="388"/>
        <v>-26384.169999999925</v>
      </c>
      <c r="CK141" s="312">
        <f t="shared" si="388"/>
        <v>-146010</v>
      </c>
      <c r="CL141" s="312">
        <f t="shared" si="388"/>
        <v>36374.080000000075</v>
      </c>
      <c r="CM141" s="312">
        <f t="shared" ref="CM141:CR145" si="389">AS141-AG141</f>
        <v>338841</v>
      </c>
      <c r="CN141" s="312">
        <f t="shared" si="389"/>
        <v>-78963</v>
      </c>
      <c r="CO141" s="312">
        <f t="shared" si="389"/>
        <v>-2164602</v>
      </c>
      <c r="CP141" s="312">
        <f t="shared" si="389"/>
        <v>-1501256</v>
      </c>
      <c r="CQ141" s="312">
        <f t="shared" si="389"/>
        <v>-1806888</v>
      </c>
      <c r="CR141" s="312">
        <f t="shared" si="389"/>
        <v>-2209332</v>
      </c>
      <c r="CS141" s="312"/>
      <c r="CT141" s="350"/>
      <c r="CU141" s="67">
        <f>'MONTHLY SUMMARIES'!F101</f>
        <v>2729541</v>
      </c>
    </row>
    <row r="142" spans="1:99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386"/>
        <v>-2672.49</v>
      </c>
      <c r="BJ142" s="103">
        <f t="shared" si="386"/>
        <v>-2549.91</v>
      </c>
      <c r="BK142" s="103">
        <f t="shared" si="386"/>
        <v>-994.68999999999869</v>
      </c>
      <c r="BL142" s="103">
        <f t="shared" si="386"/>
        <v>1202.6400000000012</v>
      </c>
      <c r="BM142" s="103">
        <f t="shared" si="386"/>
        <v>1225.8999999999996</v>
      </c>
      <c r="BN142" s="103">
        <f t="shared" si="386"/>
        <v>3420.7699999999986</v>
      </c>
      <c r="BO142" s="103">
        <f t="shared" si="386"/>
        <v>1986.4800000000014</v>
      </c>
      <c r="BP142" s="103">
        <f t="shared" si="386"/>
        <v>-516.36000000000058</v>
      </c>
      <c r="BQ142" s="103">
        <f t="shared" si="386"/>
        <v>6737.2200000000012</v>
      </c>
      <c r="BR142" s="103">
        <f t="shared" si="386"/>
        <v>5274.74</v>
      </c>
      <c r="BS142" s="103">
        <f t="shared" si="387"/>
        <v>339.22000000000116</v>
      </c>
      <c r="BT142" s="103">
        <f t="shared" si="387"/>
        <v>2883.5999999999985</v>
      </c>
      <c r="BU142" s="103">
        <f t="shared" si="387"/>
        <v>20215.450000000004</v>
      </c>
      <c r="BV142" s="103">
        <f t="shared" si="387"/>
        <v>9532.869999999999</v>
      </c>
      <c r="BW142" s="103">
        <f t="shared" si="387"/>
        <v>7154.6899999999987</v>
      </c>
      <c r="BX142" s="103">
        <f t="shared" si="387"/>
        <v>7197.8700000000008</v>
      </c>
      <c r="BY142" s="103">
        <f t="shared" si="387"/>
        <v>3030.91</v>
      </c>
      <c r="BZ142" s="103">
        <f t="shared" si="387"/>
        <v>7395.7400000000016</v>
      </c>
      <c r="CA142" s="277">
        <f t="shared" si="387"/>
        <v>6801.0499999999993</v>
      </c>
      <c r="CB142" s="277">
        <f t="shared" si="387"/>
        <v>4619</v>
      </c>
      <c r="CC142" s="277">
        <f t="shared" si="388"/>
        <v>34407.050000000003</v>
      </c>
      <c r="CD142" s="277">
        <f t="shared" si="388"/>
        <v>-4750.07</v>
      </c>
      <c r="CE142" s="312">
        <f t="shared" si="388"/>
        <v>-3648</v>
      </c>
      <c r="CF142" s="312">
        <f t="shared" si="388"/>
        <v>-1917</v>
      </c>
      <c r="CG142" s="312">
        <f t="shared" si="388"/>
        <v>-13315.550000000003</v>
      </c>
      <c r="CH142" s="312">
        <f t="shared" si="388"/>
        <v>-6902.4399999999987</v>
      </c>
      <c r="CI142" s="312">
        <f t="shared" si="388"/>
        <v>-661.5099999999984</v>
      </c>
      <c r="CJ142" s="312">
        <f t="shared" si="388"/>
        <v>-1478.7400000000016</v>
      </c>
      <c r="CK142" s="312">
        <f t="shared" si="388"/>
        <v>-2346</v>
      </c>
      <c r="CL142" s="312">
        <f t="shared" si="388"/>
        <v>-7471.4500000000007</v>
      </c>
      <c r="CM142" s="312">
        <f t="shared" si="389"/>
        <v>-194</v>
      </c>
      <c r="CN142" s="312">
        <f t="shared" si="389"/>
        <v>-5145</v>
      </c>
      <c r="CO142" s="312">
        <f t="shared" si="389"/>
        <v>-50281</v>
      </c>
      <c r="CP142" s="312">
        <f t="shared" si="389"/>
        <v>-9166</v>
      </c>
      <c r="CQ142" s="312">
        <f t="shared" si="389"/>
        <v>-13811</v>
      </c>
      <c r="CR142" s="312">
        <f t="shared" si="389"/>
        <v>-15194</v>
      </c>
      <c r="CS142" s="312"/>
      <c r="CT142" s="350"/>
      <c r="CU142" s="67">
        <f>'MONTHLY SUMMARIES'!F102</f>
        <v>32162</v>
      </c>
    </row>
    <row r="143" spans="1:99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386"/>
        <v>18695.649999999965</v>
      </c>
      <c r="BJ143" s="103">
        <f t="shared" si="386"/>
        <v>-67600.75</v>
      </c>
      <c r="BK143" s="103">
        <f t="shared" si="386"/>
        <v>-13146.059999999998</v>
      </c>
      <c r="BL143" s="103">
        <f t="shared" si="386"/>
        <v>10122.079999999958</v>
      </c>
      <c r="BM143" s="103">
        <f t="shared" si="386"/>
        <v>-8161.7700000000186</v>
      </c>
      <c r="BN143" s="103">
        <f t="shared" si="386"/>
        <v>-11123.150000000023</v>
      </c>
      <c r="BO143" s="103">
        <f t="shared" si="386"/>
        <v>78017.909999999916</v>
      </c>
      <c r="BP143" s="103">
        <f t="shared" si="386"/>
        <v>750.46999999997206</v>
      </c>
      <c r="BQ143" s="103">
        <f t="shared" si="386"/>
        <v>282583.41999999993</v>
      </c>
      <c r="BR143" s="103">
        <f t="shared" si="386"/>
        <v>28268.229999999981</v>
      </c>
      <c r="BS143" s="103">
        <f t="shared" si="387"/>
        <v>-32757.369999999995</v>
      </c>
      <c r="BT143" s="103">
        <f t="shared" si="387"/>
        <v>66270.570000000007</v>
      </c>
      <c r="BU143" s="103">
        <f t="shared" si="387"/>
        <v>164047.66000000003</v>
      </c>
      <c r="BV143" s="103">
        <f t="shared" si="387"/>
        <v>118784.07999999996</v>
      </c>
      <c r="BW143" s="103">
        <f t="shared" si="387"/>
        <v>75996.88</v>
      </c>
      <c r="BX143" s="103">
        <f t="shared" si="387"/>
        <v>92693.770000000019</v>
      </c>
      <c r="BY143" s="103">
        <f t="shared" si="387"/>
        <v>119503.5</v>
      </c>
      <c r="BZ143" s="103">
        <f t="shared" si="387"/>
        <v>154307.78000000003</v>
      </c>
      <c r="CA143" s="277">
        <f t="shared" si="387"/>
        <v>68555.430000000051</v>
      </c>
      <c r="CB143" s="277">
        <f t="shared" si="387"/>
        <v>75269</v>
      </c>
      <c r="CC143" s="277">
        <f t="shared" si="388"/>
        <v>-149487.56999999995</v>
      </c>
      <c r="CD143" s="277">
        <f t="shared" si="388"/>
        <v>214301.2</v>
      </c>
      <c r="CE143" s="312">
        <f t="shared" si="388"/>
        <v>-6387</v>
      </c>
      <c r="CF143" s="312">
        <f t="shared" si="388"/>
        <v>23215</v>
      </c>
      <c r="CG143" s="312">
        <f t="shared" si="388"/>
        <v>62168.179999999993</v>
      </c>
      <c r="CH143" s="312">
        <f t="shared" si="388"/>
        <v>36337.330000000016</v>
      </c>
      <c r="CI143" s="312">
        <f t="shared" si="388"/>
        <v>11511.169999999984</v>
      </c>
      <c r="CJ143" s="312">
        <f t="shared" si="388"/>
        <v>-38841.239999999991</v>
      </c>
      <c r="CK143" s="312">
        <f t="shared" si="388"/>
        <v>-75291</v>
      </c>
      <c r="CL143" s="312">
        <f t="shared" si="388"/>
        <v>91382.589999999967</v>
      </c>
      <c r="CM143" s="312">
        <f t="shared" si="389"/>
        <v>200069</v>
      </c>
      <c r="CN143" s="312">
        <f t="shared" si="389"/>
        <v>77080</v>
      </c>
      <c r="CO143" s="312">
        <f t="shared" si="389"/>
        <v>-467321</v>
      </c>
      <c r="CP143" s="312">
        <f t="shared" si="389"/>
        <v>-387663</v>
      </c>
      <c r="CQ143" s="312">
        <f t="shared" si="389"/>
        <v>-314520</v>
      </c>
      <c r="CR143" s="312">
        <f t="shared" si="389"/>
        <v>-381273</v>
      </c>
      <c r="CS143" s="312"/>
      <c r="CT143" s="350"/>
      <c r="CU143" s="67">
        <f>'MONTHLY SUMMARIES'!F103</f>
        <v>525506</v>
      </c>
    </row>
    <row r="144" spans="1:99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386"/>
        <v>13767.470000000001</v>
      </c>
      <c r="BJ144" s="103">
        <f t="shared" si="386"/>
        <v>-95228.200000000012</v>
      </c>
      <c r="BK144" s="103">
        <f t="shared" si="386"/>
        <v>-11807.059999999998</v>
      </c>
      <c r="BL144" s="103">
        <f t="shared" si="386"/>
        <v>1711.9500000000116</v>
      </c>
      <c r="BM144" s="103">
        <f t="shared" si="386"/>
        <v>-42848.619999999995</v>
      </c>
      <c r="BN144" s="103">
        <f t="shared" si="386"/>
        <v>-77954.359999999986</v>
      </c>
      <c r="BO144" s="103">
        <f t="shared" si="386"/>
        <v>159110.15999999997</v>
      </c>
      <c r="BP144" s="103">
        <f t="shared" si="386"/>
        <v>-92429.770000000019</v>
      </c>
      <c r="BQ144" s="103">
        <f t="shared" si="386"/>
        <v>169381.68</v>
      </c>
      <c r="BR144" s="103">
        <f t="shared" si="386"/>
        <v>22826.920000000013</v>
      </c>
      <c r="BS144" s="103">
        <f t="shared" si="387"/>
        <v>-34172.919999999984</v>
      </c>
      <c r="BT144" s="103">
        <f t="shared" si="387"/>
        <v>4892.7799999999988</v>
      </c>
      <c r="BU144" s="103">
        <f t="shared" si="387"/>
        <v>80743.020000000019</v>
      </c>
      <c r="BV144" s="103">
        <f t="shared" si="387"/>
        <v>75302.800000000017</v>
      </c>
      <c r="BW144" s="103">
        <f t="shared" si="387"/>
        <v>-30090.559999999998</v>
      </c>
      <c r="BX144" s="103">
        <f t="shared" si="387"/>
        <v>65857.169999999984</v>
      </c>
      <c r="BY144" s="103">
        <f t="shared" si="387"/>
        <v>72030.010000000009</v>
      </c>
      <c r="BZ144" s="103">
        <f t="shared" si="387"/>
        <v>53171.19</v>
      </c>
      <c r="CA144" s="277">
        <f t="shared" si="387"/>
        <v>-65823.969999999972</v>
      </c>
      <c r="CB144" s="277">
        <f t="shared" si="387"/>
        <v>58409</v>
      </c>
      <c r="CC144" s="277">
        <f t="shared" si="388"/>
        <v>-68556.969999999972</v>
      </c>
      <c r="CD144" s="277">
        <f t="shared" si="388"/>
        <v>113895.70999999999</v>
      </c>
      <c r="CE144" s="312">
        <f t="shared" si="388"/>
        <v>5691</v>
      </c>
      <c r="CF144" s="312">
        <f t="shared" si="388"/>
        <v>102379</v>
      </c>
      <c r="CG144" s="312">
        <f t="shared" si="388"/>
        <v>3012.3299999999872</v>
      </c>
      <c r="CH144" s="312">
        <f t="shared" si="388"/>
        <v>36312.119999999995</v>
      </c>
      <c r="CI144" s="312">
        <f t="shared" si="388"/>
        <v>16519.410000000003</v>
      </c>
      <c r="CJ144" s="312">
        <f t="shared" si="388"/>
        <v>10616.570000000007</v>
      </c>
      <c r="CK144" s="312">
        <f t="shared" si="388"/>
        <v>-73619</v>
      </c>
      <c r="CL144" s="312">
        <f t="shared" si="388"/>
        <v>77711.219999999972</v>
      </c>
      <c r="CM144" s="312">
        <f t="shared" si="389"/>
        <v>32815</v>
      </c>
      <c r="CN144" s="312">
        <f t="shared" si="389"/>
        <v>150283</v>
      </c>
      <c r="CO144" s="312">
        <f t="shared" si="389"/>
        <v>-356504</v>
      </c>
      <c r="CP144" s="312">
        <f t="shared" si="389"/>
        <v>-204462</v>
      </c>
      <c r="CQ144" s="312">
        <f t="shared" si="389"/>
        <v>-289089</v>
      </c>
      <c r="CR144" s="312">
        <f t="shared" si="389"/>
        <v>-299602</v>
      </c>
      <c r="CS144" s="312"/>
      <c r="CT144" s="350"/>
      <c r="CU144" s="67">
        <f>'MONTHLY SUMMARIES'!F104</f>
        <v>292479</v>
      </c>
    </row>
    <row r="145" spans="1:102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386"/>
        <v>126084.48000000001</v>
      </c>
      <c r="BJ145" s="103">
        <f t="shared" si="386"/>
        <v>-33797.840000000011</v>
      </c>
      <c r="BK145" s="103">
        <f t="shared" si="386"/>
        <v>22170.690000000002</v>
      </c>
      <c r="BL145" s="103">
        <f t="shared" si="386"/>
        <v>-32582.020000000019</v>
      </c>
      <c r="BM145" s="103">
        <f t="shared" si="386"/>
        <v>38833.020000000019</v>
      </c>
      <c r="BN145" s="103">
        <f t="shared" si="386"/>
        <v>844.11999999999534</v>
      </c>
      <c r="BO145" s="103">
        <f t="shared" si="386"/>
        <v>-5693.6500000000233</v>
      </c>
      <c r="BP145" s="103">
        <f t="shared" si="386"/>
        <v>15756.459999999992</v>
      </c>
      <c r="BQ145" s="103">
        <f t="shared" si="386"/>
        <v>46675.199999999983</v>
      </c>
      <c r="BR145" s="103">
        <f t="shared" si="386"/>
        <v>-3578.9400000000023</v>
      </c>
      <c r="BS145" s="103">
        <f t="shared" si="387"/>
        <v>41157.320000000007</v>
      </c>
      <c r="BT145" s="103">
        <f t="shared" si="387"/>
        <v>9780.8699999999953</v>
      </c>
      <c r="BU145" s="103">
        <f t="shared" si="387"/>
        <v>-59252.170000000013</v>
      </c>
      <c r="BV145" s="103">
        <f t="shared" si="387"/>
        <v>63642.3</v>
      </c>
      <c r="BW145" s="103">
        <f t="shared" si="387"/>
        <v>-41613.570000000007</v>
      </c>
      <c r="BX145" s="103">
        <f t="shared" si="387"/>
        <v>77610.950000000012</v>
      </c>
      <c r="BY145" s="103">
        <f t="shared" si="387"/>
        <v>-161013.63</v>
      </c>
      <c r="BZ145" s="103">
        <f t="shared" si="387"/>
        <v>58730.26999999999</v>
      </c>
      <c r="CA145" s="277">
        <f t="shared" si="387"/>
        <v>-7973.5499999999884</v>
      </c>
      <c r="CB145" s="277">
        <f t="shared" si="387"/>
        <v>-116745</v>
      </c>
      <c r="CC145" s="277">
        <f t="shared" si="388"/>
        <v>-10615.549999999988</v>
      </c>
      <c r="CD145" s="277">
        <f t="shared" si="388"/>
        <v>11605.179999999993</v>
      </c>
      <c r="CE145" s="312">
        <f t="shared" si="388"/>
        <v>-180562</v>
      </c>
      <c r="CF145" s="312">
        <f t="shared" si="388"/>
        <v>179852</v>
      </c>
      <c r="CG145" s="312">
        <f t="shared" si="388"/>
        <v>-10255.720000000001</v>
      </c>
      <c r="CH145" s="312">
        <f t="shared" si="388"/>
        <v>-45408.78</v>
      </c>
      <c r="CI145" s="312">
        <f t="shared" si="388"/>
        <v>164259.32</v>
      </c>
      <c r="CJ145" s="312">
        <f t="shared" si="388"/>
        <v>15162.25</v>
      </c>
      <c r="CK145" s="312">
        <f t="shared" si="388"/>
        <v>10871</v>
      </c>
      <c r="CL145" s="312">
        <f t="shared" si="388"/>
        <v>-42323.299999999988</v>
      </c>
      <c r="CM145" s="312">
        <f t="shared" si="389"/>
        <v>-35164</v>
      </c>
      <c r="CN145" s="312">
        <f t="shared" si="389"/>
        <v>80436</v>
      </c>
      <c r="CO145" s="312">
        <f t="shared" si="389"/>
        <v>-225730</v>
      </c>
      <c r="CP145" s="312">
        <f t="shared" si="389"/>
        <v>-25582</v>
      </c>
      <c r="CQ145" s="312">
        <f t="shared" si="389"/>
        <v>-55295</v>
      </c>
      <c r="CR145" s="312">
        <f t="shared" si="389"/>
        <v>-225250</v>
      </c>
      <c r="CS145" s="312"/>
      <c r="CT145" s="350"/>
      <c r="CU145" s="67">
        <f>'MONTHLY SUMMARIES'!F105</f>
        <v>223349</v>
      </c>
    </row>
    <row r="146" spans="1:102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390">SUM(D141:D145)</f>
        <v>2470200.59</v>
      </c>
      <c r="E146" s="136">
        <f t="shared" si="390"/>
        <v>2326768.44</v>
      </c>
      <c r="F146" s="137">
        <f t="shared" si="390"/>
        <v>2298113.27</v>
      </c>
      <c r="G146" s="136">
        <f t="shared" si="390"/>
        <v>2941764.9699999997</v>
      </c>
      <c r="H146" s="136">
        <f t="shared" si="390"/>
        <v>4153885.4000000004</v>
      </c>
      <c r="I146" s="136">
        <f t="shared" si="390"/>
        <v>4102854.9600000004</v>
      </c>
      <c r="J146" s="136">
        <f t="shared" si="390"/>
        <v>3356314.06</v>
      </c>
      <c r="K146" s="136">
        <f t="shared" si="390"/>
        <v>2400050.3600000003</v>
      </c>
      <c r="L146" s="138">
        <f t="shared" si="390"/>
        <v>2157399.9000000004</v>
      </c>
      <c r="M146" s="136">
        <f t="shared" si="390"/>
        <v>3066606.46</v>
      </c>
      <c r="N146" s="136">
        <f t="shared" si="390"/>
        <v>2613371.65</v>
      </c>
      <c r="O146" s="136">
        <f t="shared" si="390"/>
        <v>2578747.7400000002</v>
      </c>
      <c r="P146" s="136">
        <f t="shared" si="390"/>
        <v>2245194.83</v>
      </c>
      <c r="Q146" s="136">
        <f t="shared" si="390"/>
        <v>2430557.59</v>
      </c>
      <c r="R146" s="136">
        <f t="shared" si="390"/>
        <v>2569760.16</v>
      </c>
      <c r="S146" s="136">
        <f t="shared" si="390"/>
        <v>3452763.41</v>
      </c>
      <c r="T146" s="136">
        <f t="shared" si="390"/>
        <v>4326547.91</v>
      </c>
      <c r="U146" s="136">
        <f t="shared" si="390"/>
        <v>5246256.68</v>
      </c>
      <c r="V146" s="136">
        <f t="shared" si="390"/>
        <v>3737711</v>
      </c>
      <c r="W146" s="136">
        <f t="shared" si="390"/>
        <v>5246256.68</v>
      </c>
      <c r="X146" s="138">
        <f t="shared" si="390"/>
        <v>2432332.9899999998</v>
      </c>
      <c r="Y146" s="136">
        <v>3124203</v>
      </c>
      <c r="Z146" s="242">
        <v>3083171</v>
      </c>
      <c r="AA146" s="136">
        <f t="shared" ref="AA146" si="391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38"/>
        <v>285834.59999999998</v>
      </c>
      <c r="BJ146" s="139">
        <f t="shared" ref="BJ146:BL146" si="392">SUM(BJ141:BJ145)</f>
        <v>-225005.75999999983</v>
      </c>
      <c r="BK146" s="139">
        <f t="shared" si="392"/>
        <v>103789.15000000002</v>
      </c>
      <c r="BL146" s="139">
        <f t="shared" si="392"/>
        <v>271646.88999999996</v>
      </c>
      <c r="BM146" s="139">
        <f t="shared" ref="BM146:BN146" si="393">SUM(BM141:BM145)</f>
        <v>510998.44000000018</v>
      </c>
      <c r="BN146" s="139">
        <f t="shared" si="393"/>
        <v>172662.51000000033</v>
      </c>
      <c r="BO146" s="139">
        <f t="shared" ref="BO146:BP146" si="394">SUM(BO141:BO145)</f>
        <v>1143401.7200000002</v>
      </c>
      <c r="BP146" s="139">
        <f t="shared" si="394"/>
        <v>381396.94000000006</v>
      </c>
      <c r="BQ146" s="139">
        <f t="shared" ref="BQ146:BR146" si="395">SUM(BQ141:BQ145)</f>
        <v>2846206.3200000003</v>
      </c>
      <c r="BR146" s="139">
        <f t="shared" si="395"/>
        <v>274933.08999999991</v>
      </c>
      <c r="BS146" s="139">
        <f t="shared" ref="BS146:BT146" si="396">SUM(BS141:BS145)</f>
        <v>57596.540000000066</v>
      </c>
      <c r="BT146" s="139">
        <f t="shared" si="396"/>
        <v>469799.35</v>
      </c>
      <c r="BU146" s="139">
        <f t="shared" ref="BU146:BV146" si="397">SUM(BU141:BU145)</f>
        <v>889303.83000000007</v>
      </c>
      <c r="BV146" s="139">
        <f t="shared" si="397"/>
        <v>782306.37000000011</v>
      </c>
      <c r="BW146" s="139">
        <f t="shared" ref="BW146:BX146" si="398">SUM(BW141:BW145)</f>
        <v>285822.48000000004</v>
      </c>
      <c r="BX146" s="139">
        <f t="shared" si="398"/>
        <v>517383.16999999993</v>
      </c>
      <c r="BY146" s="139">
        <f t="shared" ref="BY146:BZ146" si="399">SUM(BY141:BY145)</f>
        <v>356059.58999999979</v>
      </c>
      <c r="BZ146" s="139">
        <f t="shared" si="399"/>
        <v>884674.94999999972</v>
      </c>
      <c r="CA146" s="278">
        <f t="shared" ref="CA146:CB146" si="400">SUM(CA141:CA145)</f>
        <v>59410.319999999949</v>
      </c>
      <c r="CB146" s="278">
        <f t="shared" si="400"/>
        <v>402838</v>
      </c>
      <c r="CC146" s="278">
        <f t="shared" ref="CC146:CE146" si="401">SUM(CC141:CC145)</f>
        <v>-1711057.6800000002</v>
      </c>
      <c r="CD146" s="278">
        <f t="shared" si="401"/>
        <v>613667.01</v>
      </c>
      <c r="CE146" s="313">
        <f t="shared" si="401"/>
        <v>-157214</v>
      </c>
      <c r="CF146" s="313">
        <f t="shared" ref="CF146:CG146" si="402">SUM(CF141:CF145)</f>
        <v>489813</v>
      </c>
      <c r="CG146" s="313">
        <f t="shared" si="402"/>
        <v>177108.42999999993</v>
      </c>
      <c r="CH146" s="313">
        <f t="shared" ref="CH146:CI146" si="403">SUM(CH141:CH145)</f>
        <v>5483.7999999998428</v>
      </c>
      <c r="CI146" s="313">
        <f t="shared" si="403"/>
        <v>230496.93000000005</v>
      </c>
      <c r="CJ146" s="313">
        <f t="shared" ref="CJ146" si="404">SUM(CJ141:CJ145)</f>
        <v>-40925.329999999914</v>
      </c>
      <c r="CK146" s="313">
        <f t="shared" ref="CK146" si="405">SUM(CK141:CK145)</f>
        <v>-286395</v>
      </c>
      <c r="CL146" s="313">
        <f t="shared" ref="CL146" si="406">SUM(CL141:CL145)</f>
        <v>155673.14000000001</v>
      </c>
      <c r="CM146" s="313">
        <f t="shared" ref="CM146" si="407">SUM(CM141:CM145)</f>
        <v>536367</v>
      </c>
      <c r="CN146" s="313">
        <f t="shared" ref="CN146" si="408">SUM(CN141:CN145)</f>
        <v>223691</v>
      </c>
      <c r="CO146" s="313">
        <f t="shared" ref="CO146" si="409">SUM(CO141:CO145)</f>
        <v>-3264438</v>
      </c>
      <c r="CP146" s="313">
        <f t="shared" ref="CP146" si="410">SUM(CP141:CP145)</f>
        <v>-2128129</v>
      </c>
      <c r="CQ146" s="313">
        <f t="shared" ref="CQ146:CS146" si="411">SUM(CQ141:CQ145)</f>
        <v>-2479603</v>
      </c>
      <c r="CR146" s="313">
        <f t="shared" ref="CR146" si="412">SUM(CR141:CR145)</f>
        <v>-3130651</v>
      </c>
      <c r="CS146" s="313"/>
      <c r="CT146" s="351"/>
      <c r="CU146" s="47">
        <f t="shared" si="356"/>
        <v>3803037</v>
      </c>
      <c r="CV146" s="40"/>
      <c r="CW146" s="40"/>
      <c r="CX146" s="40"/>
    </row>
    <row r="147" spans="1:102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48"/>
      <c r="CU147" s="93"/>
      <c r="CV147" s="40"/>
      <c r="CW147" s="40"/>
      <c r="CX147" s="40"/>
    </row>
    <row r="148" spans="1:102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13">O148-C148</f>
        <v>1081</v>
      </c>
      <c r="BJ148" s="108">
        <f t="shared" si="413"/>
        <v>112</v>
      </c>
      <c r="BK148" s="108">
        <f t="shared" si="413"/>
        <v>-331</v>
      </c>
      <c r="BL148" s="108">
        <f t="shared" si="413"/>
        <v>1377</v>
      </c>
      <c r="BM148" s="108">
        <f t="shared" si="413"/>
        <v>941</v>
      </c>
      <c r="BN148" s="108">
        <f t="shared" si="413"/>
        <v>-207</v>
      </c>
      <c r="BO148" s="108">
        <f t="shared" si="413"/>
        <v>1811</v>
      </c>
      <c r="BP148" s="108">
        <f t="shared" si="413"/>
        <v>-755</v>
      </c>
      <c r="BQ148" s="108">
        <f t="shared" si="413"/>
        <v>1862</v>
      </c>
      <c r="BR148" s="108">
        <f t="shared" si="413"/>
        <v>-261</v>
      </c>
      <c r="BS148" s="108">
        <f t="shared" ref="BS148:CB152" si="414">Y148-M148</f>
        <v>-1178</v>
      </c>
      <c r="BT148" s="108">
        <f t="shared" si="414"/>
        <v>-666</v>
      </c>
      <c r="BU148" s="108">
        <f t="shared" si="414"/>
        <v>1014</v>
      </c>
      <c r="BV148" s="108">
        <f t="shared" si="414"/>
        <v>264</v>
      </c>
      <c r="BW148" s="108">
        <f t="shared" si="414"/>
        <v>255</v>
      </c>
      <c r="BX148" s="108">
        <f t="shared" si="414"/>
        <v>82</v>
      </c>
      <c r="BY148" s="108">
        <f t="shared" si="414"/>
        <v>-228</v>
      </c>
      <c r="BZ148" s="108">
        <f t="shared" si="414"/>
        <v>721</v>
      </c>
      <c r="CA148" s="279">
        <f t="shared" si="414"/>
        <v>-998</v>
      </c>
      <c r="CB148" s="279">
        <f t="shared" si="414"/>
        <v>856</v>
      </c>
      <c r="CC148" s="279">
        <f t="shared" ref="CC148:CL152" si="415">AI148-W148</f>
        <v>-656</v>
      </c>
      <c r="CD148" s="279">
        <f t="shared" si="415"/>
        <v>1447</v>
      </c>
      <c r="CE148" s="309">
        <f t="shared" si="415"/>
        <v>188</v>
      </c>
      <c r="CF148" s="309">
        <f t="shared" si="415"/>
        <v>352</v>
      </c>
      <c r="CG148" s="309">
        <f t="shared" si="415"/>
        <v>-192</v>
      </c>
      <c r="CH148" s="309">
        <f t="shared" si="415"/>
        <v>93</v>
      </c>
      <c r="CI148" s="309">
        <f t="shared" si="415"/>
        <v>283</v>
      </c>
      <c r="CJ148" s="309">
        <f t="shared" si="415"/>
        <v>-417</v>
      </c>
      <c r="CK148" s="309">
        <f t="shared" si="415"/>
        <v>-306</v>
      </c>
      <c r="CL148" s="309">
        <f t="shared" si="415"/>
        <v>733</v>
      </c>
      <c r="CM148" s="309">
        <f t="shared" ref="CM148:CR152" si="416">AS148-AG148</f>
        <v>315</v>
      </c>
      <c r="CN148" s="309">
        <f t="shared" si="416"/>
        <v>-742</v>
      </c>
      <c r="CO148" s="309">
        <f t="shared" si="416"/>
        <v>-10620</v>
      </c>
      <c r="CP148" s="309">
        <f t="shared" si="416"/>
        <v>-9255</v>
      </c>
      <c r="CQ148" s="309">
        <f t="shared" si="416"/>
        <v>-9885</v>
      </c>
      <c r="CR148" s="309">
        <f t="shared" si="416"/>
        <v>-10067</v>
      </c>
      <c r="CS148" s="309"/>
      <c r="CT148" s="348"/>
      <c r="CU148" s="67">
        <f>'MONTHLY SUMMARIES'!F108</f>
        <v>13111</v>
      </c>
      <c r="CV148" s="40"/>
      <c r="CW148" s="40"/>
      <c r="CX148" s="40"/>
    </row>
    <row r="149" spans="1:102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13"/>
        <v>5</v>
      </c>
      <c r="BJ149" s="108">
        <f t="shared" si="413"/>
        <v>21</v>
      </c>
      <c r="BK149" s="108">
        <f t="shared" si="413"/>
        <v>-16</v>
      </c>
      <c r="BL149" s="108">
        <f t="shared" si="413"/>
        <v>13</v>
      </c>
      <c r="BM149" s="108">
        <f t="shared" si="413"/>
        <v>21</v>
      </c>
      <c r="BN149" s="108">
        <f t="shared" si="413"/>
        <v>20</v>
      </c>
      <c r="BO149" s="108">
        <f t="shared" si="413"/>
        <v>16</v>
      </c>
      <c r="BP149" s="108">
        <f t="shared" si="413"/>
        <v>-17</v>
      </c>
      <c r="BQ149" s="108">
        <f t="shared" si="413"/>
        <v>41</v>
      </c>
      <c r="BR149" s="108">
        <f t="shared" si="413"/>
        <v>30</v>
      </c>
      <c r="BS149" s="108">
        <f t="shared" si="414"/>
        <v>3</v>
      </c>
      <c r="BT149" s="108">
        <f t="shared" si="414"/>
        <v>-4</v>
      </c>
      <c r="BU149" s="108">
        <f t="shared" si="414"/>
        <v>74</v>
      </c>
      <c r="BV149" s="108">
        <f t="shared" si="414"/>
        <v>52</v>
      </c>
      <c r="BW149" s="108">
        <f t="shared" si="414"/>
        <v>63</v>
      </c>
      <c r="BX149" s="108">
        <f t="shared" si="414"/>
        <v>98</v>
      </c>
      <c r="BY149" s="108">
        <f t="shared" si="414"/>
        <v>35</v>
      </c>
      <c r="BZ149" s="108">
        <f t="shared" si="414"/>
        <v>93</v>
      </c>
      <c r="CA149" s="279">
        <f t="shared" si="414"/>
        <v>51</v>
      </c>
      <c r="CB149" s="279">
        <f t="shared" si="414"/>
        <v>66</v>
      </c>
      <c r="CC149" s="279">
        <f t="shared" si="415"/>
        <v>100</v>
      </c>
      <c r="CD149" s="279">
        <f t="shared" si="415"/>
        <v>33</v>
      </c>
      <c r="CE149" s="309">
        <f t="shared" si="415"/>
        <v>13</v>
      </c>
      <c r="CF149" s="309">
        <f t="shared" si="415"/>
        <v>29</v>
      </c>
      <c r="CG149" s="309">
        <f t="shared" si="415"/>
        <v>-4</v>
      </c>
      <c r="CH149" s="309">
        <f t="shared" si="415"/>
        <v>-44</v>
      </c>
      <c r="CI149" s="309">
        <f t="shared" si="415"/>
        <v>-21</v>
      </c>
      <c r="CJ149" s="309">
        <f t="shared" si="415"/>
        <v>-32</v>
      </c>
      <c r="CK149" s="309">
        <f t="shared" si="415"/>
        <v>-19</v>
      </c>
      <c r="CL149" s="309">
        <f t="shared" si="415"/>
        <v>-46</v>
      </c>
      <c r="CM149" s="309">
        <f t="shared" si="416"/>
        <v>23</v>
      </c>
      <c r="CN149" s="309">
        <f t="shared" si="416"/>
        <v>-39</v>
      </c>
      <c r="CO149" s="309">
        <f t="shared" si="416"/>
        <v>-201</v>
      </c>
      <c r="CP149" s="309">
        <f t="shared" si="416"/>
        <v>-153</v>
      </c>
      <c r="CQ149" s="309">
        <f t="shared" si="416"/>
        <v>-140</v>
      </c>
      <c r="CR149" s="309">
        <f t="shared" si="416"/>
        <v>-150</v>
      </c>
      <c r="CS149" s="309"/>
      <c r="CT149" s="348"/>
      <c r="CU149" s="67">
        <f>'MONTHLY SUMMARIES'!F109</f>
        <v>170</v>
      </c>
      <c r="CV149" s="40"/>
      <c r="CW149" s="40"/>
      <c r="CX149" s="40"/>
    </row>
    <row r="150" spans="1:102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13"/>
        <v>277</v>
      </c>
      <c r="BJ150" s="108">
        <f t="shared" si="413"/>
        <v>-450</v>
      </c>
      <c r="BK150" s="108">
        <f t="shared" si="413"/>
        <v>62</v>
      </c>
      <c r="BL150" s="108">
        <f t="shared" si="413"/>
        <v>752</v>
      </c>
      <c r="BM150" s="108">
        <f t="shared" si="413"/>
        <v>74</v>
      </c>
      <c r="BN150" s="108">
        <f t="shared" si="413"/>
        <v>87</v>
      </c>
      <c r="BO150" s="108">
        <f t="shared" si="413"/>
        <v>503</v>
      </c>
      <c r="BP150" s="108">
        <f t="shared" si="413"/>
        <v>-58</v>
      </c>
      <c r="BQ150" s="108">
        <f t="shared" si="413"/>
        <v>491</v>
      </c>
      <c r="BR150" s="108">
        <f t="shared" si="413"/>
        <v>84</v>
      </c>
      <c r="BS150" s="108">
        <f t="shared" si="414"/>
        <v>89</v>
      </c>
      <c r="BT150" s="108">
        <f t="shared" si="414"/>
        <v>9</v>
      </c>
      <c r="BU150" s="108">
        <f t="shared" si="414"/>
        <v>118</v>
      </c>
      <c r="BV150" s="108">
        <f t="shared" si="414"/>
        <v>296</v>
      </c>
      <c r="BW150" s="108">
        <f t="shared" si="414"/>
        <v>-24</v>
      </c>
      <c r="BX150" s="108">
        <f t="shared" si="414"/>
        <v>-507</v>
      </c>
      <c r="BY150" s="108">
        <f t="shared" si="414"/>
        <v>34</v>
      </c>
      <c r="BZ150" s="108">
        <f t="shared" si="414"/>
        <v>77</v>
      </c>
      <c r="CA150" s="279">
        <f t="shared" si="414"/>
        <v>-325</v>
      </c>
      <c r="CB150" s="279">
        <f t="shared" si="414"/>
        <v>68</v>
      </c>
      <c r="CC150" s="279">
        <f t="shared" si="415"/>
        <v>-278</v>
      </c>
      <c r="CD150" s="279">
        <f t="shared" si="415"/>
        <v>432</v>
      </c>
      <c r="CE150" s="309">
        <f t="shared" si="415"/>
        <v>-408</v>
      </c>
      <c r="CF150" s="309">
        <f t="shared" si="415"/>
        <v>-83</v>
      </c>
      <c r="CG150" s="309">
        <f t="shared" si="415"/>
        <v>-36</v>
      </c>
      <c r="CH150" s="309">
        <f t="shared" si="415"/>
        <v>279</v>
      </c>
      <c r="CI150" s="309">
        <f t="shared" si="415"/>
        <v>-209</v>
      </c>
      <c r="CJ150" s="309">
        <f t="shared" si="415"/>
        <v>-281</v>
      </c>
      <c r="CK150" s="309">
        <f t="shared" si="415"/>
        <v>-463</v>
      </c>
      <c r="CL150" s="309">
        <f t="shared" si="415"/>
        <v>265</v>
      </c>
      <c r="CM150" s="309">
        <f t="shared" si="416"/>
        <v>-358</v>
      </c>
      <c r="CN150" s="309">
        <f t="shared" si="416"/>
        <v>47</v>
      </c>
      <c r="CO150" s="309">
        <f t="shared" si="416"/>
        <v>-1697</v>
      </c>
      <c r="CP150" s="309">
        <f t="shared" si="416"/>
        <v>-1211</v>
      </c>
      <c r="CQ150" s="309">
        <f t="shared" si="416"/>
        <v>-1845</v>
      </c>
      <c r="CR150" s="309">
        <f t="shared" si="416"/>
        <v>-1516</v>
      </c>
      <c r="CS150" s="309"/>
      <c r="CT150" s="348"/>
      <c r="CU150" s="67">
        <f>'MONTHLY SUMMARIES'!F110</f>
        <v>2158</v>
      </c>
      <c r="CV150" s="40"/>
      <c r="CW150" s="40"/>
      <c r="CX150" s="40"/>
    </row>
    <row r="151" spans="1:102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13"/>
        <v>22</v>
      </c>
      <c r="BJ151" s="108">
        <f t="shared" si="413"/>
        <v>-79</v>
      </c>
      <c r="BK151" s="108">
        <f t="shared" si="413"/>
        <v>116</v>
      </c>
      <c r="BL151" s="108">
        <f t="shared" si="413"/>
        <v>11</v>
      </c>
      <c r="BM151" s="108">
        <f t="shared" si="413"/>
        <v>-1</v>
      </c>
      <c r="BN151" s="108">
        <f t="shared" si="413"/>
        <v>-28</v>
      </c>
      <c r="BO151" s="108">
        <f t="shared" si="413"/>
        <v>29</v>
      </c>
      <c r="BP151" s="108">
        <f t="shared" si="413"/>
        <v>-19</v>
      </c>
      <c r="BQ151" s="108">
        <f t="shared" si="413"/>
        <v>14</v>
      </c>
      <c r="BR151" s="108">
        <f t="shared" si="413"/>
        <v>3</v>
      </c>
      <c r="BS151" s="108">
        <f t="shared" si="414"/>
        <v>63</v>
      </c>
      <c r="BT151" s="108">
        <f t="shared" si="414"/>
        <v>-88</v>
      </c>
      <c r="BU151" s="108">
        <f t="shared" si="414"/>
        <v>-48</v>
      </c>
      <c r="BV151" s="108">
        <f t="shared" si="414"/>
        <v>39</v>
      </c>
      <c r="BW151" s="108">
        <f t="shared" si="414"/>
        <v>-160</v>
      </c>
      <c r="BX151" s="108">
        <f t="shared" si="414"/>
        <v>-58</v>
      </c>
      <c r="BY151" s="108">
        <f t="shared" si="414"/>
        <v>-1</v>
      </c>
      <c r="BZ151" s="108">
        <f t="shared" si="414"/>
        <v>39</v>
      </c>
      <c r="CA151" s="279">
        <f t="shared" si="414"/>
        <v>-34</v>
      </c>
      <c r="CB151" s="279">
        <f t="shared" si="414"/>
        <v>-3</v>
      </c>
      <c r="CC151" s="279">
        <f t="shared" si="415"/>
        <v>-9</v>
      </c>
      <c r="CD151" s="279">
        <f t="shared" si="415"/>
        <v>25</v>
      </c>
      <c r="CE151" s="309">
        <f t="shared" si="415"/>
        <v>-89</v>
      </c>
      <c r="CF151" s="309">
        <f t="shared" si="415"/>
        <v>-61</v>
      </c>
      <c r="CG151" s="309">
        <f t="shared" si="415"/>
        <v>-27</v>
      </c>
      <c r="CH151" s="309">
        <f t="shared" si="415"/>
        <v>-13</v>
      </c>
      <c r="CI151" s="309">
        <f t="shared" si="415"/>
        <v>-53</v>
      </c>
      <c r="CJ151" s="309">
        <f t="shared" si="415"/>
        <v>-50</v>
      </c>
      <c r="CK151" s="309">
        <f t="shared" si="415"/>
        <v>-96</v>
      </c>
      <c r="CL151" s="309">
        <f t="shared" si="415"/>
        <v>-63</v>
      </c>
      <c r="CM151" s="309">
        <f t="shared" si="416"/>
        <v>-71</v>
      </c>
      <c r="CN151" s="309">
        <f t="shared" si="416"/>
        <v>17</v>
      </c>
      <c r="CO151" s="309">
        <f t="shared" si="416"/>
        <v>-178</v>
      </c>
      <c r="CP151" s="309">
        <f t="shared" si="416"/>
        <v>-61</v>
      </c>
      <c r="CQ151" s="309">
        <f t="shared" si="416"/>
        <v>-145</v>
      </c>
      <c r="CR151" s="309">
        <f t="shared" si="416"/>
        <v>-80</v>
      </c>
      <c r="CS151" s="309"/>
      <c r="CT151" s="348"/>
      <c r="CU151" s="67">
        <f>'MONTHLY SUMMARIES'!F111</f>
        <v>182</v>
      </c>
      <c r="CV151" s="40"/>
      <c r="CW151" s="40"/>
      <c r="CX151" s="40"/>
    </row>
    <row r="152" spans="1:102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13"/>
        <v>153</v>
      </c>
      <c r="BJ152" s="108">
        <f t="shared" si="413"/>
        <v>87</v>
      </c>
      <c r="BK152" s="108">
        <f t="shared" si="413"/>
        <v>38</v>
      </c>
      <c r="BL152" s="108">
        <f t="shared" si="413"/>
        <v>1</v>
      </c>
      <c r="BM152" s="108">
        <f t="shared" si="413"/>
        <v>-1</v>
      </c>
      <c r="BN152" s="108">
        <f t="shared" si="413"/>
        <v>-2</v>
      </c>
      <c r="BO152" s="108">
        <f t="shared" si="413"/>
        <v>1</v>
      </c>
      <c r="BP152" s="108">
        <f t="shared" si="413"/>
        <v>-2</v>
      </c>
      <c r="BQ152" s="108">
        <f t="shared" si="413"/>
        <v>0</v>
      </c>
      <c r="BR152" s="108">
        <f t="shared" si="413"/>
        <v>-2</v>
      </c>
      <c r="BS152" s="108">
        <f t="shared" si="414"/>
        <v>0</v>
      </c>
      <c r="BT152" s="108">
        <f t="shared" si="414"/>
        <v>-6</v>
      </c>
      <c r="BU152" s="108">
        <f t="shared" si="414"/>
        <v>-154</v>
      </c>
      <c r="BV152" s="108">
        <f t="shared" si="414"/>
        <v>-87</v>
      </c>
      <c r="BW152" s="108">
        <f t="shared" si="414"/>
        <v>-40</v>
      </c>
      <c r="BX152" s="108">
        <f t="shared" si="414"/>
        <v>1</v>
      </c>
      <c r="BY152" s="108">
        <f t="shared" si="414"/>
        <v>-2</v>
      </c>
      <c r="BZ152" s="108">
        <f t="shared" si="414"/>
        <v>3</v>
      </c>
      <c r="CA152" s="279">
        <f t="shared" si="414"/>
        <v>1</v>
      </c>
      <c r="CB152" s="279">
        <f t="shared" si="414"/>
        <v>0</v>
      </c>
      <c r="CC152" s="279">
        <f t="shared" si="415"/>
        <v>0</v>
      </c>
      <c r="CD152" s="279">
        <f t="shared" si="415"/>
        <v>18</v>
      </c>
      <c r="CE152" s="309">
        <f t="shared" si="415"/>
        <v>-10</v>
      </c>
      <c r="CF152" s="309">
        <f t="shared" si="415"/>
        <v>1</v>
      </c>
      <c r="CG152" s="309">
        <f t="shared" si="415"/>
        <v>-2</v>
      </c>
      <c r="CH152" s="309">
        <f t="shared" si="415"/>
        <v>-2</v>
      </c>
      <c r="CI152" s="309">
        <f t="shared" si="415"/>
        <v>4</v>
      </c>
      <c r="CJ152" s="309">
        <f t="shared" si="415"/>
        <v>-1</v>
      </c>
      <c r="CK152" s="309">
        <f t="shared" si="415"/>
        <v>-2</v>
      </c>
      <c r="CL152" s="309">
        <f t="shared" si="415"/>
        <v>3</v>
      </c>
      <c r="CM152" s="309">
        <f t="shared" si="416"/>
        <v>-4</v>
      </c>
      <c r="CN152" s="309">
        <f t="shared" si="416"/>
        <v>-1</v>
      </c>
      <c r="CO152" s="309">
        <f t="shared" si="416"/>
        <v>-12</v>
      </c>
      <c r="CP152" s="309">
        <f t="shared" si="416"/>
        <v>-22</v>
      </c>
      <c r="CQ152" s="309">
        <f t="shared" si="416"/>
        <v>-5</v>
      </c>
      <c r="CR152" s="309">
        <f t="shared" si="416"/>
        <v>-7</v>
      </c>
      <c r="CS152" s="309"/>
      <c r="CT152" s="348"/>
      <c r="CU152" s="67">
        <f>'MONTHLY SUMMARIES'!F112</f>
        <v>14</v>
      </c>
      <c r="CV152" s="40"/>
      <c r="CW152" s="40"/>
      <c r="CX152" s="40"/>
    </row>
    <row r="153" spans="1:102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17">SUM(D148:D152)</f>
        <v>13470</v>
      </c>
      <c r="E153" s="72">
        <f t="shared" si="417"/>
        <v>13747</v>
      </c>
      <c r="F153" s="74">
        <f t="shared" si="417"/>
        <v>12616</v>
      </c>
      <c r="G153" s="72">
        <f t="shared" si="417"/>
        <v>13598</v>
      </c>
      <c r="H153" s="72">
        <f t="shared" si="417"/>
        <v>13504</v>
      </c>
      <c r="I153" s="72">
        <f t="shared" si="417"/>
        <v>12730</v>
      </c>
      <c r="J153" s="72">
        <f t="shared" si="417"/>
        <v>14665</v>
      </c>
      <c r="K153" s="72">
        <f t="shared" si="417"/>
        <v>12682</v>
      </c>
      <c r="L153" s="73">
        <f t="shared" si="417"/>
        <v>12427</v>
      </c>
      <c r="M153" s="72">
        <f t="shared" si="417"/>
        <v>15426</v>
      </c>
      <c r="N153" s="72">
        <f t="shared" si="417"/>
        <v>14292</v>
      </c>
      <c r="O153" s="72">
        <f t="shared" si="417"/>
        <v>13969</v>
      </c>
      <c r="P153" s="72">
        <f t="shared" si="417"/>
        <v>13161</v>
      </c>
      <c r="Q153" s="72">
        <f t="shared" si="417"/>
        <v>13616</v>
      </c>
      <c r="R153" s="72">
        <f t="shared" si="417"/>
        <v>14770</v>
      </c>
      <c r="S153" s="72">
        <f t="shared" si="417"/>
        <v>14632</v>
      </c>
      <c r="T153" s="72">
        <f t="shared" si="417"/>
        <v>13374</v>
      </c>
      <c r="U153" s="72">
        <f t="shared" si="417"/>
        <v>15090</v>
      </c>
      <c r="V153" s="72">
        <f t="shared" si="417"/>
        <v>13814</v>
      </c>
      <c r="W153" s="72">
        <f t="shared" si="417"/>
        <v>15090</v>
      </c>
      <c r="X153" s="73">
        <f t="shared" si="417"/>
        <v>12281</v>
      </c>
      <c r="Y153" s="72">
        <v>14403</v>
      </c>
      <c r="Z153" s="190">
        <v>13537</v>
      </c>
      <c r="AA153" s="72">
        <f t="shared" ref="AA153" si="418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17"/>
        <v>1538</v>
      </c>
      <c r="BJ153" s="75">
        <f t="shared" ref="BJ153:BL153" si="419">SUM(BJ148:BJ152)</f>
        <v>-309</v>
      </c>
      <c r="BK153" s="75">
        <f t="shared" si="419"/>
        <v>-131</v>
      </c>
      <c r="BL153" s="75">
        <f t="shared" si="419"/>
        <v>2154</v>
      </c>
      <c r="BM153" s="75">
        <f t="shared" ref="BM153:BN153" si="420">SUM(BM148:BM152)</f>
        <v>1034</v>
      </c>
      <c r="BN153" s="75">
        <f t="shared" si="420"/>
        <v>-130</v>
      </c>
      <c r="BO153" s="75">
        <f t="shared" ref="BO153:BP153" si="421">SUM(BO148:BO152)</f>
        <v>2360</v>
      </c>
      <c r="BP153" s="75">
        <f t="shared" si="421"/>
        <v>-851</v>
      </c>
      <c r="BQ153" s="75">
        <f t="shared" ref="BQ153:BR153" si="422">SUM(BQ148:BQ152)</f>
        <v>2408</v>
      </c>
      <c r="BR153" s="75">
        <f t="shared" si="422"/>
        <v>-146</v>
      </c>
      <c r="BS153" s="75">
        <f t="shared" ref="BS153:BT153" si="423">SUM(BS148:BS152)</f>
        <v>-1023</v>
      </c>
      <c r="BT153" s="75">
        <f t="shared" si="423"/>
        <v>-755</v>
      </c>
      <c r="BU153" s="75">
        <f t="shared" ref="BU153:BV153" si="424">SUM(BU148:BU152)</f>
        <v>1004</v>
      </c>
      <c r="BV153" s="75">
        <f t="shared" si="424"/>
        <v>564</v>
      </c>
      <c r="BW153" s="75">
        <f t="shared" ref="BW153:BX153" si="425">SUM(BW148:BW152)</f>
        <v>94</v>
      </c>
      <c r="BX153" s="75">
        <f t="shared" si="425"/>
        <v>-384</v>
      </c>
      <c r="BY153" s="75">
        <f t="shared" ref="BY153:BZ153" si="426">SUM(BY148:BY152)</f>
        <v>-162</v>
      </c>
      <c r="BZ153" s="75">
        <f t="shared" si="426"/>
        <v>933</v>
      </c>
      <c r="CA153" s="265">
        <f t="shared" ref="CA153:CB153" si="427">SUM(CA148:CA152)</f>
        <v>-1305</v>
      </c>
      <c r="CB153" s="265">
        <f t="shared" si="427"/>
        <v>987</v>
      </c>
      <c r="CC153" s="265">
        <f t="shared" ref="CC153:CE153" si="428">SUM(CC148:CC152)</f>
        <v>-843</v>
      </c>
      <c r="CD153" s="265">
        <f t="shared" si="428"/>
        <v>1955</v>
      </c>
      <c r="CE153" s="328">
        <f t="shared" si="428"/>
        <v>-306</v>
      </c>
      <c r="CF153" s="328">
        <f t="shared" ref="CF153:CG153" si="429">SUM(CF148:CF152)</f>
        <v>238</v>
      </c>
      <c r="CG153" s="328">
        <f t="shared" si="429"/>
        <v>-261</v>
      </c>
      <c r="CH153" s="328">
        <f t="shared" ref="CH153:CI153" si="430">SUM(CH148:CH152)</f>
        <v>313</v>
      </c>
      <c r="CI153" s="328">
        <f t="shared" si="430"/>
        <v>4</v>
      </c>
      <c r="CJ153" s="328">
        <f t="shared" ref="CJ153" si="431">SUM(CJ148:CJ152)</f>
        <v>-781</v>
      </c>
      <c r="CK153" s="328">
        <f t="shared" ref="CK153" si="432">SUM(CK148:CK152)</f>
        <v>-886</v>
      </c>
      <c r="CL153" s="328">
        <f t="shared" ref="CL153" si="433">SUM(CL148:CL152)</f>
        <v>892</v>
      </c>
      <c r="CM153" s="328">
        <f t="shared" ref="CM153" si="434">SUM(CM148:CM152)</f>
        <v>-95</v>
      </c>
      <c r="CN153" s="328">
        <f t="shared" ref="CN153" si="435">SUM(CN148:CN152)</f>
        <v>-718</v>
      </c>
      <c r="CO153" s="328">
        <f t="shared" ref="CO153" si="436">SUM(CO148:CO152)</f>
        <v>-12708</v>
      </c>
      <c r="CP153" s="367">
        <f t="shared" ref="CP153" si="437">SUM(CP148:CP152)</f>
        <v>-10702</v>
      </c>
      <c r="CQ153" s="367">
        <f t="shared" ref="CQ153:CS153" si="438">SUM(CQ148:CQ152)</f>
        <v>-12020</v>
      </c>
      <c r="CR153" s="367">
        <f t="shared" ref="CR153" si="439">SUM(CR148:CR152)</f>
        <v>-11820</v>
      </c>
      <c r="CS153" s="367"/>
      <c r="CT153" s="349"/>
      <c r="CU153" s="74">
        <f t="shared" ref="CU153:CU160" si="440">SUM(CU148:CU152)</f>
        <v>15635</v>
      </c>
      <c r="CV153" s="40"/>
      <c r="CW153" s="40"/>
      <c r="CX153" s="40"/>
    </row>
    <row r="154" spans="1:102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50"/>
      <c r="CU154" s="98"/>
    </row>
    <row r="155" spans="1:102" s="40" customFormat="1" x14ac:dyDescent="0.3">
      <c r="A155" s="150"/>
      <c r="B155" s="41" t="s">
        <v>37</v>
      </c>
      <c r="C155" s="100">
        <f t="shared" ref="C155:O155" si="441">C130-C141</f>
        <v>-10855.629999999888</v>
      </c>
      <c r="D155" s="101">
        <f t="shared" si="441"/>
        <v>-162230.8899999999</v>
      </c>
      <c r="E155" s="101">
        <f t="shared" si="441"/>
        <v>18449.320000000065</v>
      </c>
      <c r="F155" s="37">
        <f t="shared" si="441"/>
        <v>-130593.39000000013</v>
      </c>
      <c r="G155" s="101">
        <f t="shared" si="441"/>
        <v>501463.33000000007</v>
      </c>
      <c r="H155" s="101">
        <f t="shared" si="441"/>
        <v>114479.81000000006</v>
      </c>
      <c r="I155" s="101">
        <f t="shared" si="441"/>
        <v>-179095.68999999994</v>
      </c>
      <c r="J155" s="101">
        <f t="shared" si="441"/>
        <v>-211101.23999999976</v>
      </c>
      <c r="K155" s="101">
        <f t="shared" si="441"/>
        <v>-432908.44000000018</v>
      </c>
      <c r="L155" s="102">
        <f t="shared" si="441"/>
        <v>331441.0299999998</v>
      </c>
      <c r="M155" s="101">
        <f t="shared" si="441"/>
        <v>196765.12999999989</v>
      </c>
      <c r="N155" s="101">
        <f t="shared" si="441"/>
        <v>-138530</v>
      </c>
      <c r="O155" s="101">
        <f t="shared" si="441"/>
        <v>53632.670000000158</v>
      </c>
      <c r="P155" s="101">
        <f t="shared" ref="P155:R155" si="442">P130-P141</f>
        <v>152236.64999999991</v>
      </c>
      <c r="Q155" s="101">
        <f t="shared" si="442"/>
        <v>-29776.35999999987</v>
      </c>
      <c r="R155" s="101">
        <f t="shared" si="442"/>
        <v>161560.24</v>
      </c>
      <c r="S155" s="101">
        <f t="shared" ref="S155:T155" si="443">S130-S141</f>
        <v>383983.36999999965</v>
      </c>
      <c r="T155" s="101">
        <f t="shared" si="443"/>
        <v>1284411.2699999996</v>
      </c>
      <c r="U155" s="101">
        <f t="shared" ref="U155:V155" si="444">U130-U141</f>
        <v>-525459.81000000006</v>
      </c>
      <c r="V155" s="101">
        <f t="shared" si="444"/>
        <v>-633445</v>
      </c>
      <c r="W155" s="101">
        <f t="shared" ref="W155:AA155" si="445">W130-W141</f>
        <v>-525459.81000000006</v>
      </c>
      <c r="X155" s="102">
        <f t="shared" si="445"/>
        <v>331966.9600000002</v>
      </c>
      <c r="Y155" s="101">
        <f t="shared" si="445"/>
        <v>-42879</v>
      </c>
      <c r="Z155" s="101">
        <v>151277</v>
      </c>
      <c r="AA155" s="101">
        <f t="shared" si="445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46">O155-C155</f>
        <v>64488.300000000047</v>
      </c>
      <c r="BJ155" s="103">
        <f t="shared" si="446"/>
        <v>314467.5399999998</v>
      </c>
      <c r="BK155" s="103">
        <f t="shared" si="446"/>
        <v>-48225.679999999935</v>
      </c>
      <c r="BL155" s="103">
        <f t="shared" si="446"/>
        <v>292153.63000000012</v>
      </c>
      <c r="BM155" s="103">
        <f t="shared" si="446"/>
        <v>-117479.96000000043</v>
      </c>
      <c r="BN155" s="103">
        <f t="shared" si="446"/>
        <v>1169931.4599999995</v>
      </c>
      <c r="BO155" s="103">
        <f t="shared" si="446"/>
        <v>-346364.12000000011</v>
      </c>
      <c r="BP155" s="103">
        <f t="shared" si="446"/>
        <v>-422343.76000000024</v>
      </c>
      <c r="BQ155" s="103">
        <f t="shared" si="446"/>
        <v>-92551.369999999879</v>
      </c>
      <c r="BR155" s="103">
        <f t="shared" si="446"/>
        <v>525.93000000040047</v>
      </c>
      <c r="BS155" s="103">
        <f t="shared" ref="BS155:CB159" si="447">Y155-M155</f>
        <v>-239644.12999999989</v>
      </c>
      <c r="BT155" s="103">
        <f t="shared" si="447"/>
        <v>289807</v>
      </c>
      <c r="BU155" s="103">
        <f t="shared" si="447"/>
        <v>-216639.6100000001</v>
      </c>
      <c r="BV155" s="103">
        <f t="shared" si="447"/>
        <v>-247189.45999999996</v>
      </c>
      <c r="BW155" s="103">
        <f t="shared" si="447"/>
        <v>-9506.1000000000931</v>
      </c>
      <c r="BX155" s="103">
        <f t="shared" si="447"/>
        <v>44310.690000000177</v>
      </c>
      <c r="BY155" s="103">
        <f t="shared" si="447"/>
        <v>116202.63000000035</v>
      </c>
      <c r="BZ155" s="103">
        <f t="shared" si="447"/>
        <v>-1209304.5999999996</v>
      </c>
      <c r="CA155" s="277">
        <f t="shared" si="447"/>
        <v>805647.81</v>
      </c>
      <c r="CB155" s="277">
        <f t="shared" si="447"/>
        <v>-193789</v>
      </c>
      <c r="CC155" s="277">
        <f t="shared" ref="CC155:CL159" si="448">AI155-W155</f>
        <v>95724.810000000056</v>
      </c>
      <c r="CD155" s="277">
        <f t="shared" si="448"/>
        <v>21586.039999999804</v>
      </c>
      <c r="CE155" s="312">
        <f t="shared" si="448"/>
        <v>321303</v>
      </c>
      <c r="CF155" s="312">
        <f t="shared" si="448"/>
        <v>-88008</v>
      </c>
      <c r="CG155" s="312">
        <f t="shared" si="448"/>
        <v>-452384.06000000006</v>
      </c>
      <c r="CH155" s="312">
        <f t="shared" si="448"/>
        <v>39637.810000000056</v>
      </c>
      <c r="CI155" s="312">
        <f t="shared" si="448"/>
        <v>-74433.540000000037</v>
      </c>
      <c r="CJ155" s="312">
        <f t="shared" si="448"/>
        <v>417292.06999999983</v>
      </c>
      <c r="CK155" s="312">
        <f t="shared" si="448"/>
        <v>-585917</v>
      </c>
      <c r="CL155" s="312">
        <f t="shared" si="448"/>
        <v>1076708.33</v>
      </c>
      <c r="CM155" s="312">
        <f t="shared" ref="CM155:CR159" si="449">AS155-AG155</f>
        <v>-753229</v>
      </c>
      <c r="CN155" s="312">
        <f t="shared" si="449"/>
        <v>-264143</v>
      </c>
      <c r="CO155" s="312">
        <f t="shared" si="449"/>
        <v>822822</v>
      </c>
      <c r="CP155" s="312">
        <f t="shared" si="449"/>
        <v>-292635</v>
      </c>
      <c r="CQ155" s="312">
        <f t="shared" si="449"/>
        <v>33397</v>
      </c>
      <c r="CR155" s="312">
        <f t="shared" si="449"/>
        <v>684691</v>
      </c>
      <c r="CS155" s="312"/>
      <c r="CT155" s="350"/>
      <c r="CU155" s="37">
        <f>'MONTHLY SUMMARIES'!F115</f>
        <v>171860</v>
      </c>
    </row>
    <row r="156" spans="1:102" s="40" customFormat="1" x14ac:dyDescent="0.3">
      <c r="A156" s="150"/>
      <c r="B156" s="41" t="s">
        <v>38</v>
      </c>
      <c r="C156" s="100">
        <f t="shared" ref="C156:O156" si="450">C133-C142</f>
        <v>-267.79000000000087</v>
      </c>
      <c r="D156" s="101">
        <f t="shared" si="450"/>
        <v>-1732.58</v>
      </c>
      <c r="E156" s="101">
        <f t="shared" si="450"/>
        <v>-3802.3099999999977</v>
      </c>
      <c r="F156" s="37">
        <f t="shared" si="450"/>
        <v>-2823.6299999999992</v>
      </c>
      <c r="G156" s="101">
        <f t="shared" si="450"/>
        <v>222.75</v>
      </c>
      <c r="H156" s="101">
        <f t="shared" si="450"/>
        <v>1481.3400000000001</v>
      </c>
      <c r="I156" s="101">
        <f t="shared" si="450"/>
        <v>372.54000000000087</v>
      </c>
      <c r="J156" s="101">
        <f t="shared" si="450"/>
        <v>-1492.3199999999997</v>
      </c>
      <c r="K156" s="101">
        <f t="shared" si="450"/>
        <v>999.36000000000058</v>
      </c>
      <c r="L156" s="102">
        <f t="shared" si="450"/>
        <v>4380.3799999999992</v>
      </c>
      <c r="M156" s="101">
        <f t="shared" si="450"/>
        <v>-756.75</v>
      </c>
      <c r="N156" s="101">
        <f t="shared" si="450"/>
        <v>1355.5999999999985</v>
      </c>
      <c r="O156" s="101">
        <f t="shared" si="450"/>
        <v>5523.8599999999988</v>
      </c>
      <c r="P156" s="101">
        <f t="shared" ref="P156:R156" si="451">P133-P142</f>
        <v>1016.7400000000016</v>
      </c>
      <c r="Q156" s="101">
        <f t="shared" si="451"/>
        <v>-1283.5200000000004</v>
      </c>
      <c r="R156" s="101">
        <f t="shared" si="451"/>
        <v>-1650.67</v>
      </c>
      <c r="S156" s="101">
        <f t="shared" ref="S156:T156" si="452">S133-S142</f>
        <v>479.79999999999927</v>
      </c>
      <c r="T156" s="101">
        <f t="shared" si="452"/>
        <v>2010.1100000000006</v>
      </c>
      <c r="U156" s="101">
        <f t="shared" ref="U156:V156" si="453">U133-U142</f>
        <v>472.32999999999811</v>
      </c>
      <c r="V156" s="101">
        <f t="shared" si="453"/>
        <v>-2352</v>
      </c>
      <c r="W156" s="101">
        <f t="shared" ref="W156:AA156" si="454">W133-W142</f>
        <v>472.32999999999811</v>
      </c>
      <c r="X156" s="102">
        <f t="shared" si="454"/>
        <v>1493.3100000000013</v>
      </c>
      <c r="Y156" s="101">
        <f t="shared" si="454"/>
        <v>2610</v>
      </c>
      <c r="Z156" s="101">
        <v>16485</v>
      </c>
      <c r="AA156" s="101">
        <f t="shared" si="454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46"/>
        <v>5791.65</v>
      </c>
      <c r="BJ156" s="103">
        <f t="shared" si="446"/>
        <v>2749.3200000000015</v>
      </c>
      <c r="BK156" s="103">
        <f t="shared" si="446"/>
        <v>2518.7899999999972</v>
      </c>
      <c r="BL156" s="103">
        <f t="shared" si="446"/>
        <v>1172.9599999999991</v>
      </c>
      <c r="BM156" s="103">
        <f t="shared" si="446"/>
        <v>257.04999999999927</v>
      </c>
      <c r="BN156" s="103">
        <f t="shared" si="446"/>
        <v>528.77000000000044</v>
      </c>
      <c r="BO156" s="103">
        <f t="shared" si="446"/>
        <v>99.789999999997235</v>
      </c>
      <c r="BP156" s="103">
        <f t="shared" si="446"/>
        <v>-859.68000000000029</v>
      </c>
      <c r="BQ156" s="103">
        <f t="shared" si="446"/>
        <v>-527.03000000000247</v>
      </c>
      <c r="BR156" s="103">
        <f t="shared" si="446"/>
        <v>-2887.0699999999979</v>
      </c>
      <c r="BS156" s="103">
        <f t="shared" si="447"/>
        <v>3366.75</v>
      </c>
      <c r="BT156" s="103">
        <f t="shared" si="447"/>
        <v>15129.400000000001</v>
      </c>
      <c r="BU156" s="103">
        <f t="shared" si="447"/>
        <v>-10361.530000000001</v>
      </c>
      <c r="BV156" s="103">
        <f t="shared" si="447"/>
        <v>214238.64</v>
      </c>
      <c r="BW156" s="103">
        <f t="shared" si="447"/>
        <v>1282.010000000002</v>
      </c>
      <c r="BX156" s="103">
        <f t="shared" si="447"/>
        <v>382.43999999999687</v>
      </c>
      <c r="BY156" s="103">
        <f t="shared" si="447"/>
        <v>1836.2000000000007</v>
      </c>
      <c r="BZ156" s="103">
        <f t="shared" si="447"/>
        <v>-6291.5</v>
      </c>
      <c r="CA156" s="277">
        <f t="shared" si="447"/>
        <v>-3863.3299999999981</v>
      </c>
      <c r="CB156" s="277">
        <f t="shared" si="447"/>
        <v>1448</v>
      </c>
      <c r="CC156" s="277">
        <f t="shared" si="448"/>
        <v>-31444.329999999998</v>
      </c>
      <c r="CD156" s="277">
        <f t="shared" si="448"/>
        <v>2245.6899999999987</v>
      </c>
      <c r="CE156" s="312">
        <f t="shared" si="448"/>
        <v>1508</v>
      </c>
      <c r="CF156" s="312">
        <f t="shared" si="448"/>
        <v>-10308</v>
      </c>
      <c r="CG156" s="312">
        <f t="shared" si="448"/>
        <v>7835.6700000000019</v>
      </c>
      <c r="CH156" s="312">
        <f t="shared" si="448"/>
        <v>-214350.38</v>
      </c>
      <c r="CI156" s="312">
        <f t="shared" si="448"/>
        <v>-3355.4900000000016</v>
      </c>
      <c r="CJ156" s="312">
        <f t="shared" si="448"/>
        <v>-4212.7699999999968</v>
      </c>
      <c r="CK156" s="312">
        <f t="shared" si="448"/>
        <v>-4684</v>
      </c>
      <c r="CL156" s="312">
        <f t="shared" si="448"/>
        <v>4990.3899999999994</v>
      </c>
      <c r="CM156" s="312">
        <f t="shared" si="449"/>
        <v>-2107</v>
      </c>
      <c r="CN156" s="312">
        <f t="shared" si="449"/>
        <v>-1630</v>
      </c>
      <c r="CO156" s="312">
        <f t="shared" si="449"/>
        <v>32883</v>
      </c>
      <c r="CP156" s="312">
        <f t="shared" si="449"/>
        <v>138</v>
      </c>
      <c r="CQ156" s="312">
        <f t="shared" si="449"/>
        <v>2730</v>
      </c>
      <c r="CR156" s="312">
        <f t="shared" si="449"/>
        <v>-287</v>
      </c>
      <c r="CS156" s="312"/>
      <c r="CT156" s="350"/>
      <c r="CU156" s="37">
        <f>'MONTHLY SUMMARIES'!F116</f>
        <v>-1548</v>
      </c>
    </row>
    <row r="157" spans="1:102" s="40" customFormat="1" x14ac:dyDescent="0.3">
      <c r="A157" s="150"/>
      <c r="B157" s="41" t="s">
        <v>39</v>
      </c>
      <c r="C157" s="100">
        <f t="shared" ref="C157:O157" si="455">C136-C143</f>
        <v>52837.010000000009</v>
      </c>
      <c r="D157" s="101">
        <f t="shared" si="455"/>
        <v>-24195.72000000003</v>
      </c>
      <c r="E157" s="101">
        <f t="shared" si="455"/>
        <v>99032.239999999991</v>
      </c>
      <c r="F157" s="37">
        <f t="shared" si="455"/>
        <v>-59013.340000000026</v>
      </c>
      <c r="G157" s="101">
        <f t="shared" si="455"/>
        <v>13101.049999999988</v>
      </c>
      <c r="H157" s="101">
        <f t="shared" si="455"/>
        <v>123294.87</v>
      </c>
      <c r="I157" s="101">
        <f t="shared" si="455"/>
        <v>73704.849999999977</v>
      </c>
      <c r="J157" s="101">
        <f t="shared" si="455"/>
        <v>154205.41999999993</v>
      </c>
      <c r="K157" s="101">
        <f t="shared" si="455"/>
        <v>-202834.04000000004</v>
      </c>
      <c r="L157" s="102">
        <f t="shared" si="455"/>
        <v>122672.44</v>
      </c>
      <c r="M157" s="101">
        <f t="shared" si="455"/>
        <v>54615.460000000021</v>
      </c>
      <c r="N157" s="101">
        <f t="shared" si="455"/>
        <v>-42891.630000000005</v>
      </c>
      <c r="O157" s="101">
        <f t="shared" si="455"/>
        <v>69423.090000000026</v>
      </c>
      <c r="P157" s="101">
        <f t="shared" ref="P157:R157" si="456">P136-P143</f>
        <v>57973</v>
      </c>
      <c r="Q157" s="101">
        <f t="shared" si="456"/>
        <v>20888</v>
      </c>
      <c r="R157" s="101">
        <f t="shared" si="456"/>
        <v>-20791.659999999974</v>
      </c>
      <c r="S157" s="101">
        <f t="shared" ref="S157:T157" si="457">S136-S143</f>
        <v>1384.210000000021</v>
      </c>
      <c r="T157" s="101">
        <f t="shared" si="457"/>
        <v>332314.46999999997</v>
      </c>
      <c r="U157" s="101">
        <f t="shared" ref="U157:V157" si="458">U136-U143</f>
        <v>48441.710000000079</v>
      </c>
      <c r="V157" s="101">
        <f t="shared" si="458"/>
        <v>-43443</v>
      </c>
      <c r="W157" s="101">
        <f t="shared" ref="W157:AA157" si="459">W136-W143</f>
        <v>48441.710000000079</v>
      </c>
      <c r="X157" s="102">
        <f t="shared" si="459"/>
        <v>114265.98000000004</v>
      </c>
      <c r="Y157" s="101">
        <f t="shared" si="459"/>
        <v>-15702</v>
      </c>
      <c r="Z157" s="101">
        <v>34448</v>
      </c>
      <c r="AA157" s="101">
        <f t="shared" si="459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46"/>
        <v>16586.080000000016</v>
      </c>
      <c r="BJ157" s="103">
        <f t="shared" si="446"/>
        <v>82168.72000000003</v>
      </c>
      <c r="BK157" s="103">
        <f t="shared" si="446"/>
        <v>-78144.239999999991</v>
      </c>
      <c r="BL157" s="103">
        <f t="shared" si="446"/>
        <v>38221.680000000051</v>
      </c>
      <c r="BM157" s="103">
        <f t="shared" si="446"/>
        <v>-11716.839999999967</v>
      </c>
      <c r="BN157" s="103">
        <f t="shared" si="446"/>
        <v>209019.59999999998</v>
      </c>
      <c r="BO157" s="103">
        <f t="shared" si="446"/>
        <v>-25263.139999999898</v>
      </c>
      <c r="BP157" s="103">
        <f t="shared" si="446"/>
        <v>-197648.41999999993</v>
      </c>
      <c r="BQ157" s="103">
        <f t="shared" si="446"/>
        <v>251275.75000000012</v>
      </c>
      <c r="BR157" s="103">
        <f t="shared" si="446"/>
        <v>-8406.4599999999627</v>
      </c>
      <c r="BS157" s="103">
        <f t="shared" si="447"/>
        <v>-70317.460000000021</v>
      </c>
      <c r="BT157" s="103">
        <f t="shared" si="447"/>
        <v>77339.63</v>
      </c>
      <c r="BU157" s="103">
        <f t="shared" si="447"/>
        <v>-102957.17000000004</v>
      </c>
      <c r="BV157" s="103">
        <f t="shared" si="447"/>
        <v>-474887.67</v>
      </c>
      <c r="BW157" s="103">
        <f t="shared" si="447"/>
        <v>2873.1699999999837</v>
      </c>
      <c r="BX157" s="103">
        <f t="shared" si="447"/>
        <v>38560.81</v>
      </c>
      <c r="BY157" s="103">
        <f t="shared" si="447"/>
        <v>80475.789999999979</v>
      </c>
      <c r="BZ157" s="103">
        <f t="shared" si="447"/>
        <v>-206775.21999999997</v>
      </c>
      <c r="CA157" s="277">
        <f t="shared" si="447"/>
        <v>160571.28999999992</v>
      </c>
      <c r="CB157" s="277">
        <f t="shared" si="447"/>
        <v>-20068</v>
      </c>
      <c r="CC157" s="277">
        <f t="shared" si="448"/>
        <v>-80098.710000000079</v>
      </c>
      <c r="CD157" s="277">
        <f t="shared" si="448"/>
        <v>-62964.98000000004</v>
      </c>
      <c r="CE157" s="312">
        <f t="shared" si="448"/>
        <v>94984</v>
      </c>
      <c r="CF157" s="312">
        <f t="shared" si="448"/>
        <v>71246</v>
      </c>
      <c r="CG157" s="312">
        <f t="shared" si="448"/>
        <v>-132424.91999999998</v>
      </c>
      <c r="CH157" s="312">
        <f t="shared" si="448"/>
        <v>420004.67</v>
      </c>
      <c r="CI157" s="312">
        <f t="shared" si="448"/>
        <v>1186.8300000000163</v>
      </c>
      <c r="CJ157" s="312">
        <f t="shared" si="448"/>
        <v>195465.84999999998</v>
      </c>
      <c r="CK157" s="312">
        <f t="shared" si="448"/>
        <v>-176922</v>
      </c>
      <c r="CL157" s="312">
        <f t="shared" si="448"/>
        <v>123546.75</v>
      </c>
      <c r="CM157" s="312">
        <f t="shared" si="449"/>
        <v>-283597</v>
      </c>
      <c r="CN157" s="312">
        <f t="shared" si="449"/>
        <v>-189295</v>
      </c>
      <c r="CO157" s="312">
        <f t="shared" si="449"/>
        <v>223875</v>
      </c>
      <c r="CP157" s="312">
        <f t="shared" si="449"/>
        <v>95040</v>
      </c>
      <c r="CQ157" s="312">
        <f t="shared" si="449"/>
        <v>105184</v>
      </c>
      <c r="CR157" s="312">
        <f t="shared" si="449"/>
        <v>232470</v>
      </c>
      <c r="CS157" s="312"/>
      <c r="CT157" s="350"/>
      <c r="CU157" s="37">
        <f>'MONTHLY SUMMARIES'!F117</f>
        <v>131143</v>
      </c>
    </row>
    <row r="158" spans="1:102" s="40" customFormat="1" x14ac:dyDescent="0.3">
      <c r="A158" s="150"/>
      <c r="B158" s="41" t="s">
        <v>40</v>
      </c>
      <c r="C158" s="100">
        <f t="shared" ref="C158:O158" si="460">C137-C144</f>
        <v>108352.18</v>
      </c>
      <c r="D158" s="101">
        <f t="shared" si="460"/>
        <v>29723.750000000029</v>
      </c>
      <c r="E158" s="101">
        <f t="shared" si="460"/>
        <v>134202.32999999999</v>
      </c>
      <c r="F158" s="37">
        <f t="shared" si="460"/>
        <v>-35182.669999999984</v>
      </c>
      <c r="G158" s="101">
        <f t="shared" si="460"/>
        <v>85764.94</v>
      </c>
      <c r="H158" s="101">
        <f t="shared" si="460"/>
        <v>126109.63</v>
      </c>
      <c r="I158" s="101">
        <f t="shared" si="460"/>
        <v>185691.3</v>
      </c>
      <c r="J158" s="101">
        <f t="shared" si="460"/>
        <v>200152.61</v>
      </c>
      <c r="K158" s="101">
        <f t="shared" si="460"/>
        <v>-117237.50999999998</v>
      </c>
      <c r="L158" s="102">
        <f t="shared" si="460"/>
        <v>141514.90000000002</v>
      </c>
      <c r="M158" s="101">
        <f t="shared" si="460"/>
        <v>104437.54000000004</v>
      </c>
      <c r="N158" s="101">
        <f t="shared" si="460"/>
        <v>-61410.44</v>
      </c>
      <c r="O158" s="101">
        <f t="shared" si="460"/>
        <v>87957.75</v>
      </c>
      <c r="P158" s="101">
        <f t="shared" ref="P158:R158" si="461">P137-P144</f>
        <v>136728.06000000003</v>
      </c>
      <c r="Q158" s="101">
        <f t="shared" si="461"/>
        <v>36472.500000000029</v>
      </c>
      <c r="R158" s="101">
        <f t="shared" si="461"/>
        <v>-3177.8399999999965</v>
      </c>
      <c r="S158" s="101">
        <f t="shared" ref="S158:T158" si="462">S137-S144</f>
        <v>73541.010000000009</v>
      </c>
      <c r="T158" s="101">
        <f t="shared" si="462"/>
        <v>397859.59</v>
      </c>
      <c r="U158" s="101">
        <f t="shared" ref="U158:V158" si="463">U137-U144</f>
        <v>14055.900000000023</v>
      </c>
      <c r="V158" s="101">
        <f t="shared" si="463"/>
        <v>162405</v>
      </c>
      <c r="W158" s="101">
        <f t="shared" ref="W158:AA158" si="464">W137-W144</f>
        <v>14055.900000000023</v>
      </c>
      <c r="X158" s="102">
        <f t="shared" si="464"/>
        <v>129969.74000000002</v>
      </c>
      <c r="Y158" s="101">
        <f t="shared" si="464"/>
        <v>-90106</v>
      </c>
      <c r="Z158" s="101">
        <v>46667</v>
      </c>
      <c r="AA158" s="101">
        <f t="shared" si="464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46"/>
        <v>-20394.429999999993</v>
      </c>
      <c r="BJ158" s="103">
        <f t="shared" si="446"/>
        <v>107004.31</v>
      </c>
      <c r="BK158" s="103">
        <f t="shared" si="446"/>
        <v>-97729.829999999958</v>
      </c>
      <c r="BL158" s="103">
        <f t="shared" si="446"/>
        <v>32004.829999999987</v>
      </c>
      <c r="BM158" s="103">
        <f t="shared" si="446"/>
        <v>-12223.929999999993</v>
      </c>
      <c r="BN158" s="103">
        <f t="shared" si="446"/>
        <v>271749.96000000002</v>
      </c>
      <c r="BO158" s="103">
        <f t="shared" si="446"/>
        <v>-171635.39999999997</v>
      </c>
      <c r="BP158" s="103">
        <f t="shared" si="446"/>
        <v>-37747.609999999986</v>
      </c>
      <c r="BQ158" s="103">
        <f t="shared" si="446"/>
        <v>131293.41</v>
      </c>
      <c r="BR158" s="103">
        <f t="shared" si="446"/>
        <v>-11545.160000000003</v>
      </c>
      <c r="BS158" s="103">
        <f t="shared" si="447"/>
        <v>-194543.54000000004</v>
      </c>
      <c r="BT158" s="103">
        <f t="shared" si="447"/>
        <v>108077.44</v>
      </c>
      <c r="BU158" s="103">
        <f t="shared" si="447"/>
        <v>-63469.790000000008</v>
      </c>
      <c r="BV158" s="103">
        <f t="shared" si="447"/>
        <v>-350459.94000000006</v>
      </c>
      <c r="BW158" s="103">
        <f t="shared" si="447"/>
        <v>135961.90999999997</v>
      </c>
      <c r="BX158" s="103">
        <f t="shared" si="447"/>
        <v>41096.47</v>
      </c>
      <c r="BY158" s="103">
        <f t="shared" si="447"/>
        <v>25697.989999999991</v>
      </c>
      <c r="BZ158" s="103">
        <f t="shared" si="447"/>
        <v>-173713.31</v>
      </c>
      <c r="CA158" s="277">
        <f t="shared" si="447"/>
        <v>307186.09999999998</v>
      </c>
      <c r="CB158" s="277">
        <f t="shared" si="447"/>
        <v>-97493</v>
      </c>
      <c r="CC158" s="277">
        <f t="shared" si="448"/>
        <v>58974.099999999977</v>
      </c>
      <c r="CD158" s="277">
        <f t="shared" si="448"/>
        <v>131872.25999999998</v>
      </c>
      <c r="CE158" s="312">
        <f t="shared" si="448"/>
        <v>126504</v>
      </c>
      <c r="CF158" s="312">
        <f t="shared" si="448"/>
        <v>-75775</v>
      </c>
      <c r="CG158" s="312">
        <f t="shared" si="448"/>
        <v>-69414.959999999992</v>
      </c>
      <c r="CH158" s="312">
        <f t="shared" si="448"/>
        <v>259121.88</v>
      </c>
      <c r="CI158" s="312">
        <f t="shared" si="448"/>
        <v>-62974.41</v>
      </c>
      <c r="CJ158" s="312">
        <f t="shared" si="448"/>
        <v>112650.37</v>
      </c>
      <c r="CK158" s="312">
        <f t="shared" si="448"/>
        <v>-67275</v>
      </c>
      <c r="CL158" s="312">
        <f t="shared" si="448"/>
        <v>169521.71999999997</v>
      </c>
      <c r="CM158" s="312">
        <f t="shared" si="449"/>
        <v>-90649</v>
      </c>
      <c r="CN158" s="312">
        <f t="shared" si="449"/>
        <v>-57518</v>
      </c>
      <c r="CO158" s="312">
        <f t="shared" si="449"/>
        <v>84594</v>
      </c>
      <c r="CP158" s="312">
        <f t="shared" si="449"/>
        <v>-219526</v>
      </c>
      <c r="CQ158" s="312">
        <f t="shared" si="449"/>
        <v>108001</v>
      </c>
      <c r="CR158" s="312">
        <f t="shared" si="449"/>
        <v>215929</v>
      </c>
      <c r="CS158" s="312"/>
      <c r="CT158" s="350"/>
      <c r="CU158" s="37">
        <f>'MONTHLY SUMMARIES'!F118</f>
        <v>128995</v>
      </c>
    </row>
    <row r="159" spans="1:102" s="40" customFormat="1" x14ac:dyDescent="0.3">
      <c r="A159" s="150"/>
      <c r="B159" s="41" t="s">
        <v>41</v>
      </c>
      <c r="C159" s="100">
        <f t="shared" ref="C159:O159" si="465">C138-C145</f>
        <v>1361.1499999999942</v>
      </c>
      <c r="D159" s="101">
        <f t="shared" si="465"/>
        <v>40403.479999999981</v>
      </c>
      <c r="E159" s="101">
        <f t="shared" si="465"/>
        <v>56773.860000000015</v>
      </c>
      <c r="F159" s="37">
        <f t="shared" si="465"/>
        <v>92886.849999999977</v>
      </c>
      <c r="G159" s="101">
        <f t="shared" si="465"/>
        <v>109562.45000000001</v>
      </c>
      <c r="H159" s="101">
        <f t="shared" si="465"/>
        <v>19120.859999999986</v>
      </c>
      <c r="I159" s="101">
        <f t="shared" si="465"/>
        <v>80385.69</v>
      </c>
      <c r="J159" s="101">
        <f t="shared" si="465"/>
        <v>99141.309999999969</v>
      </c>
      <c r="K159" s="101">
        <f t="shared" si="465"/>
        <v>23413.820000000007</v>
      </c>
      <c r="L159" s="102">
        <f t="shared" si="465"/>
        <v>34783.819999999978</v>
      </c>
      <c r="M159" s="101">
        <f t="shared" si="465"/>
        <v>53100.640000000014</v>
      </c>
      <c r="N159" s="101">
        <f t="shared" si="465"/>
        <v>223986.75</v>
      </c>
      <c r="O159" s="101">
        <f t="shared" si="465"/>
        <v>-91256.25</v>
      </c>
      <c r="P159" s="101">
        <f t="shared" ref="P159:R159" si="466">P138-P145</f>
        <v>204608.57</v>
      </c>
      <c r="Q159" s="101">
        <f t="shared" si="466"/>
        <v>217217.99</v>
      </c>
      <c r="R159" s="101">
        <f t="shared" si="466"/>
        <v>141338.03000000003</v>
      </c>
      <c r="S159" s="101">
        <f t="shared" ref="S159:T159" si="467">S138-S145</f>
        <v>15180.229999999981</v>
      </c>
      <c r="T159" s="101">
        <f t="shared" si="467"/>
        <v>121569.63999999998</v>
      </c>
      <c r="U159" s="101">
        <f t="shared" ref="U159:V159" si="468">U138-U145</f>
        <v>61306.040000000037</v>
      </c>
      <c r="V159" s="101">
        <f t="shared" si="468"/>
        <v>78540</v>
      </c>
      <c r="W159" s="101">
        <f t="shared" ref="W159:AA159" si="469">W138-W145</f>
        <v>61306.040000000037</v>
      </c>
      <c r="X159" s="102">
        <f t="shared" si="469"/>
        <v>97615.88</v>
      </c>
      <c r="Y159" s="101">
        <f t="shared" si="469"/>
        <v>-28622</v>
      </c>
      <c r="Z159" s="101">
        <v>193700</v>
      </c>
      <c r="AA159" s="101">
        <f t="shared" si="469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46"/>
        <v>-92617.4</v>
      </c>
      <c r="BJ159" s="103">
        <f t="shared" si="446"/>
        <v>164205.09000000003</v>
      </c>
      <c r="BK159" s="103">
        <f t="shared" si="446"/>
        <v>160444.12999999998</v>
      </c>
      <c r="BL159" s="103">
        <f t="shared" si="446"/>
        <v>48451.180000000051</v>
      </c>
      <c r="BM159" s="103">
        <f t="shared" si="446"/>
        <v>-94382.22000000003</v>
      </c>
      <c r="BN159" s="103">
        <f t="shared" si="446"/>
        <v>102448.78</v>
      </c>
      <c r="BO159" s="103">
        <f t="shared" si="446"/>
        <v>-19079.649999999965</v>
      </c>
      <c r="BP159" s="103">
        <f t="shared" si="446"/>
        <v>-20601.309999999969</v>
      </c>
      <c r="BQ159" s="103">
        <f t="shared" si="446"/>
        <v>37892.22000000003</v>
      </c>
      <c r="BR159" s="103">
        <f t="shared" si="446"/>
        <v>62832.060000000027</v>
      </c>
      <c r="BS159" s="103">
        <f t="shared" si="447"/>
        <v>-81722.640000000014</v>
      </c>
      <c r="BT159" s="103">
        <f t="shared" si="447"/>
        <v>-30286.75</v>
      </c>
      <c r="BU159" s="103">
        <f t="shared" si="447"/>
        <v>120138.67000000001</v>
      </c>
      <c r="BV159" s="103">
        <f t="shared" si="447"/>
        <v>-398320.35</v>
      </c>
      <c r="BW159" s="103">
        <f t="shared" si="447"/>
        <v>-109672.66999999998</v>
      </c>
      <c r="BX159" s="103">
        <f t="shared" si="447"/>
        <v>-157750.75000000003</v>
      </c>
      <c r="BY159" s="103">
        <f t="shared" si="447"/>
        <v>273428.77</v>
      </c>
      <c r="BZ159" s="103">
        <f t="shared" si="447"/>
        <v>-79142.109999999957</v>
      </c>
      <c r="CA159" s="277">
        <f t="shared" si="447"/>
        <v>-101022.04000000004</v>
      </c>
      <c r="CB159" s="277">
        <f t="shared" si="447"/>
        <v>67080</v>
      </c>
      <c r="CC159" s="277">
        <f t="shared" si="448"/>
        <v>-94694.040000000037</v>
      </c>
      <c r="CD159" s="277">
        <f t="shared" si="448"/>
        <v>54984.119999999995</v>
      </c>
      <c r="CE159" s="312">
        <f t="shared" si="448"/>
        <v>245339</v>
      </c>
      <c r="CF159" s="312">
        <f t="shared" si="448"/>
        <v>-265861</v>
      </c>
      <c r="CG159" s="312">
        <f t="shared" si="448"/>
        <v>234835.58</v>
      </c>
      <c r="CH159" s="312">
        <f t="shared" si="448"/>
        <v>248884.78</v>
      </c>
      <c r="CI159" s="312">
        <f t="shared" si="448"/>
        <v>-188236.32</v>
      </c>
      <c r="CJ159" s="312">
        <f t="shared" si="448"/>
        <v>41800.720000000001</v>
      </c>
      <c r="CK159" s="312">
        <f t="shared" si="448"/>
        <v>-207449</v>
      </c>
      <c r="CL159" s="312">
        <f t="shared" si="448"/>
        <v>34369.469999999972</v>
      </c>
      <c r="CM159" s="312">
        <f t="shared" si="449"/>
        <v>123334</v>
      </c>
      <c r="CN159" s="312">
        <f t="shared" si="449"/>
        <v>176471</v>
      </c>
      <c r="CO159" s="312">
        <f t="shared" si="449"/>
        <v>15056</v>
      </c>
      <c r="CP159" s="312">
        <f t="shared" si="449"/>
        <v>-267564</v>
      </c>
      <c r="CQ159" s="312">
        <f t="shared" si="449"/>
        <v>4494912</v>
      </c>
      <c r="CR159" s="312">
        <f t="shared" si="449"/>
        <v>24656</v>
      </c>
      <c r="CS159" s="312"/>
      <c r="CT159" s="350"/>
      <c r="CU159" s="37">
        <f>'MONTHLY SUMMARIES'!F119</f>
        <v>27130</v>
      </c>
    </row>
    <row r="160" spans="1:102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470">SUM(D155:D159)</f>
        <v>-118031.9599999999</v>
      </c>
      <c r="E160" s="131">
        <f t="shared" si="470"/>
        <v>304655.44000000006</v>
      </c>
      <c r="F160" s="38">
        <f t="shared" si="470"/>
        <v>-134726.18000000017</v>
      </c>
      <c r="G160" s="131">
        <f t="shared" si="470"/>
        <v>710114.52</v>
      </c>
      <c r="H160" s="131">
        <f t="shared" si="470"/>
        <v>384486.51</v>
      </c>
      <c r="I160" s="131">
        <f t="shared" si="470"/>
        <v>161058.69000000003</v>
      </c>
      <c r="J160" s="131">
        <f t="shared" si="470"/>
        <v>240905.78000000012</v>
      </c>
      <c r="K160" s="131">
        <f t="shared" si="470"/>
        <v>-728566.81000000029</v>
      </c>
      <c r="L160" s="132">
        <f t="shared" si="470"/>
        <v>634792.56999999972</v>
      </c>
      <c r="M160" s="131">
        <f t="shared" si="470"/>
        <v>408162.01999999996</v>
      </c>
      <c r="N160" s="131">
        <f t="shared" si="470"/>
        <v>-17489.72</v>
      </c>
      <c r="O160" s="131">
        <f t="shared" si="470"/>
        <v>125281.12000000017</v>
      </c>
      <c r="P160" s="131">
        <f t="shared" ref="P160:R160" si="471">SUM(P155:P159)</f>
        <v>552563.02</v>
      </c>
      <c r="Q160" s="131">
        <f t="shared" si="471"/>
        <v>243518.61000000016</v>
      </c>
      <c r="R160" s="131">
        <f t="shared" si="471"/>
        <v>277278.10000000003</v>
      </c>
      <c r="S160" s="131">
        <f t="shared" ref="S160:T160" si="472">SUM(S155:S159)</f>
        <v>474568.61999999965</v>
      </c>
      <c r="T160" s="131">
        <f t="shared" si="472"/>
        <v>2138165.0799999996</v>
      </c>
      <c r="U160" s="131">
        <f t="shared" ref="U160:V160" si="473">SUM(U155:U159)</f>
        <v>-401183.82999999996</v>
      </c>
      <c r="V160" s="131">
        <f t="shared" si="473"/>
        <v>-438295</v>
      </c>
      <c r="W160" s="131">
        <f t="shared" ref="W160:AA160" si="474">SUM(W155:W159)</f>
        <v>-401183.82999999996</v>
      </c>
      <c r="X160" s="132">
        <f t="shared" si="474"/>
        <v>675311.87000000023</v>
      </c>
      <c r="Y160" s="131">
        <f t="shared" si="474"/>
        <v>-174699</v>
      </c>
      <c r="Z160" s="131">
        <v>442577</v>
      </c>
      <c r="AA160" s="131">
        <f t="shared" si="474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17"/>
        <v>-26145.79999999993</v>
      </c>
      <c r="BJ160" s="133">
        <f t="shared" ref="BJ160:BL160" si="475">SUM(BJ155:BJ159)</f>
        <v>670594.97999999986</v>
      </c>
      <c r="BK160" s="133">
        <f t="shared" si="475"/>
        <v>-61136.829999999929</v>
      </c>
      <c r="BL160" s="133">
        <f t="shared" si="475"/>
        <v>412004.28000000026</v>
      </c>
      <c r="BM160" s="133">
        <f t="shared" ref="BM160:BN160" si="476">SUM(BM155:BM159)</f>
        <v>-235545.90000000043</v>
      </c>
      <c r="BN160" s="133">
        <f t="shared" si="476"/>
        <v>1753678.5699999996</v>
      </c>
      <c r="BO160" s="133">
        <f t="shared" ref="BO160:BP160" si="477">SUM(BO155:BO159)</f>
        <v>-562242.52</v>
      </c>
      <c r="BP160" s="133">
        <f t="shared" si="477"/>
        <v>-679200.78</v>
      </c>
      <c r="BQ160" s="133">
        <f t="shared" ref="BQ160:BR160" si="478">SUM(BQ155:BQ159)</f>
        <v>327382.98000000027</v>
      </c>
      <c r="BR160" s="133">
        <f t="shared" si="478"/>
        <v>40519.300000000461</v>
      </c>
      <c r="BS160" s="133">
        <f t="shared" ref="BS160:BT160" si="479">SUM(BS155:BS159)</f>
        <v>-582861.02</v>
      </c>
      <c r="BT160" s="133">
        <f t="shared" si="479"/>
        <v>460066.72000000003</v>
      </c>
      <c r="BU160" s="133">
        <f t="shared" ref="BU160:BV160" si="480">SUM(BU155:BU159)</f>
        <v>-273289.43000000017</v>
      </c>
      <c r="BV160" s="133">
        <f t="shared" si="480"/>
        <v>-1256618.7799999998</v>
      </c>
      <c r="BW160" s="133">
        <f t="shared" ref="BW160:BX160" si="481">SUM(BW155:BW159)</f>
        <v>20938.319999999891</v>
      </c>
      <c r="BX160" s="133">
        <f t="shared" si="481"/>
        <v>-33400.339999999851</v>
      </c>
      <c r="BY160" s="133">
        <f t="shared" ref="BY160:BZ160" si="482">SUM(BY155:BY159)</f>
        <v>497641.38000000035</v>
      </c>
      <c r="BZ160" s="133">
        <f t="shared" si="482"/>
        <v>-1675226.7399999995</v>
      </c>
      <c r="CA160" s="274">
        <f t="shared" ref="CA160:CB160" si="483">SUM(CA155:CA159)</f>
        <v>1168519.83</v>
      </c>
      <c r="CB160" s="274">
        <f t="shared" si="483"/>
        <v>-242822</v>
      </c>
      <c r="CC160" s="274">
        <f t="shared" ref="CC160:CE160" si="484">SUM(CC155:CC159)</f>
        <v>-51538.170000000086</v>
      </c>
      <c r="CD160" s="274">
        <f t="shared" si="484"/>
        <v>147723.12999999974</v>
      </c>
      <c r="CE160" s="326">
        <f t="shared" si="484"/>
        <v>789638</v>
      </c>
      <c r="CF160" s="326">
        <f t="shared" ref="CF160:CG160" si="485">SUM(CF155:CF159)</f>
        <v>-368706</v>
      </c>
      <c r="CG160" s="326">
        <f t="shared" si="485"/>
        <v>-411552.69000000006</v>
      </c>
      <c r="CH160" s="326">
        <f t="shared" ref="CH160:CI160" si="486">SUM(CH155:CH159)</f>
        <v>753298.76</v>
      </c>
      <c r="CI160" s="326">
        <f t="shared" si="486"/>
        <v>-327812.93000000005</v>
      </c>
      <c r="CJ160" s="326">
        <f t="shared" ref="CJ160" si="487">SUM(CJ155:CJ159)</f>
        <v>762996.23999999976</v>
      </c>
      <c r="CK160" s="326">
        <f t="shared" ref="CK160" si="488">SUM(CK155:CK159)</f>
        <v>-1042247</v>
      </c>
      <c r="CL160" s="326">
        <f t="shared" ref="CL160" si="489">SUM(CL155:CL159)</f>
        <v>1409136.66</v>
      </c>
      <c r="CM160" s="326">
        <f t="shared" ref="CM160" si="490">SUM(CM155:CM159)</f>
        <v>-1006248</v>
      </c>
      <c r="CN160" s="326">
        <f t="shared" ref="CN160" si="491">SUM(CN155:CN159)</f>
        <v>-336115</v>
      </c>
      <c r="CO160" s="326">
        <f t="shared" ref="CO160" si="492">SUM(CO155:CO159)</f>
        <v>1179230</v>
      </c>
      <c r="CP160" s="366">
        <f t="shared" ref="CP160" si="493">SUM(CP155:CP159)</f>
        <v>-684547</v>
      </c>
      <c r="CQ160" s="366">
        <f t="shared" ref="CQ160:CS160" si="494">SUM(CQ155:CQ159)</f>
        <v>4744224</v>
      </c>
      <c r="CR160" s="366">
        <f t="shared" ref="CR160" si="495">SUM(CR155:CR159)</f>
        <v>1157459</v>
      </c>
      <c r="CS160" s="366"/>
      <c r="CT160" s="351"/>
      <c r="CU160" s="38">
        <f t="shared" si="440"/>
        <v>457580</v>
      </c>
    </row>
    <row r="161" spans="1:9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48"/>
      <c r="CU161" s="81"/>
    </row>
    <row r="162" spans="1:99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R162" si="496">O162-C162</f>
        <v>-2</v>
      </c>
      <c r="BJ162" s="111">
        <f t="shared" si="496"/>
        <v>-2</v>
      </c>
      <c r="BK162" s="111">
        <f t="shared" si="496"/>
        <v>-3</v>
      </c>
      <c r="BL162" s="111">
        <f t="shared" si="496"/>
        <v>-4</v>
      </c>
      <c r="BM162" s="111">
        <f t="shared" si="496"/>
        <v>-2</v>
      </c>
      <c r="BN162" s="111">
        <f t="shared" si="496"/>
        <v>-2</v>
      </c>
      <c r="BO162" s="111">
        <f t="shared" si="496"/>
        <v>-2</v>
      </c>
      <c r="BP162" s="111">
        <f t="shared" si="496"/>
        <v>0</v>
      </c>
      <c r="BQ162" s="111">
        <f t="shared" si="496"/>
        <v>-2</v>
      </c>
      <c r="BR162" s="111">
        <f t="shared" si="496"/>
        <v>-3</v>
      </c>
      <c r="BS162" s="111">
        <f t="shared" si="496"/>
        <v>-3</v>
      </c>
      <c r="BT162" s="111">
        <f t="shared" si="496"/>
        <v>-1</v>
      </c>
      <c r="BU162" s="111">
        <f t="shared" si="496"/>
        <v>-2</v>
      </c>
      <c r="BV162" s="111">
        <f t="shared" si="496"/>
        <v>-2</v>
      </c>
      <c r="BW162" s="111">
        <f t="shared" si="496"/>
        <v>-1</v>
      </c>
      <c r="BX162" s="111">
        <f t="shared" si="496"/>
        <v>-1</v>
      </c>
      <c r="BY162" s="111">
        <f t="shared" si="496"/>
        <v>0</v>
      </c>
      <c r="BZ162" s="111">
        <f t="shared" si="496"/>
        <v>1</v>
      </c>
      <c r="CA162" s="280">
        <f t="shared" si="496"/>
        <v>2</v>
      </c>
      <c r="CB162" s="280">
        <f t="shared" si="496"/>
        <v>1</v>
      </c>
      <c r="CC162" s="280">
        <f t="shared" si="496"/>
        <v>3</v>
      </c>
      <c r="CD162" s="280">
        <f t="shared" si="496"/>
        <v>5</v>
      </c>
      <c r="CE162" s="309">
        <f t="shared" si="496"/>
        <v>4</v>
      </c>
      <c r="CF162" s="309">
        <f t="shared" si="496"/>
        <v>6</v>
      </c>
      <c r="CG162" s="309">
        <f t="shared" si="496"/>
        <v>4</v>
      </c>
      <c r="CH162" s="309">
        <f t="shared" si="496"/>
        <v>4</v>
      </c>
      <c r="CI162" s="309">
        <f t="shared" si="496"/>
        <v>5</v>
      </c>
      <c r="CJ162" s="309">
        <f t="shared" si="496"/>
        <v>1</v>
      </c>
      <c r="CK162" s="309">
        <f t="shared" si="496"/>
        <v>4</v>
      </c>
      <c r="CL162" s="309">
        <f t="shared" si="496"/>
        <v>6</v>
      </c>
      <c r="CM162" s="309">
        <f t="shared" si="496"/>
        <v>3</v>
      </c>
      <c r="CN162" s="309">
        <f t="shared" si="496"/>
        <v>3</v>
      </c>
      <c r="CO162" s="309">
        <f t="shared" si="496"/>
        <v>3</v>
      </c>
      <c r="CP162" s="309">
        <f t="shared" si="496"/>
        <v>2</v>
      </c>
      <c r="CQ162" s="309">
        <f t="shared" si="496"/>
        <v>3</v>
      </c>
      <c r="CR162" s="309">
        <f t="shared" si="496"/>
        <v>-1</v>
      </c>
      <c r="CS162" s="309"/>
      <c r="CT162" s="348"/>
      <c r="CU162" s="36">
        <f>'MONTHLY SUMMARIES'!F122</f>
        <v>6</v>
      </c>
    </row>
    <row r="163" spans="1:99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48"/>
      <c r="CU163" s="67">
        <f>GETPIVOTDATA("VALUE",'CSS ESCO pvt'!$I$3,"DATE_FILE",$CU$8,"COMPANY",$CU$6,"TRIM_CAT","Residential-GRID","TRIM_LINE",$A161)</f>
        <v>1</v>
      </c>
    </row>
    <row r="164" spans="1:99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48"/>
      <c r="CU164" s="81">
        <f>CU162-CU163</f>
        <v>5</v>
      </c>
    </row>
    <row r="165" spans="1:99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R165" si="497">O165-C165</f>
        <v>2</v>
      </c>
      <c r="BJ165" s="111">
        <f t="shared" si="497"/>
        <v>3</v>
      </c>
      <c r="BK165" s="111">
        <f t="shared" si="497"/>
        <v>1</v>
      </c>
      <c r="BL165" s="111">
        <f t="shared" si="497"/>
        <v>2</v>
      </c>
      <c r="BM165" s="111">
        <f t="shared" si="497"/>
        <v>3</v>
      </c>
      <c r="BN165" s="111">
        <f t="shared" si="497"/>
        <v>2</v>
      </c>
      <c r="BO165" s="111">
        <f t="shared" si="497"/>
        <v>2</v>
      </c>
      <c r="BP165" s="111">
        <f t="shared" si="497"/>
        <v>3</v>
      </c>
      <c r="BQ165" s="111">
        <f t="shared" si="497"/>
        <v>4</v>
      </c>
      <c r="BR165" s="111">
        <f t="shared" si="497"/>
        <v>6</v>
      </c>
      <c r="BS165" s="111">
        <f t="shared" si="497"/>
        <v>8</v>
      </c>
      <c r="BT165" s="111">
        <f t="shared" si="497"/>
        <v>8</v>
      </c>
      <c r="BU165" s="111">
        <f t="shared" si="497"/>
        <v>9</v>
      </c>
      <c r="BV165" s="111">
        <f t="shared" si="497"/>
        <v>22</v>
      </c>
      <c r="BW165" s="111">
        <f t="shared" si="497"/>
        <v>26</v>
      </c>
      <c r="BX165" s="111">
        <f t="shared" si="497"/>
        <v>23</v>
      </c>
      <c r="BY165" s="111">
        <f t="shared" si="497"/>
        <v>19</v>
      </c>
      <c r="BZ165" s="111">
        <f t="shared" si="497"/>
        <v>17</v>
      </c>
      <c r="CA165" s="280">
        <f t="shared" si="497"/>
        <v>18</v>
      </c>
      <c r="CB165" s="280">
        <f t="shared" si="497"/>
        <v>15</v>
      </c>
      <c r="CC165" s="280">
        <f t="shared" si="497"/>
        <v>13</v>
      </c>
      <c r="CD165" s="280">
        <f t="shared" si="497"/>
        <v>11</v>
      </c>
      <c r="CE165" s="309">
        <f t="shared" si="497"/>
        <v>8</v>
      </c>
      <c r="CF165" s="309">
        <f t="shared" si="497"/>
        <v>4</v>
      </c>
      <c r="CG165" s="309">
        <f t="shared" si="497"/>
        <v>3</v>
      </c>
      <c r="CH165" s="309">
        <f t="shared" si="497"/>
        <v>-14</v>
      </c>
      <c r="CI165" s="309">
        <f t="shared" si="497"/>
        <v>-12</v>
      </c>
      <c r="CJ165" s="309">
        <f t="shared" si="497"/>
        <v>-10</v>
      </c>
      <c r="CK165" s="309">
        <f t="shared" si="497"/>
        <v>-11</v>
      </c>
      <c r="CL165" s="309">
        <f t="shared" si="497"/>
        <v>-12</v>
      </c>
      <c r="CM165" s="309">
        <f t="shared" si="497"/>
        <v>-16</v>
      </c>
      <c r="CN165" s="309">
        <f t="shared" si="497"/>
        <v>-14</v>
      </c>
      <c r="CO165" s="309">
        <f t="shared" si="497"/>
        <v>-13</v>
      </c>
      <c r="CP165" s="309">
        <f t="shared" si="497"/>
        <v>-14</v>
      </c>
      <c r="CQ165" s="309">
        <f t="shared" si="497"/>
        <v>-13</v>
      </c>
      <c r="CR165" s="309">
        <f t="shared" si="497"/>
        <v>-7</v>
      </c>
      <c r="CS165" s="309"/>
      <c r="CT165" s="348"/>
      <c r="CU165" s="36">
        <f>'MONTHLY SUMMARIES'!F123</f>
        <v>11</v>
      </c>
    </row>
    <row r="166" spans="1:99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48"/>
      <c r="CU166" s="67">
        <f>GETPIVOTDATA("VALUE",'CSS ESCO pvt'!$I$3,"DATE_FILE",$CU$8,"COMPANY",$CU$6,"TRIM_CAT","Low Income Residential-GRID","TRIM_LINE",$A161)</f>
        <v>1</v>
      </c>
    </row>
    <row r="167" spans="1:99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48"/>
      <c r="CU167" s="81">
        <f>CU165-CU166</f>
        <v>10</v>
      </c>
    </row>
    <row r="168" spans="1:9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498">O168-C168</f>
        <v>0</v>
      </c>
      <c r="BJ168" s="111">
        <f t="shared" si="498"/>
        <v>0</v>
      </c>
      <c r="BK168" s="111">
        <f t="shared" si="498"/>
        <v>0</v>
      </c>
      <c r="BL168" s="111">
        <f t="shared" si="498"/>
        <v>0</v>
      </c>
      <c r="BM168" s="111">
        <f t="shared" si="498"/>
        <v>0</v>
      </c>
      <c r="BN168" s="111">
        <f t="shared" si="498"/>
        <v>0</v>
      </c>
      <c r="BO168" s="111">
        <f t="shared" si="498"/>
        <v>0</v>
      </c>
      <c r="BP168" s="111">
        <f t="shared" si="498"/>
        <v>0</v>
      </c>
      <c r="BQ168" s="111">
        <f t="shared" si="498"/>
        <v>0</v>
      </c>
      <c r="BR168" s="111">
        <f t="shared" si="498"/>
        <v>0</v>
      </c>
      <c r="BS168" s="111">
        <f t="shared" ref="BS168:CB170" si="499">Y168-M168</f>
        <v>0</v>
      </c>
      <c r="BT168" s="111">
        <f t="shared" si="499"/>
        <v>0</v>
      </c>
      <c r="BU168" s="111">
        <f t="shared" si="499"/>
        <v>0</v>
      </c>
      <c r="BV168" s="111">
        <f t="shared" si="499"/>
        <v>0</v>
      </c>
      <c r="BW168" s="111">
        <f t="shared" si="499"/>
        <v>0</v>
      </c>
      <c r="BX168" s="111">
        <f t="shared" si="499"/>
        <v>0</v>
      </c>
      <c r="BY168" s="111">
        <f t="shared" si="499"/>
        <v>0</v>
      </c>
      <c r="BZ168" s="111">
        <f t="shared" si="499"/>
        <v>0</v>
      </c>
      <c r="CA168" s="280">
        <f t="shared" si="499"/>
        <v>0</v>
      </c>
      <c r="CB168" s="280">
        <f t="shared" si="499"/>
        <v>0</v>
      </c>
      <c r="CC168" s="280">
        <f t="shared" ref="CC168:CL170" si="500">AI168-W168</f>
        <v>0</v>
      </c>
      <c r="CD168" s="280">
        <f t="shared" si="500"/>
        <v>0</v>
      </c>
      <c r="CE168" s="309">
        <f t="shared" si="500"/>
        <v>0</v>
      </c>
      <c r="CF168" s="309">
        <f t="shared" si="500"/>
        <v>0</v>
      </c>
      <c r="CG168" s="309">
        <f t="shared" si="500"/>
        <v>0</v>
      </c>
      <c r="CH168" s="309">
        <f t="shared" si="500"/>
        <v>0</v>
      </c>
      <c r="CI168" s="309">
        <f t="shared" si="500"/>
        <v>0</v>
      </c>
      <c r="CJ168" s="309">
        <f t="shared" si="500"/>
        <v>0</v>
      </c>
      <c r="CK168" s="309">
        <f t="shared" si="500"/>
        <v>0</v>
      </c>
      <c r="CL168" s="309">
        <f t="shared" si="500"/>
        <v>0</v>
      </c>
      <c r="CM168" s="309">
        <f t="shared" ref="CM168:CR170" si="501">AS168-AG168</f>
        <v>0</v>
      </c>
      <c r="CN168" s="309">
        <f t="shared" si="501"/>
        <v>0</v>
      </c>
      <c r="CO168" s="309">
        <f t="shared" si="501"/>
        <v>0</v>
      </c>
      <c r="CP168" s="309">
        <f t="shared" si="501"/>
        <v>0</v>
      </c>
      <c r="CQ168" s="309">
        <f t="shared" si="501"/>
        <v>0</v>
      </c>
      <c r="CR168" s="309">
        <f t="shared" si="501"/>
        <v>0</v>
      </c>
      <c r="CS168" s="309"/>
      <c r="CT168" s="348"/>
      <c r="CU168" s="36">
        <f>'MONTHLY SUMMARIES'!F124</f>
        <v>0</v>
      </c>
    </row>
    <row r="169" spans="1:9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498"/>
        <v>0</v>
      </c>
      <c r="BJ169" s="111">
        <f t="shared" si="498"/>
        <v>0</v>
      </c>
      <c r="BK169" s="111">
        <f t="shared" si="498"/>
        <v>0</v>
      </c>
      <c r="BL169" s="111">
        <f t="shared" si="498"/>
        <v>0</v>
      </c>
      <c r="BM169" s="111">
        <f t="shared" si="498"/>
        <v>0</v>
      </c>
      <c r="BN169" s="111">
        <f t="shared" si="498"/>
        <v>0</v>
      </c>
      <c r="BO169" s="111">
        <f t="shared" si="498"/>
        <v>0</v>
      </c>
      <c r="BP169" s="111">
        <f t="shared" si="498"/>
        <v>0</v>
      </c>
      <c r="BQ169" s="111">
        <f t="shared" si="498"/>
        <v>0</v>
      </c>
      <c r="BR169" s="111">
        <f t="shared" si="498"/>
        <v>0</v>
      </c>
      <c r="BS169" s="111">
        <f t="shared" si="499"/>
        <v>0</v>
      </c>
      <c r="BT169" s="111">
        <f t="shared" si="499"/>
        <v>0</v>
      </c>
      <c r="BU169" s="111">
        <f t="shared" si="499"/>
        <v>0</v>
      </c>
      <c r="BV169" s="111">
        <f t="shared" si="499"/>
        <v>0</v>
      </c>
      <c r="BW169" s="111">
        <f t="shared" si="499"/>
        <v>0</v>
      </c>
      <c r="BX169" s="111">
        <f t="shared" si="499"/>
        <v>0</v>
      </c>
      <c r="BY169" s="111">
        <f t="shared" si="499"/>
        <v>0</v>
      </c>
      <c r="BZ169" s="111">
        <f t="shared" si="499"/>
        <v>0</v>
      </c>
      <c r="CA169" s="280">
        <f t="shared" si="499"/>
        <v>0</v>
      </c>
      <c r="CB169" s="280">
        <f t="shared" si="499"/>
        <v>0</v>
      </c>
      <c r="CC169" s="280">
        <f t="shared" si="500"/>
        <v>0</v>
      </c>
      <c r="CD169" s="280">
        <f t="shared" si="500"/>
        <v>0</v>
      </c>
      <c r="CE169" s="309">
        <f t="shared" si="500"/>
        <v>0</v>
      </c>
      <c r="CF169" s="309">
        <f t="shared" si="500"/>
        <v>0</v>
      </c>
      <c r="CG169" s="309">
        <f t="shared" si="500"/>
        <v>0</v>
      </c>
      <c r="CH169" s="309">
        <f t="shared" si="500"/>
        <v>0</v>
      </c>
      <c r="CI169" s="309">
        <f t="shared" si="500"/>
        <v>0</v>
      </c>
      <c r="CJ169" s="309">
        <f t="shared" si="500"/>
        <v>0</v>
      </c>
      <c r="CK169" s="309">
        <f t="shared" si="500"/>
        <v>0</v>
      </c>
      <c r="CL169" s="309">
        <f t="shared" si="500"/>
        <v>0</v>
      </c>
      <c r="CM169" s="309">
        <f t="shared" si="501"/>
        <v>0</v>
      </c>
      <c r="CN169" s="309">
        <f t="shared" si="501"/>
        <v>0</v>
      </c>
      <c r="CO169" s="309">
        <f t="shared" si="501"/>
        <v>0</v>
      </c>
      <c r="CP169" s="309">
        <f t="shared" si="501"/>
        <v>0</v>
      </c>
      <c r="CQ169" s="309">
        <f t="shared" si="501"/>
        <v>0</v>
      </c>
      <c r="CR169" s="309">
        <f t="shared" si="501"/>
        <v>0</v>
      </c>
      <c r="CS169" s="309"/>
      <c r="CT169" s="348"/>
      <c r="CU169" s="36">
        <f>'MONTHLY SUMMARIES'!F125</f>
        <v>0</v>
      </c>
    </row>
    <row r="170" spans="1:9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498"/>
        <v>0</v>
      </c>
      <c r="BJ170" s="111">
        <f t="shared" si="498"/>
        <v>0</v>
      </c>
      <c r="BK170" s="111">
        <f t="shared" si="498"/>
        <v>0</v>
      </c>
      <c r="BL170" s="111">
        <f t="shared" si="498"/>
        <v>0</v>
      </c>
      <c r="BM170" s="111">
        <f t="shared" si="498"/>
        <v>0</v>
      </c>
      <c r="BN170" s="111">
        <f t="shared" si="498"/>
        <v>0</v>
      </c>
      <c r="BO170" s="111">
        <f t="shared" si="498"/>
        <v>0</v>
      </c>
      <c r="BP170" s="111">
        <f t="shared" si="498"/>
        <v>0</v>
      </c>
      <c r="BQ170" s="111">
        <f t="shared" si="498"/>
        <v>0</v>
      </c>
      <c r="BR170" s="111">
        <f t="shared" si="498"/>
        <v>0</v>
      </c>
      <c r="BS170" s="111">
        <f t="shared" si="499"/>
        <v>0</v>
      </c>
      <c r="BT170" s="111">
        <f t="shared" si="499"/>
        <v>0</v>
      </c>
      <c r="BU170" s="111">
        <f t="shared" si="499"/>
        <v>0</v>
      </c>
      <c r="BV170" s="111">
        <f t="shared" si="499"/>
        <v>0</v>
      </c>
      <c r="BW170" s="111">
        <f t="shared" si="499"/>
        <v>0</v>
      </c>
      <c r="BX170" s="111">
        <f t="shared" si="499"/>
        <v>0</v>
      </c>
      <c r="BY170" s="111">
        <f t="shared" si="499"/>
        <v>0</v>
      </c>
      <c r="BZ170" s="111">
        <f t="shared" si="499"/>
        <v>0</v>
      </c>
      <c r="CA170" s="280">
        <f t="shared" si="499"/>
        <v>0</v>
      </c>
      <c r="CB170" s="280">
        <f t="shared" si="499"/>
        <v>0</v>
      </c>
      <c r="CC170" s="280">
        <f t="shared" si="500"/>
        <v>0</v>
      </c>
      <c r="CD170" s="280">
        <f t="shared" si="500"/>
        <v>0</v>
      </c>
      <c r="CE170" s="309">
        <f t="shared" si="500"/>
        <v>0</v>
      </c>
      <c r="CF170" s="309">
        <f t="shared" si="500"/>
        <v>0</v>
      </c>
      <c r="CG170" s="309">
        <f t="shared" si="500"/>
        <v>0</v>
      </c>
      <c r="CH170" s="309">
        <f t="shared" si="500"/>
        <v>0</v>
      </c>
      <c r="CI170" s="309">
        <f t="shared" si="500"/>
        <v>0</v>
      </c>
      <c r="CJ170" s="309">
        <f t="shared" si="500"/>
        <v>0</v>
      </c>
      <c r="CK170" s="309">
        <f t="shared" si="500"/>
        <v>0</v>
      </c>
      <c r="CL170" s="309">
        <f t="shared" si="500"/>
        <v>0</v>
      </c>
      <c r="CM170" s="309">
        <f t="shared" si="501"/>
        <v>0</v>
      </c>
      <c r="CN170" s="309">
        <f t="shared" si="501"/>
        <v>0</v>
      </c>
      <c r="CO170" s="309">
        <f t="shared" si="501"/>
        <v>0</v>
      </c>
      <c r="CP170" s="309">
        <f t="shared" si="501"/>
        <v>0</v>
      </c>
      <c r="CQ170" s="309">
        <f t="shared" si="501"/>
        <v>0</v>
      </c>
      <c r="CR170" s="309">
        <f t="shared" si="501"/>
        <v>0</v>
      </c>
      <c r="CS170" s="309"/>
      <c r="CT170" s="348"/>
      <c r="CU170" s="36">
        <f>'MONTHLY SUMMARIES'!F126</f>
        <v>0</v>
      </c>
    </row>
    <row r="171" spans="1:99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02">SUM(D162:D170)</f>
        <v>7</v>
      </c>
      <c r="E171" s="126">
        <f t="shared" si="502"/>
        <v>7</v>
      </c>
      <c r="F171" s="127">
        <f t="shared" si="502"/>
        <v>9</v>
      </c>
      <c r="G171" s="126">
        <f t="shared" si="502"/>
        <v>7</v>
      </c>
      <c r="H171" s="127">
        <f t="shared" si="502"/>
        <v>8</v>
      </c>
      <c r="I171" s="126">
        <f t="shared" si="502"/>
        <v>9</v>
      </c>
      <c r="J171" s="127">
        <f t="shared" si="502"/>
        <v>8</v>
      </c>
      <c r="K171" s="126">
        <f t="shared" si="502"/>
        <v>9</v>
      </c>
      <c r="L171" s="128">
        <f t="shared" si="502"/>
        <v>9</v>
      </c>
      <c r="M171" s="127">
        <f t="shared" si="502"/>
        <v>9</v>
      </c>
      <c r="N171" s="127">
        <f t="shared" si="502"/>
        <v>8</v>
      </c>
      <c r="O171" s="127">
        <f t="shared" si="502"/>
        <v>8</v>
      </c>
      <c r="P171" s="127">
        <f t="shared" si="502"/>
        <v>8</v>
      </c>
      <c r="Q171" s="127">
        <f t="shared" si="502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0</v>
      </c>
      <c r="BJ171" s="129">
        <f t="shared" ref="BJ171:BL171" si="503">SUM(BJ162:BJ170)</f>
        <v>1</v>
      </c>
      <c r="BK171" s="129">
        <f t="shared" si="503"/>
        <v>-2</v>
      </c>
      <c r="BL171" s="129">
        <f t="shared" si="503"/>
        <v>-2</v>
      </c>
      <c r="BM171" s="129">
        <f t="shared" ref="BM171:BN171" si="504">SUM(BM162:BM170)</f>
        <v>1</v>
      </c>
      <c r="BN171" s="129">
        <f t="shared" si="504"/>
        <v>0</v>
      </c>
      <c r="BO171" s="129">
        <f t="shared" ref="BO171:BP171" si="505">SUM(BO162:BO170)</f>
        <v>0</v>
      </c>
      <c r="BP171" s="129">
        <f t="shared" si="505"/>
        <v>3</v>
      </c>
      <c r="BQ171" s="129">
        <f t="shared" ref="BQ171:BR171" si="506">SUM(BQ162:BQ170)</f>
        <v>2</v>
      </c>
      <c r="BR171" s="129">
        <f t="shared" si="506"/>
        <v>3</v>
      </c>
      <c r="BS171" s="129">
        <f t="shared" ref="BS171:BT171" si="507">SUM(BS162:BS170)</f>
        <v>5</v>
      </c>
      <c r="BT171" s="129">
        <f t="shared" si="507"/>
        <v>7</v>
      </c>
      <c r="BU171" s="129">
        <f t="shared" ref="BU171:BV171" si="508">SUM(BU162:BU170)</f>
        <v>7</v>
      </c>
      <c r="BV171" s="129">
        <f t="shared" si="508"/>
        <v>20</v>
      </c>
      <c r="BW171" s="129">
        <f t="shared" ref="BW171:BX171" si="509">SUM(BW162:BW170)</f>
        <v>25</v>
      </c>
      <c r="BX171" s="129">
        <f t="shared" si="509"/>
        <v>22</v>
      </c>
      <c r="BY171" s="129">
        <f t="shared" ref="BY171:BZ171" si="510">SUM(BY162:BY170)</f>
        <v>19</v>
      </c>
      <c r="BZ171" s="129">
        <f t="shared" si="510"/>
        <v>18</v>
      </c>
      <c r="CA171" s="281">
        <f t="shared" ref="CA171:CB171" si="511">SUM(CA162:CA170)</f>
        <v>20</v>
      </c>
      <c r="CB171" s="281">
        <f t="shared" si="511"/>
        <v>16</v>
      </c>
      <c r="CC171" s="281">
        <f t="shared" ref="CC171:CE171" si="512">SUM(CC162:CC170)</f>
        <v>16</v>
      </c>
      <c r="CD171" s="281">
        <f t="shared" si="512"/>
        <v>16</v>
      </c>
      <c r="CE171" s="310">
        <f t="shared" si="512"/>
        <v>12</v>
      </c>
      <c r="CF171" s="310">
        <f t="shared" ref="CF171:CG171" si="513">SUM(CF162:CF170)</f>
        <v>10</v>
      </c>
      <c r="CG171" s="310">
        <f t="shared" si="513"/>
        <v>7</v>
      </c>
      <c r="CH171" s="310">
        <f t="shared" ref="CH171:CI171" si="514">SUM(CH162:CH170)</f>
        <v>-10</v>
      </c>
      <c r="CI171" s="310">
        <f t="shared" si="514"/>
        <v>-7</v>
      </c>
      <c r="CJ171" s="310">
        <f t="shared" ref="CJ171" si="515">SUM(CJ162:CJ170)</f>
        <v>-9</v>
      </c>
      <c r="CK171" s="310">
        <f t="shared" ref="CK171" si="516">SUM(CK162:CK170)</f>
        <v>-7</v>
      </c>
      <c r="CL171" s="310">
        <f t="shared" ref="CL171" si="517">SUM(CL162:CL170)</f>
        <v>-6</v>
      </c>
      <c r="CM171" s="310">
        <f t="shared" ref="CM171" si="518">SUM(CM162:CM170)</f>
        <v>-13</v>
      </c>
      <c r="CN171" s="310">
        <f t="shared" ref="CN171" si="519">SUM(CN162:CN170)</f>
        <v>-11</v>
      </c>
      <c r="CO171" s="310">
        <f t="shared" ref="CO171" si="520">SUM(CO162:CO170)</f>
        <v>-10</v>
      </c>
      <c r="CP171" s="310">
        <f t="shared" ref="CP171" si="521">SUM(CP162:CP170)</f>
        <v>-12</v>
      </c>
      <c r="CQ171" s="310">
        <f t="shared" ref="CQ171:CS171" si="522">SUM(CQ162:CQ170)</f>
        <v>-10</v>
      </c>
      <c r="CR171" s="310">
        <f t="shared" ref="CR171" si="523">SUM(CR162:CR170)</f>
        <v>-8</v>
      </c>
      <c r="CS171" s="310"/>
      <c r="CT171" s="349"/>
      <c r="CU171" s="262">
        <f>CU162+CU165+CU168+CU169+CU170</f>
        <v>17</v>
      </c>
    </row>
    <row r="172" spans="1:9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48"/>
      <c r="CU172" s="93"/>
    </row>
    <row r="173" spans="1:99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R173" si="524">O173-C173</f>
        <v>0</v>
      </c>
      <c r="BJ173" s="112">
        <f t="shared" si="524"/>
        <v>-1</v>
      </c>
      <c r="BK173" s="112">
        <f t="shared" si="524"/>
        <v>-1</v>
      </c>
      <c r="BL173" s="112">
        <f t="shared" si="524"/>
        <v>-4</v>
      </c>
      <c r="BM173" s="112">
        <f t="shared" si="524"/>
        <v>0</v>
      </c>
      <c r="BN173" s="112">
        <f t="shared" si="524"/>
        <v>-6</v>
      </c>
      <c r="BO173" s="112">
        <f t="shared" si="524"/>
        <v>-6</v>
      </c>
      <c r="BP173" s="112">
        <f t="shared" si="524"/>
        <v>-1</v>
      </c>
      <c r="BQ173" s="112">
        <f t="shared" si="524"/>
        <v>0</v>
      </c>
      <c r="BR173" s="112">
        <f t="shared" si="524"/>
        <v>0</v>
      </c>
      <c r="BS173" s="112">
        <f t="shared" si="524"/>
        <v>0</v>
      </c>
      <c r="BT173" s="112">
        <f t="shared" si="524"/>
        <v>0</v>
      </c>
      <c r="BU173" s="112">
        <f t="shared" si="524"/>
        <v>0</v>
      </c>
      <c r="BV173" s="112">
        <f t="shared" si="524"/>
        <v>0</v>
      </c>
      <c r="BW173" s="112">
        <f t="shared" si="524"/>
        <v>0</v>
      </c>
      <c r="BX173" s="112">
        <f t="shared" si="524"/>
        <v>0</v>
      </c>
      <c r="BY173" s="112">
        <f t="shared" si="524"/>
        <v>0</v>
      </c>
      <c r="BZ173" s="112">
        <f t="shared" si="524"/>
        <v>10</v>
      </c>
      <c r="CA173" s="204">
        <f t="shared" si="524"/>
        <v>8</v>
      </c>
      <c r="CB173" s="204">
        <f t="shared" si="524"/>
        <v>3</v>
      </c>
      <c r="CC173" s="204">
        <f t="shared" si="524"/>
        <v>3</v>
      </c>
      <c r="CD173" s="204">
        <f t="shared" si="524"/>
        <v>3</v>
      </c>
      <c r="CE173" s="316">
        <f t="shared" si="524"/>
        <v>0</v>
      </c>
      <c r="CF173" s="316">
        <f t="shared" si="524"/>
        <v>0</v>
      </c>
      <c r="CG173" s="316">
        <f t="shared" si="524"/>
        <v>0</v>
      </c>
      <c r="CH173" s="316">
        <f t="shared" si="524"/>
        <v>9</v>
      </c>
      <c r="CI173" s="316">
        <f t="shared" si="524"/>
        <v>2</v>
      </c>
      <c r="CJ173" s="316">
        <f t="shared" si="524"/>
        <v>8</v>
      </c>
      <c r="CK173" s="316">
        <f t="shared" si="524"/>
        <v>4</v>
      </c>
      <c r="CL173" s="316">
        <f t="shared" si="524"/>
        <v>-10</v>
      </c>
      <c r="CM173" s="316">
        <f t="shared" si="524"/>
        <v>-8</v>
      </c>
      <c r="CN173" s="316">
        <f t="shared" si="524"/>
        <v>-3</v>
      </c>
      <c r="CO173" s="316">
        <f t="shared" si="524"/>
        <v>-3</v>
      </c>
      <c r="CP173" s="316">
        <f t="shared" si="524"/>
        <v>-3</v>
      </c>
      <c r="CQ173" s="316">
        <f t="shared" si="524"/>
        <v>0</v>
      </c>
      <c r="CR173" s="316">
        <f t="shared" si="524"/>
        <v>0</v>
      </c>
      <c r="CS173" s="316"/>
      <c r="CT173" s="348"/>
      <c r="CU173" s="36">
        <f>'MONTHLY SUMMARIES'!F129</f>
        <v>0</v>
      </c>
    </row>
    <row r="174" spans="1:99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48"/>
      <c r="CU174" s="67">
        <f>GETPIVOTDATA("VALUE",'CSS ESCO pvt'!$I$3,"DATE_FILE",$CU$8,"COMPANY",$CU$6,"TRIM_CAT","Residential-GRID","TRIM_LINE",$A172)</f>
        <v>0</v>
      </c>
    </row>
    <row r="175" spans="1:99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48"/>
      <c r="CU175" s="81">
        <f>CU173-CU174</f>
        <v>0</v>
      </c>
    </row>
    <row r="176" spans="1:99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R176" si="525">O176-C176</f>
        <v>0</v>
      </c>
      <c r="BJ176" s="112">
        <f t="shared" si="525"/>
        <v>0</v>
      </c>
      <c r="BK176" s="112">
        <f t="shared" si="525"/>
        <v>0</v>
      </c>
      <c r="BL176" s="112">
        <f t="shared" si="525"/>
        <v>0</v>
      </c>
      <c r="BM176" s="112">
        <f t="shared" si="525"/>
        <v>0</v>
      </c>
      <c r="BN176" s="112">
        <f t="shared" si="525"/>
        <v>0</v>
      </c>
      <c r="BO176" s="112">
        <f t="shared" si="525"/>
        <v>0</v>
      </c>
      <c r="BP176" s="112">
        <f t="shared" si="525"/>
        <v>0</v>
      </c>
      <c r="BQ176" s="112">
        <f t="shared" si="525"/>
        <v>0</v>
      </c>
      <c r="BR176" s="112">
        <f t="shared" si="525"/>
        <v>0</v>
      </c>
      <c r="BS176" s="112">
        <f t="shared" si="525"/>
        <v>0</v>
      </c>
      <c r="BT176" s="112">
        <f t="shared" si="525"/>
        <v>0</v>
      </c>
      <c r="BU176" s="112">
        <f t="shared" si="525"/>
        <v>0</v>
      </c>
      <c r="BV176" s="112">
        <f t="shared" si="525"/>
        <v>0</v>
      </c>
      <c r="BW176" s="112">
        <f t="shared" si="525"/>
        <v>0</v>
      </c>
      <c r="BX176" s="112">
        <f t="shared" si="525"/>
        <v>0</v>
      </c>
      <c r="BY176" s="112">
        <f t="shared" si="525"/>
        <v>0</v>
      </c>
      <c r="BZ176" s="112">
        <f t="shared" si="525"/>
        <v>1</v>
      </c>
      <c r="CA176" s="204">
        <f t="shared" si="525"/>
        <v>2</v>
      </c>
      <c r="CB176" s="204">
        <f t="shared" si="525"/>
        <v>0</v>
      </c>
      <c r="CC176" s="204">
        <f t="shared" si="525"/>
        <v>0</v>
      </c>
      <c r="CD176" s="204">
        <f t="shared" si="525"/>
        <v>0</v>
      </c>
      <c r="CE176" s="316">
        <f t="shared" si="525"/>
        <v>0</v>
      </c>
      <c r="CF176" s="316">
        <f t="shared" si="525"/>
        <v>0</v>
      </c>
      <c r="CG176" s="316">
        <f t="shared" si="525"/>
        <v>0</v>
      </c>
      <c r="CH176" s="316">
        <f t="shared" si="525"/>
        <v>0</v>
      </c>
      <c r="CI176" s="316">
        <f t="shared" si="525"/>
        <v>1</v>
      </c>
      <c r="CJ176" s="316">
        <f t="shared" si="525"/>
        <v>0</v>
      </c>
      <c r="CK176" s="316">
        <f t="shared" si="525"/>
        <v>0</v>
      </c>
      <c r="CL176" s="316">
        <f t="shared" si="525"/>
        <v>-1</v>
      </c>
      <c r="CM176" s="316">
        <f t="shared" si="525"/>
        <v>-2</v>
      </c>
      <c r="CN176" s="316">
        <f t="shared" si="525"/>
        <v>0</v>
      </c>
      <c r="CO176" s="316">
        <f t="shared" si="525"/>
        <v>0</v>
      </c>
      <c r="CP176" s="316">
        <f t="shared" si="525"/>
        <v>0</v>
      </c>
      <c r="CQ176" s="316">
        <f t="shared" si="525"/>
        <v>0</v>
      </c>
      <c r="CR176" s="316">
        <f t="shared" si="525"/>
        <v>0</v>
      </c>
      <c r="CS176" s="316"/>
      <c r="CT176" s="348"/>
      <c r="CU176" s="36">
        <f>'MONTHLY SUMMARIES'!F130</f>
        <v>0</v>
      </c>
    </row>
    <row r="177" spans="1:102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48"/>
      <c r="CU177" s="67">
        <f>GETPIVOTDATA("VALUE",'CSS ESCO pvt'!$I$3,"DATE_FILE",$CU$8,"COMPANY",$CU$6,"TRIM_CAT","Low Income Residential-GRID","TRIM_LINE",$A172)</f>
        <v>0</v>
      </c>
    </row>
    <row r="178" spans="1:102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48"/>
      <c r="CU178" s="81">
        <f>CU176-CU177</f>
        <v>0</v>
      </c>
    </row>
    <row r="179" spans="1:102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26">O179-C179</f>
        <v>-1</v>
      </c>
      <c r="BJ179" s="112">
        <f t="shared" si="526"/>
        <v>0</v>
      </c>
      <c r="BK179" s="112">
        <f t="shared" si="526"/>
        <v>0</v>
      </c>
      <c r="BL179" s="112">
        <f t="shared" si="526"/>
        <v>-1</v>
      </c>
      <c r="BM179" s="112">
        <f t="shared" si="526"/>
        <v>0</v>
      </c>
      <c r="BN179" s="112">
        <f t="shared" si="526"/>
        <v>0</v>
      </c>
      <c r="BO179" s="112">
        <f t="shared" si="526"/>
        <v>-2</v>
      </c>
      <c r="BP179" s="112">
        <f t="shared" si="526"/>
        <v>0</v>
      </c>
      <c r="BQ179" s="112">
        <f t="shared" si="526"/>
        <v>0</v>
      </c>
      <c r="BR179" s="112">
        <f t="shared" si="526"/>
        <v>0</v>
      </c>
      <c r="BS179" s="112">
        <f t="shared" ref="BS179:CB181" si="527">Y179-M179</f>
        <v>-1</v>
      </c>
      <c r="BT179" s="112">
        <f t="shared" si="527"/>
        <v>-2</v>
      </c>
      <c r="BU179" s="112">
        <f t="shared" si="527"/>
        <v>-1</v>
      </c>
      <c r="BV179" s="112">
        <f t="shared" si="527"/>
        <v>1</v>
      </c>
      <c r="BW179" s="112">
        <f t="shared" si="527"/>
        <v>1</v>
      </c>
      <c r="BX179" s="112">
        <f t="shared" si="527"/>
        <v>1</v>
      </c>
      <c r="BY179" s="112">
        <f t="shared" si="527"/>
        <v>0</v>
      </c>
      <c r="BZ179" s="112">
        <f t="shared" si="527"/>
        <v>1</v>
      </c>
      <c r="CA179" s="204">
        <f t="shared" si="527"/>
        <v>0</v>
      </c>
      <c r="CB179" s="204">
        <f t="shared" si="527"/>
        <v>1</v>
      </c>
      <c r="CC179" s="204">
        <f t="shared" ref="CC179:CL181" si="528">AI179-W179</f>
        <v>1</v>
      </c>
      <c r="CD179" s="204">
        <f t="shared" si="528"/>
        <v>1</v>
      </c>
      <c r="CE179" s="316">
        <f t="shared" si="528"/>
        <v>0</v>
      </c>
      <c r="CF179" s="316">
        <f t="shared" si="528"/>
        <v>0</v>
      </c>
      <c r="CG179" s="316">
        <f t="shared" si="528"/>
        <v>4</v>
      </c>
      <c r="CH179" s="316">
        <f t="shared" si="528"/>
        <v>1</v>
      </c>
      <c r="CI179" s="316">
        <f t="shared" si="528"/>
        <v>-1</v>
      </c>
      <c r="CJ179" s="316">
        <f t="shared" si="528"/>
        <v>0</v>
      </c>
      <c r="CK179" s="316">
        <f t="shared" si="528"/>
        <v>0</v>
      </c>
      <c r="CL179" s="316">
        <f t="shared" si="528"/>
        <v>-1</v>
      </c>
      <c r="CM179" s="316">
        <f t="shared" ref="CM179:CR181" si="529">AS179-AG179</f>
        <v>0</v>
      </c>
      <c r="CN179" s="316">
        <f t="shared" si="529"/>
        <v>-1</v>
      </c>
      <c r="CO179" s="316">
        <f t="shared" si="529"/>
        <v>-1</v>
      </c>
      <c r="CP179" s="316">
        <f t="shared" si="529"/>
        <v>1</v>
      </c>
      <c r="CQ179" s="316">
        <f t="shared" si="529"/>
        <v>0</v>
      </c>
      <c r="CR179" s="316">
        <f t="shared" si="529"/>
        <v>0</v>
      </c>
      <c r="CS179" s="316"/>
      <c r="CT179" s="348"/>
      <c r="CU179" s="36">
        <f>'MONTHLY SUMMARIES'!F131</f>
        <v>0</v>
      </c>
    </row>
    <row r="180" spans="1:102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26"/>
        <v>0</v>
      </c>
      <c r="BJ180" s="112">
        <f t="shared" si="526"/>
        <v>0</v>
      </c>
      <c r="BK180" s="112">
        <f t="shared" si="526"/>
        <v>0</v>
      </c>
      <c r="BL180" s="112">
        <f t="shared" si="526"/>
        <v>0</v>
      </c>
      <c r="BM180" s="112">
        <f t="shared" si="526"/>
        <v>0</v>
      </c>
      <c r="BN180" s="112">
        <f t="shared" si="526"/>
        <v>0</v>
      </c>
      <c r="BO180" s="112">
        <f t="shared" si="526"/>
        <v>0</v>
      </c>
      <c r="BP180" s="112">
        <f t="shared" si="526"/>
        <v>0</v>
      </c>
      <c r="BQ180" s="112">
        <f t="shared" si="526"/>
        <v>0</v>
      </c>
      <c r="BR180" s="112">
        <f t="shared" si="526"/>
        <v>0</v>
      </c>
      <c r="BS180" s="112">
        <f t="shared" si="527"/>
        <v>0</v>
      </c>
      <c r="BT180" s="112">
        <f t="shared" si="527"/>
        <v>0</v>
      </c>
      <c r="BU180" s="112">
        <f t="shared" si="527"/>
        <v>0</v>
      </c>
      <c r="BV180" s="112">
        <f t="shared" si="527"/>
        <v>0</v>
      </c>
      <c r="BW180" s="112">
        <f t="shared" si="527"/>
        <v>0</v>
      </c>
      <c r="BX180" s="112">
        <f t="shared" si="527"/>
        <v>0</v>
      </c>
      <c r="BY180" s="112">
        <f t="shared" si="527"/>
        <v>0</v>
      </c>
      <c r="BZ180" s="112">
        <f t="shared" si="527"/>
        <v>0</v>
      </c>
      <c r="CA180" s="204">
        <f t="shared" si="527"/>
        <v>0</v>
      </c>
      <c r="CB180" s="204">
        <f t="shared" si="527"/>
        <v>0</v>
      </c>
      <c r="CC180" s="204">
        <f t="shared" si="528"/>
        <v>0</v>
      </c>
      <c r="CD180" s="204">
        <f t="shared" si="528"/>
        <v>0</v>
      </c>
      <c r="CE180" s="316">
        <f t="shared" si="528"/>
        <v>0</v>
      </c>
      <c r="CF180" s="316">
        <f t="shared" si="528"/>
        <v>0</v>
      </c>
      <c r="CG180" s="316">
        <f t="shared" si="528"/>
        <v>0</v>
      </c>
      <c r="CH180" s="316">
        <f t="shared" si="528"/>
        <v>0</v>
      </c>
      <c r="CI180" s="316">
        <f t="shared" si="528"/>
        <v>0</v>
      </c>
      <c r="CJ180" s="316">
        <f t="shared" si="528"/>
        <v>0</v>
      </c>
      <c r="CK180" s="316">
        <f t="shared" si="528"/>
        <v>0</v>
      </c>
      <c r="CL180" s="316">
        <f t="shared" si="528"/>
        <v>0</v>
      </c>
      <c r="CM180" s="316">
        <f t="shared" si="529"/>
        <v>0</v>
      </c>
      <c r="CN180" s="316">
        <f t="shared" si="529"/>
        <v>0</v>
      </c>
      <c r="CO180" s="316">
        <f t="shared" si="529"/>
        <v>0</v>
      </c>
      <c r="CP180" s="316">
        <f t="shared" si="529"/>
        <v>0</v>
      </c>
      <c r="CQ180" s="316">
        <f t="shared" si="529"/>
        <v>0</v>
      </c>
      <c r="CR180" s="316">
        <f t="shared" si="529"/>
        <v>0</v>
      </c>
      <c r="CS180" s="316"/>
      <c r="CT180" s="348"/>
      <c r="CU180" s="36">
        <f>'MONTHLY SUMMARIES'!F132</f>
        <v>0</v>
      </c>
    </row>
    <row r="181" spans="1:102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26"/>
        <v>0</v>
      </c>
      <c r="BJ181" s="112">
        <f t="shared" si="526"/>
        <v>0</v>
      </c>
      <c r="BK181" s="112">
        <f t="shared" si="526"/>
        <v>0</v>
      </c>
      <c r="BL181" s="112">
        <f t="shared" si="526"/>
        <v>0</v>
      </c>
      <c r="BM181" s="112">
        <f t="shared" si="526"/>
        <v>0</v>
      </c>
      <c r="BN181" s="112">
        <f t="shared" si="526"/>
        <v>0</v>
      </c>
      <c r="BO181" s="112">
        <f t="shared" si="526"/>
        <v>0</v>
      </c>
      <c r="BP181" s="112">
        <f t="shared" si="526"/>
        <v>0</v>
      </c>
      <c r="BQ181" s="112">
        <f t="shared" si="526"/>
        <v>0</v>
      </c>
      <c r="BR181" s="112">
        <f t="shared" si="526"/>
        <v>0</v>
      </c>
      <c r="BS181" s="112">
        <f t="shared" si="527"/>
        <v>0</v>
      </c>
      <c r="BT181" s="112">
        <f t="shared" si="527"/>
        <v>0</v>
      </c>
      <c r="BU181" s="112">
        <f t="shared" si="527"/>
        <v>0</v>
      </c>
      <c r="BV181" s="112">
        <f t="shared" si="527"/>
        <v>0</v>
      </c>
      <c r="BW181" s="112">
        <f t="shared" si="527"/>
        <v>0</v>
      </c>
      <c r="BX181" s="112">
        <f t="shared" si="527"/>
        <v>0</v>
      </c>
      <c r="BY181" s="112">
        <f t="shared" si="527"/>
        <v>0</v>
      </c>
      <c r="BZ181" s="112">
        <f t="shared" si="527"/>
        <v>0</v>
      </c>
      <c r="CA181" s="204">
        <f t="shared" si="527"/>
        <v>0</v>
      </c>
      <c r="CB181" s="204">
        <f t="shared" si="527"/>
        <v>0</v>
      </c>
      <c r="CC181" s="204">
        <f t="shared" si="528"/>
        <v>0</v>
      </c>
      <c r="CD181" s="204">
        <f t="shared" si="528"/>
        <v>0</v>
      </c>
      <c r="CE181" s="316">
        <f t="shared" si="528"/>
        <v>0</v>
      </c>
      <c r="CF181" s="316">
        <f t="shared" si="528"/>
        <v>0</v>
      </c>
      <c r="CG181" s="316">
        <f t="shared" si="528"/>
        <v>0</v>
      </c>
      <c r="CH181" s="316">
        <f t="shared" si="528"/>
        <v>0</v>
      </c>
      <c r="CI181" s="316">
        <f t="shared" si="528"/>
        <v>0</v>
      </c>
      <c r="CJ181" s="316">
        <f t="shared" si="528"/>
        <v>0</v>
      </c>
      <c r="CK181" s="316">
        <f t="shared" si="528"/>
        <v>0</v>
      </c>
      <c r="CL181" s="316">
        <f t="shared" si="528"/>
        <v>0</v>
      </c>
      <c r="CM181" s="316">
        <f t="shared" si="529"/>
        <v>0</v>
      </c>
      <c r="CN181" s="316">
        <f t="shared" si="529"/>
        <v>0</v>
      </c>
      <c r="CO181" s="316">
        <f t="shared" si="529"/>
        <v>0</v>
      </c>
      <c r="CP181" s="316">
        <f t="shared" si="529"/>
        <v>0</v>
      </c>
      <c r="CQ181" s="316">
        <f t="shared" si="529"/>
        <v>0</v>
      </c>
      <c r="CR181" s="316">
        <f t="shared" si="529"/>
        <v>0</v>
      </c>
      <c r="CS181" s="316"/>
      <c r="CT181" s="348"/>
      <c r="CU181" s="36">
        <f>'MONTHLY SUMMARIES'!F133</f>
        <v>0</v>
      </c>
    </row>
    <row r="182" spans="1:102" s="76" customFormat="1" x14ac:dyDescent="0.3">
      <c r="A182" s="151"/>
      <c r="B182" s="63" t="s">
        <v>42</v>
      </c>
      <c r="C182" s="121">
        <f t="shared" ref="C182:Q182" si="530">SUM(C173:C181)</f>
        <v>2</v>
      </c>
      <c r="D182" s="122">
        <f t="shared" si="530"/>
        <v>1</v>
      </c>
      <c r="E182" s="122">
        <f t="shared" si="530"/>
        <v>1</v>
      </c>
      <c r="F182" s="122">
        <f t="shared" si="530"/>
        <v>5</v>
      </c>
      <c r="G182" s="122">
        <f t="shared" si="530"/>
        <v>0</v>
      </c>
      <c r="H182" s="123">
        <f t="shared" si="530"/>
        <v>6</v>
      </c>
      <c r="I182" s="122">
        <f t="shared" si="530"/>
        <v>8</v>
      </c>
      <c r="J182" s="123">
        <f t="shared" si="530"/>
        <v>1</v>
      </c>
      <c r="K182" s="122">
        <f t="shared" si="530"/>
        <v>0</v>
      </c>
      <c r="L182" s="124">
        <f t="shared" si="530"/>
        <v>0</v>
      </c>
      <c r="M182" s="123">
        <f t="shared" si="530"/>
        <v>1</v>
      </c>
      <c r="N182" s="123">
        <f t="shared" si="530"/>
        <v>2</v>
      </c>
      <c r="O182" s="123">
        <f t="shared" si="530"/>
        <v>1</v>
      </c>
      <c r="P182" s="123">
        <f t="shared" si="530"/>
        <v>0</v>
      </c>
      <c r="Q182" s="123">
        <f t="shared" si="530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-1</v>
      </c>
      <c r="BJ182" s="123">
        <f t="shared" ref="BJ182:BL182" si="531">SUM(BJ173:BJ181)</f>
        <v>-1</v>
      </c>
      <c r="BK182" s="123">
        <f t="shared" si="531"/>
        <v>-1</v>
      </c>
      <c r="BL182" s="123">
        <f t="shared" si="531"/>
        <v>-5</v>
      </c>
      <c r="BM182" s="123">
        <f t="shared" ref="BM182:BN182" si="532">SUM(BM173:BM181)</f>
        <v>0</v>
      </c>
      <c r="BN182" s="123">
        <f t="shared" si="532"/>
        <v>-6</v>
      </c>
      <c r="BO182" s="123">
        <f t="shared" ref="BO182:BP182" si="533">SUM(BO173:BO181)</f>
        <v>-8</v>
      </c>
      <c r="BP182" s="123">
        <f t="shared" si="533"/>
        <v>-1</v>
      </c>
      <c r="BQ182" s="123">
        <f t="shared" ref="BQ182:BR182" si="534">SUM(BQ173:BQ181)</f>
        <v>0</v>
      </c>
      <c r="BR182" s="123">
        <f t="shared" si="534"/>
        <v>0</v>
      </c>
      <c r="BS182" s="123">
        <f t="shared" ref="BS182:BT182" si="535">SUM(BS173:BS181)</f>
        <v>-1</v>
      </c>
      <c r="BT182" s="123">
        <f t="shared" si="535"/>
        <v>-2</v>
      </c>
      <c r="BU182" s="123">
        <f t="shared" ref="BU182:BV182" si="536">SUM(BU173:BU181)</f>
        <v>-1</v>
      </c>
      <c r="BV182" s="123">
        <f t="shared" si="536"/>
        <v>1</v>
      </c>
      <c r="BW182" s="123">
        <f t="shared" ref="BW182:BX182" si="537">SUM(BW173:BW181)</f>
        <v>1</v>
      </c>
      <c r="BX182" s="123">
        <f t="shared" si="537"/>
        <v>1</v>
      </c>
      <c r="BY182" s="123">
        <f t="shared" ref="BY182:BZ182" si="538">SUM(BY173:BY181)</f>
        <v>0</v>
      </c>
      <c r="BZ182" s="123">
        <f t="shared" si="538"/>
        <v>12</v>
      </c>
      <c r="CA182" s="205">
        <f t="shared" ref="CA182:CB182" si="539">SUM(CA173:CA181)</f>
        <v>10</v>
      </c>
      <c r="CB182" s="205">
        <f t="shared" si="539"/>
        <v>4</v>
      </c>
      <c r="CC182" s="205">
        <f t="shared" ref="CC182:CE182" si="540">SUM(CC173:CC181)</f>
        <v>4</v>
      </c>
      <c r="CD182" s="205">
        <f t="shared" si="540"/>
        <v>4</v>
      </c>
      <c r="CE182" s="317">
        <f t="shared" si="540"/>
        <v>0</v>
      </c>
      <c r="CF182" s="317">
        <f t="shared" ref="CF182:CG182" si="541">SUM(CF173:CF181)</f>
        <v>0</v>
      </c>
      <c r="CG182" s="317">
        <f t="shared" si="541"/>
        <v>4</v>
      </c>
      <c r="CH182" s="317">
        <f t="shared" ref="CH182:CI182" si="542">SUM(CH173:CH181)</f>
        <v>10</v>
      </c>
      <c r="CI182" s="317">
        <f t="shared" si="542"/>
        <v>2</v>
      </c>
      <c r="CJ182" s="317">
        <f t="shared" ref="CJ182" si="543">SUM(CJ173:CJ181)</f>
        <v>8</v>
      </c>
      <c r="CK182" s="317">
        <f t="shared" ref="CK182" si="544">SUM(CK173:CK181)</f>
        <v>4</v>
      </c>
      <c r="CL182" s="317">
        <f t="shared" ref="CL182" si="545">SUM(CL173:CL181)</f>
        <v>-12</v>
      </c>
      <c r="CM182" s="317">
        <f t="shared" ref="CM182" si="546">SUM(CM173:CM181)</f>
        <v>-10</v>
      </c>
      <c r="CN182" s="317">
        <f t="shared" ref="CN182" si="547">SUM(CN173:CN181)</f>
        <v>-4</v>
      </c>
      <c r="CO182" s="317">
        <f t="shared" ref="CO182" si="548">SUM(CO173:CO181)</f>
        <v>-4</v>
      </c>
      <c r="CP182" s="317">
        <f t="shared" ref="CP182" si="549">SUM(CP173:CP181)</f>
        <v>-2</v>
      </c>
      <c r="CQ182" s="317">
        <f t="shared" ref="CQ182:CS182" si="550">SUM(CQ173:CQ181)</f>
        <v>0</v>
      </c>
      <c r="CR182" s="317">
        <f t="shared" ref="CR182" si="551">SUM(CR173:CR181)</f>
        <v>0</v>
      </c>
      <c r="CS182" s="317"/>
      <c r="CT182" s="349"/>
      <c r="CU182" s="262">
        <f>CU173+CU176+CU179+CU180+CU181</f>
        <v>0</v>
      </c>
    </row>
    <row r="183" spans="1:102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48"/>
      <c r="CU183" s="93"/>
    </row>
    <row r="184" spans="1:102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48"/>
      <c r="CU184" s="36">
        <f>'MONTHLY SUMMARIES'!F136</f>
        <v>0</v>
      </c>
      <c r="CV184" s="204"/>
      <c r="CX184" s="204"/>
    </row>
    <row r="185" spans="1:102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48"/>
      <c r="CU185" s="67">
        <f>GETPIVOTDATA("VALUE",'CSS ESCO pvt'!$I$3,"DATE_FILE",$CU$8,"COMPANY",$CU$6,"TRIM_CAT","Residential-GRID","TRIM_LINE","99")</f>
        <v>0</v>
      </c>
      <c r="CV185" s="204"/>
      <c r="CX185" s="204"/>
    </row>
    <row r="186" spans="1:102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48"/>
      <c r="CU186" s="81">
        <f>CU184-CU185</f>
        <v>0</v>
      </c>
      <c r="CV186" s="204"/>
      <c r="CX186" s="204"/>
    </row>
    <row r="187" spans="1:102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48"/>
      <c r="CU187" s="36">
        <f>'MONTHLY SUMMARIES'!F137</f>
        <v>0</v>
      </c>
      <c r="CV187" s="204"/>
      <c r="CX187" s="204"/>
    </row>
    <row r="188" spans="1:102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48"/>
      <c r="CU188" s="67">
        <f>GETPIVOTDATA("VALUE",'CSS ESCO pvt'!$I$3,"DATE_FILE",$CU$8,"COMPANY",$CU$6,"TRIM_CAT","Low Income Residential-GRID","TRIM_LINE","99")</f>
        <v>0</v>
      </c>
      <c r="CV188" s="204"/>
      <c r="CX188" s="204"/>
    </row>
    <row r="189" spans="1:102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48"/>
      <c r="CU189" s="81">
        <f>CU187-CU188</f>
        <v>0</v>
      </c>
      <c r="CV189" s="204"/>
      <c r="CX189" s="204"/>
    </row>
    <row r="190" spans="1:102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48"/>
      <c r="CU190" s="36">
        <f>'MONTHLY SUMMARIES'!F138</f>
        <v>0</v>
      </c>
    </row>
    <row r="191" spans="1:102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48"/>
      <c r="CU191" s="36">
        <f>'MONTHLY SUMMARIES'!F139</f>
        <v>0</v>
      </c>
    </row>
    <row r="192" spans="1:102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48"/>
      <c r="CU192" s="36">
        <f>'MONTHLY SUMMARIES'!F140</f>
        <v>0</v>
      </c>
    </row>
    <row r="193" spans="1:9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49"/>
      <c r="CU193" s="262">
        <f>CU184+CU187+CU190+CU191+CU192</f>
        <v>0</v>
      </c>
    </row>
    <row r="194" spans="1:9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48"/>
      <c r="CU194" s="93"/>
    </row>
    <row r="195" spans="1:99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R195" si="552">O195-C195</f>
        <v>-6</v>
      </c>
      <c r="BJ195" s="112">
        <f t="shared" si="552"/>
        <v>-15</v>
      </c>
      <c r="BK195" s="112">
        <f t="shared" si="552"/>
        <v>-33</v>
      </c>
      <c r="BL195" s="112">
        <f t="shared" si="552"/>
        <v>-29</v>
      </c>
      <c r="BM195" s="112">
        <f t="shared" si="552"/>
        <v>-29</v>
      </c>
      <c r="BN195" s="112">
        <f t="shared" si="552"/>
        <v>-36</v>
      </c>
      <c r="BO195" s="112">
        <f t="shared" si="552"/>
        <v>-21</v>
      </c>
      <c r="BP195" s="112">
        <f t="shared" si="552"/>
        <v>-8</v>
      </c>
      <c r="BQ195" s="112">
        <f t="shared" si="552"/>
        <v>6</v>
      </c>
      <c r="BR195" s="112">
        <f t="shared" si="552"/>
        <v>2</v>
      </c>
      <c r="BS195" s="112">
        <f t="shared" si="552"/>
        <v>-4</v>
      </c>
      <c r="BT195" s="112">
        <f t="shared" si="552"/>
        <v>0</v>
      </c>
      <c r="BU195" s="112">
        <f t="shared" si="552"/>
        <v>6</v>
      </c>
      <c r="BV195" s="112">
        <f t="shared" si="552"/>
        <v>38</v>
      </c>
      <c r="BW195" s="112">
        <f t="shared" si="552"/>
        <v>56</v>
      </c>
      <c r="BX195" s="112">
        <f t="shared" si="552"/>
        <v>52</v>
      </c>
      <c r="BY195" s="112">
        <f t="shared" si="552"/>
        <v>77</v>
      </c>
      <c r="BZ195" s="112">
        <f t="shared" si="552"/>
        <v>73</v>
      </c>
      <c r="CA195" s="204">
        <f t="shared" si="552"/>
        <v>71</v>
      </c>
      <c r="CB195" s="204">
        <f t="shared" si="552"/>
        <v>56</v>
      </c>
      <c r="CC195" s="204">
        <f t="shared" si="552"/>
        <v>60</v>
      </c>
      <c r="CD195" s="204">
        <f t="shared" si="552"/>
        <v>52</v>
      </c>
      <c r="CE195" s="316">
        <f t="shared" si="552"/>
        <v>56</v>
      </c>
      <c r="CF195" s="316">
        <f t="shared" si="552"/>
        <v>54</v>
      </c>
      <c r="CG195" s="316">
        <f t="shared" si="552"/>
        <v>40</v>
      </c>
      <c r="CH195" s="316">
        <f t="shared" si="552"/>
        <v>23</v>
      </c>
      <c r="CI195" s="316">
        <f t="shared" si="552"/>
        <v>1</v>
      </c>
      <c r="CJ195" s="316">
        <f t="shared" si="552"/>
        <v>8</v>
      </c>
      <c r="CK195" s="316">
        <f t="shared" si="552"/>
        <v>-13</v>
      </c>
      <c r="CL195" s="316">
        <f t="shared" si="552"/>
        <v>-19</v>
      </c>
      <c r="CM195" s="316">
        <f t="shared" si="552"/>
        <v>-31</v>
      </c>
      <c r="CN195" s="316">
        <f t="shared" si="552"/>
        <v>-34</v>
      </c>
      <c r="CO195" s="316">
        <f t="shared" si="552"/>
        <v>-47</v>
      </c>
      <c r="CP195" s="316">
        <f t="shared" si="552"/>
        <v>-42</v>
      </c>
      <c r="CQ195" s="316">
        <f t="shared" si="552"/>
        <v>-32</v>
      </c>
      <c r="CR195" s="316">
        <f t="shared" si="552"/>
        <v>-44</v>
      </c>
      <c r="CS195" s="316"/>
      <c r="CT195" s="348"/>
      <c r="CU195" s="36">
        <f>'MONTHLY SUMMARIES'!F143</f>
        <v>49</v>
      </c>
    </row>
    <row r="196" spans="1:99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48"/>
      <c r="CU196" s="67">
        <f>GETPIVOTDATA("VALUE",'CSS ESCO pvt'!$I$3,"DATE_FILE",$CU$8,"COMPANY",$CU$6,"TRIM_CAT","Residential-GRID","TRIM_LINE",$A194)</f>
        <v>6</v>
      </c>
    </row>
    <row r="197" spans="1:99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48"/>
      <c r="CU197" s="81">
        <f>CU195-CU196</f>
        <v>43</v>
      </c>
    </row>
    <row r="198" spans="1:99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R198" si="553">O198-C198</f>
        <v>-4</v>
      </c>
      <c r="BJ198" s="112">
        <f t="shared" si="553"/>
        <v>-4</v>
      </c>
      <c r="BK198" s="112">
        <f t="shared" si="553"/>
        <v>-6</v>
      </c>
      <c r="BL198" s="112">
        <f t="shared" si="553"/>
        <v>-5</v>
      </c>
      <c r="BM198" s="112">
        <f t="shared" si="553"/>
        <v>-2</v>
      </c>
      <c r="BN198" s="112">
        <f t="shared" si="553"/>
        <v>-1</v>
      </c>
      <c r="BO198" s="112">
        <f t="shared" si="553"/>
        <v>1</v>
      </c>
      <c r="BP198" s="112">
        <f t="shared" si="553"/>
        <v>2</v>
      </c>
      <c r="BQ198" s="112">
        <f t="shared" si="553"/>
        <v>0</v>
      </c>
      <c r="BR198" s="112">
        <f t="shared" si="553"/>
        <v>0</v>
      </c>
      <c r="BS198" s="112">
        <f t="shared" si="553"/>
        <v>0</v>
      </c>
      <c r="BT198" s="112">
        <f t="shared" si="553"/>
        <v>-4</v>
      </c>
      <c r="BU198" s="112">
        <f t="shared" si="553"/>
        <v>-1</v>
      </c>
      <c r="BV198" s="112">
        <f t="shared" si="553"/>
        <v>-3</v>
      </c>
      <c r="BW198" s="112">
        <f t="shared" si="553"/>
        <v>-1</v>
      </c>
      <c r="BX198" s="112">
        <f t="shared" si="553"/>
        <v>-1</v>
      </c>
      <c r="BY198" s="112">
        <f t="shared" si="553"/>
        <v>2</v>
      </c>
      <c r="BZ198" s="112">
        <f t="shared" si="553"/>
        <v>3</v>
      </c>
      <c r="CA198" s="204">
        <f t="shared" si="553"/>
        <v>2</v>
      </c>
      <c r="CB198" s="204">
        <f t="shared" si="553"/>
        <v>0</v>
      </c>
      <c r="CC198" s="204">
        <f t="shared" si="553"/>
        <v>2</v>
      </c>
      <c r="CD198" s="204">
        <f t="shared" si="553"/>
        <v>1</v>
      </c>
      <c r="CE198" s="316">
        <f t="shared" si="553"/>
        <v>4</v>
      </c>
      <c r="CF198" s="316">
        <f t="shared" si="553"/>
        <v>1</v>
      </c>
      <c r="CG198" s="316">
        <f t="shared" si="553"/>
        <v>2</v>
      </c>
      <c r="CH198" s="316">
        <f t="shared" si="553"/>
        <v>4</v>
      </c>
      <c r="CI198" s="316">
        <f t="shared" si="553"/>
        <v>6</v>
      </c>
      <c r="CJ198" s="316">
        <f t="shared" si="553"/>
        <v>4</v>
      </c>
      <c r="CK198" s="316">
        <f t="shared" si="553"/>
        <v>5</v>
      </c>
      <c r="CL198" s="316">
        <f t="shared" si="553"/>
        <v>2</v>
      </c>
      <c r="CM198" s="316">
        <f t="shared" si="553"/>
        <v>1</v>
      </c>
      <c r="CN198" s="316">
        <f t="shared" si="553"/>
        <v>2</v>
      </c>
      <c r="CO198" s="316">
        <f t="shared" si="553"/>
        <v>-1</v>
      </c>
      <c r="CP198" s="316">
        <f t="shared" si="553"/>
        <v>3</v>
      </c>
      <c r="CQ198" s="316">
        <f t="shared" si="553"/>
        <v>0</v>
      </c>
      <c r="CR198" s="316">
        <f t="shared" si="553"/>
        <v>2</v>
      </c>
      <c r="CS198" s="316"/>
      <c r="CT198" s="348"/>
      <c r="CU198" s="36">
        <f>'MONTHLY SUMMARIES'!F144</f>
        <v>5</v>
      </c>
    </row>
    <row r="199" spans="1:99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48"/>
      <c r="CU199" s="67">
        <f>GETPIVOTDATA("VALUE",'CSS ESCO pvt'!$I$3,"DATE_FILE",$CU$8,"COMPANY",$CU$6,"TRIM_CAT","Low Income Residential-GRID","TRIM_LINE",$A194)</f>
        <v>1</v>
      </c>
    </row>
    <row r="200" spans="1:99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48"/>
      <c r="CU200" s="81">
        <f>CU198-CU199</f>
        <v>4</v>
      </c>
    </row>
    <row r="201" spans="1:99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54">O201-C201</f>
        <v>-2</v>
      </c>
      <c r="BJ201" s="112">
        <f t="shared" si="554"/>
        <v>0</v>
      </c>
      <c r="BK201" s="112">
        <f t="shared" si="554"/>
        <v>0</v>
      </c>
      <c r="BL201" s="112">
        <f t="shared" si="554"/>
        <v>-2</v>
      </c>
      <c r="BM201" s="112">
        <f t="shared" si="554"/>
        <v>-2</v>
      </c>
      <c r="BN201" s="112">
        <f t="shared" si="554"/>
        <v>-1</v>
      </c>
      <c r="BO201" s="112">
        <f t="shared" si="554"/>
        <v>-2</v>
      </c>
      <c r="BP201" s="112">
        <f t="shared" si="554"/>
        <v>1</v>
      </c>
      <c r="BQ201" s="112">
        <f t="shared" si="554"/>
        <v>2</v>
      </c>
      <c r="BR201" s="112">
        <f t="shared" si="554"/>
        <v>1</v>
      </c>
      <c r="BS201" s="112">
        <f t="shared" ref="BS201:CB203" si="555">Y201-M201</f>
        <v>1</v>
      </c>
      <c r="BT201" s="112">
        <f t="shared" si="555"/>
        <v>2</v>
      </c>
      <c r="BU201" s="112">
        <f t="shared" si="555"/>
        <v>2</v>
      </c>
      <c r="BV201" s="112">
        <f t="shared" si="555"/>
        <v>1</v>
      </c>
      <c r="BW201" s="112">
        <f t="shared" si="555"/>
        <v>1</v>
      </c>
      <c r="BX201" s="112">
        <f t="shared" si="555"/>
        <v>2</v>
      </c>
      <c r="BY201" s="112">
        <f t="shared" si="555"/>
        <v>4</v>
      </c>
      <c r="BZ201" s="112">
        <f t="shared" si="555"/>
        <v>5</v>
      </c>
      <c r="CA201" s="204">
        <f t="shared" si="555"/>
        <v>4</v>
      </c>
      <c r="CB201" s="204">
        <f t="shared" si="555"/>
        <v>0</v>
      </c>
      <c r="CC201" s="204">
        <f t="shared" ref="CC201:CL203" si="556">AI201-W201</f>
        <v>-1</v>
      </c>
      <c r="CD201" s="204">
        <f t="shared" si="556"/>
        <v>3</v>
      </c>
      <c r="CE201" s="316">
        <f t="shared" si="556"/>
        <v>0</v>
      </c>
      <c r="CF201" s="316">
        <f t="shared" si="556"/>
        <v>-1</v>
      </c>
      <c r="CG201" s="316">
        <f t="shared" si="556"/>
        <v>4</v>
      </c>
      <c r="CH201" s="316">
        <f t="shared" si="556"/>
        <v>6</v>
      </c>
      <c r="CI201" s="316">
        <f t="shared" si="556"/>
        <v>1</v>
      </c>
      <c r="CJ201" s="316">
        <f t="shared" si="556"/>
        <v>0</v>
      </c>
      <c r="CK201" s="316">
        <f t="shared" si="556"/>
        <v>-1</v>
      </c>
      <c r="CL201" s="316">
        <f t="shared" si="556"/>
        <v>-3</v>
      </c>
      <c r="CM201" s="316">
        <f t="shared" ref="CM201:CR203" si="557">AS201-AG201</f>
        <v>-4</v>
      </c>
      <c r="CN201" s="316">
        <f t="shared" si="557"/>
        <v>-3</v>
      </c>
      <c r="CO201" s="316">
        <f t="shared" si="557"/>
        <v>-3</v>
      </c>
      <c r="CP201" s="316">
        <f t="shared" si="557"/>
        <v>-4</v>
      </c>
      <c r="CQ201" s="316">
        <f t="shared" si="557"/>
        <v>-2</v>
      </c>
      <c r="CR201" s="316">
        <f t="shared" si="557"/>
        <v>-1</v>
      </c>
      <c r="CS201" s="316"/>
      <c r="CT201" s="348"/>
      <c r="CU201" s="36">
        <f>'MONTHLY SUMMARIES'!F145</f>
        <v>0</v>
      </c>
    </row>
    <row r="202" spans="1:99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54"/>
        <v>0</v>
      </c>
      <c r="BJ202" s="112">
        <f t="shared" si="554"/>
        <v>0</v>
      </c>
      <c r="BK202" s="112">
        <f t="shared" si="554"/>
        <v>0</v>
      </c>
      <c r="BL202" s="112">
        <f t="shared" si="554"/>
        <v>0</v>
      </c>
      <c r="BM202" s="112">
        <f t="shared" si="554"/>
        <v>0</v>
      </c>
      <c r="BN202" s="112">
        <f t="shared" si="554"/>
        <v>0</v>
      </c>
      <c r="BO202" s="112">
        <f t="shared" si="554"/>
        <v>0</v>
      </c>
      <c r="BP202" s="112">
        <f t="shared" si="554"/>
        <v>-1</v>
      </c>
      <c r="BQ202" s="112">
        <f t="shared" si="554"/>
        <v>-1</v>
      </c>
      <c r="BR202" s="112">
        <f t="shared" si="554"/>
        <v>0</v>
      </c>
      <c r="BS202" s="112">
        <f t="shared" si="555"/>
        <v>0</v>
      </c>
      <c r="BT202" s="112">
        <f t="shared" si="555"/>
        <v>0</v>
      </c>
      <c r="BU202" s="112">
        <f t="shared" si="555"/>
        <v>0</v>
      </c>
      <c r="BV202" s="112">
        <f t="shared" si="555"/>
        <v>0</v>
      </c>
      <c r="BW202" s="112">
        <f t="shared" si="555"/>
        <v>0</v>
      </c>
      <c r="BX202" s="112">
        <f t="shared" si="555"/>
        <v>0</v>
      </c>
      <c r="BY202" s="112">
        <f t="shared" si="555"/>
        <v>0</v>
      </c>
      <c r="BZ202" s="112">
        <f t="shared" si="555"/>
        <v>0</v>
      </c>
      <c r="CA202" s="204">
        <f t="shared" si="555"/>
        <v>0</v>
      </c>
      <c r="CB202" s="204">
        <f t="shared" si="555"/>
        <v>0</v>
      </c>
      <c r="CC202" s="204">
        <f t="shared" si="556"/>
        <v>0</v>
      </c>
      <c r="CD202" s="204">
        <f t="shared" si="556"/>
        <v>0</v>
      </c>
      <c r="CE202" s="316">
        <f t="shared" si="556"/>
        <v>0</v>
      </c>
      <c r="CF202" s="316">
        <f t="shared" si="556"/>
        <v>0</v>
      </c>
      <c r="CG202" s="316">
        <f t="shared" si="556"/>
        <v>0</v>
      </c>
      <c r="CH202" s="316">
        <f t="shared" si="556"/>
        <v>0</v>
      </c>
      <c r="CI202" s="316">
        <f t="shared" si="556"/>
        <v>0</v>
      </c>
      <c r="CJ202" s="316">
        <f t="shared" si="556"/>
        <v>0</v>
      </c>
      <c r="CK202" s="316">
        <f t="shared" si="556"/>
        <v>0</v>
      </c>
      <c r="CL202" s="316">
        <f t="shared" si="556"/>
        <v>0</v>
      </c>
      <c r="CM202" s="316">
        <f t="shared" si="557"/>
        <v>0</v>
      </c>
      <c r="CN202" s="316">
        <f t="shared" si="557"/>
        <v>0</v>
      </c>
      <c r="CO202" s="316">
        <f t="shared" si="557"/>
        <v>0</v>
      </c>
      <c r="CP202" s="316">
        <f t="shared" si="557"/>
        <v>0</v>
      </c>
      <c r="CQ202" s="316">
        <f t="shared" si="557"/>
        <v>0</v>
      </c>
      <c r="CR202" s="316">
        <f t="shared" si="557"/>
        <v>1</v>
      </c>
      <c r="CS202" s="316"/>
      <c r="CT202" s="348"/>
      <c r="CU202" s="36">
        <f>'MONTHLY SUMMARIES'!F146</f>
        <v>1</v>
      </c>
    </row>
    <row r="203" spans="1:99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54"/>
        <v>0</v>
      </c>
      <c r="BJ203" s="112">
        <f t="shared" si="554"/>
        <v>0</v>
      </c>
      <c r="BK203" s="112">
        <f t="shared" si="554"/>
        <v>0</v>
      </c>
      <c r="BL203" s="112">
        <f t="shared" si="554"/>
        <v>0</v>
      </c>
      <c r="BM203" s="112">
        <f t="shared" si="554"/>
        <v>0</v>
      </c>
      <c r="BN203" s="112">
        <f t="shared" si="554"/>
        <v>0</v>
      </c>
      <c r="BO203" s="112">
        <f t="shared" si="554"/>
        <v>0</v>
      </c>
      <c r="BP203" s="112">
        <f t="shared" si="554"/>
        <v>0</v>
      </c>
      <c r="BQ203" s="112">
        <f t="shared" si="554"/>
        <v>0</v>
      </c>
      <c r="BR203" s="112">
        <f t="shared" si="554"/>
        <v>0</v>
      </c>
      <c r="BS203" s="112">
        <f t="shared" si="555"/>
        <v>0</v>
      </c>
      <c r="BT203" s="112">
        <f t="shared" si="555"/>
        <v>0</v>
      </c>
      <c r="BU203" s="112">
        <f t="shared" si="555"/>
        <v>0</v>
      </c>
      <c r="BV203" s="112">
        <f t="shared" si="555"/>
        <v>0</v>
      </c>
      <c r="BW203" s="112">
        <f t="shared" si="555"/>
        <v>0</v>
      </c>
      <c r="BX203" s="112">
        <f t="shared" si="555"/>
        <v>0</v>
      </c>
      <c r="BY203" s="112">
        <f t="shared" si="555"/>
        <v>0</v>
      </c>
      <c r="BZ203" s="112">
        <f t="shared" si="555"/>
        <v>0</v>
      </c>
      <c r="CA203" s="204">
        <f t="shared" si="555"/>
        <v>0</v>
      </c>
      <c r="CB203" s="204">
        <f t="shared" si="555"/>
        <v>0</v>
      </c>
      <c r="CC203" s="204">
        <f t="shared" si="556"/>
        <v>0</v>
      </c>
      <c r="CD203" s="204">
        <f t="shared" si="556"/>
        <v>0</v>
      </c>
      <c r="CE203" s="316">
        <f t="shared" si="556"/>
        <v>1</v>
      </c>
      <c r="CF203" s="316">
        <f t="shared" si="556"/>
        <v>1</v>
      </c>
      <c r="CG203" s="316">
        <f t="shared" si="556"/>
        <v>1</v>
      </c>
      <c r="CH203" s="316">
        <f t="shared" si="556"/>
        <v>1</v>
      </c>
      <c r="CI203" s="316">
        <f t="shared" si="556"/>
        <v>0</v>
      </c>
      <c r="CJ203" s="316">
        <f t="shared" si="556"/>
        <v>0</v>
      </c>
      <c r="CK203" s="316">
        <f t="shared" si="556"/>
        <v>1</v>
      </c>
      <c r="CL203" s="316">
        <f t="shared" si="556"/>
        <v>0</v>
      </c>
      <c r="CM203" s="316">
        <f t="shared" si="557"/>
        <v>0</v>
      </c>
      <c r="CN203" s="316">
        <f t="shared" si="557"/>
        <v>0</v>
      </c>
      <c r="CO203" s="316">
        <f t="shared" si="557"/>
        <v>0</v>
      </c>
      <c r="CP203" s="316">
        <f t="shared" si="557"/>
        <v>0</v>
      </c>
      <c r="CQ203" s="316">
        <f t="shared" si="557"/>
        <v>-1</v>
      </c>
      <c r="CR203" s="316">
        <f t="shared" si="557"/>
        <v>-1</v>
      </c>
      <c r="CS203" s="316"/>
      <c r="CT203" s="348"/>
      <c r="CU203" s="36">
        <f>'MONTHLY SUMMARIES'!F147</f>
        <v>1</v>
      </c>
    </row>
    <row r="204" spans="1:99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558">SUM(D195:D203)</f>
        <v>43</v>
      </c>
      <c r="E204" s="118">
        <f t="shared" si="558"/>
        <v>57</v>
      </c>
      <c r="F204" s="118">
        <f t="shared" si="558"/>
        <v>58</v>
      </c>
      <c r="G204" s="118">
        <f t="shared" si="558"/>
        <v>52</v>
      </c>
      <c r="H204" s="119">
        <f t="shared" si="558"/>
        <v>60</v>
      </c>
      <c r="I204" s="118">
        <f t="shared" si="558"/>
        <v>47</v>
      </c>
      <c r="J204" s="119">
        <f t="shared" si="558"/>
        <v>46</v>
      </c>
      <c r="K204" s="118">
        <f t="shared" si="558"/>
        <v>36</v>
      </c>
      <c r="L204" s="120">
        <f t="shared" si="558"/>
        <v>36</v>
      </c>
      <c r="M204" s="119">
        <f t="shared" si="558"/>
        <v>35</v>
      </c>
      <c r="N204" s="119">
        <f t="shared" si="558"/>
        <v>37</v>
      </c>
      <c r="O204" s="119">
        <f t="shared" si="558"/>
        <v>35</v>
      </c>
      <c r="P204" s="119">
        <f t="shared" si="558"/>
        <v>24</v>
      </c>
      <c r="Q204" s="119">
        <f t="shared" si="558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59">SUM(BI195:BI203)</f>
        <v>-12</v>
      </c>
      <c r="BJ204" s="119">
        <f t="shared" ref="BJ204:BL204" si="560">SUM(BJ195:BJ203)</f>
        <v>-19</v>
      </c>
      <c r="BK204" s="119">
        <f t="shared" si="560"/>
        <v>-39</v>
      </c>
      <c r="BL204" s="119">
        <f t="shared" si="560"/>
        <v>-36</v>
      </c>
      <c r="BM204" s="119">
        <f t="shared" ref="BM204:BN204" si="561">SUM(BM195:BM203)</f>
        <v>-33</v>
      </c>
      <c r="BN204" s="119">
        <f t="shared" si="561"/>
        <v>-38</v>
      </c>
      <c r="BO204" s="119">
        <f t="shared" ref="BO204:BP204" si="562">SUM(BO195:BO203)</f>
        <v>-22</v>
      </c>
      <c r="BP204" s="119">
        <f t="shared" si="562"/>
        <v>-6</v>
      </c>
      <c r="BQ204" s="119">
        <f t="shared" ref="BQ204:BR204" si="563">SUM(BQ195:BQ203)</f>
        <v>7</v>
      </c>
      <c r="BR204" s="119">
        <f t="shared" si="563"/>
        <v>3</v>
      </c>
      <c r="BS204" s="119">
        <f t="shared" ref="BS204:BT204" si="564">SUM(BS195:BS203)</f>
        <v>-3</v>
      </c>
      <c r="BT204" s="119">
        <f t="shared" si="564"/>
        <v>-2</v>
      </c>
      <c r="BU204" s="119">
        <f t="shared" ref="BU204:BV204" si="565">SUM(BU195:BU203)</f>
        <v>7</v>
      </c>
      <c r="BV204" s="119">
        <f t="shared" si="565"/>
        <v>36</v>
      </c>
      <c r="BW204" s="119">
        <f t="shared" ref="BW204:BX204" si="566">SUM(BW195:BW203)</f>
        <v>56</v>
      </c>
      <c r="BX204" s="119">
        <f t="shared" si="566"/>
        <v>53</v>
      </c>
      <c r="BY204" s="119">
        <f t="shared" ref="BY204:BZ204" si="567">SUM(BY195:BY203)</f>
        <v>83</v>
      </c>
      <c r="BZ204" s="119">
        <f t="shared" si="567"/>
        <v>81</v>
      </c>
      <c r="CA204" s="206">
        <f t="shared" ref="CA204:CB204" si="568">SUM(CA195:CA203)</f>
        <v>77</v>
      </c>
      <c r="CB204" s="206">
        <f t="shared" si="568"/>
        <v>56</v>
      </c>
      <c r="CC204" s="206">
        <f t="shared" ref="CC204:CE204" si="569">SUM(CC195:CC203)</f>
        <v>61</v>
      </c>
      <c r="CD204" s="206">
        <f t="shared" si="569"/>
        <v>56</v>
      </c>
      <c r="CE204" s="120">
        <f t="shared" si="569"/>
        <v>61</v>
      </c>
      <c r="CF204" s="120">
        <f t="shared" ref="CF204:CG204" si="570">SUM(CF195:CF203)</f>
        <v>55</v>
      </c>
      <c r="CG204" s="120">
        <f t="shared" si="570"/>
        <v>47</v>
      </c>
      <c r="CH204" s="120">
        <f t="shared" ref="CH204:CI204" si="571">SUM(CH195:CH203)</f>
        <v>34</v>
      </c>
      <c r="CI204" s="120">
        <f t="shared" si="571"/>
        <v>8</v>
      </c>
      <c r="CJ204" s="120">
        <f t="shared" ref="CJ204" si="572">SUM(CJ195:CJ203)</f>
        <v>12</v>
      </c>
      <c r="CK204" s="120">
        <f t="shared" ref="CK204" si="573">SUM(CK195:CK203)</f>
        <v>-8</v>
      </c>
      <c r="CL204" s="120">
        <f t="shared" ref="CL204" si="574">SUM(CL195:CL203)</f>
        <v>-20</v>
      </c>
      <c r="CM204" s="120">
        <f t="shared" ref="CM204" si="575">SUM(CM195:CM203)</f>
        <v>-34</v>
      </c>
      <c r="CN204" s="120">
        <f t="shared" ref="CN204" si="576">SUM(CN195:CN203)</f>
        <v>-35</v>
      </c>
      <c r="CO204" s="120">
        <f t="shared" ref="CO204" si="577">SUM(CO195:CO203)</f>
        <v>-51</v>
      </c>
      <c r="CP204" s="206">
        <f t="shared" ref="CP204" si="578">SUM(CP195:CP203)</f>
        <v>-43</v>
      </c>
      <c r="CQ204" s="206">
        <f t="shared" ref="CQ204:CS204" si="579">SUM(CQ195:CQ203)</f>
        <v>-35</v>
      </c>
      <c r="CR204" s="206">
        <f t="shared" ref="CR204" si="580">SUM(CR195:CR203)</f>
        <v>-43</v>
      </c>
      <c r="CS204" s="206"/>
      <c r="CT204" s="349"/>
      <c r="CU204" s="119">
        <f>CU195+CU198+CU201+CU202+CU203</f>
        <v>56</v>
      </c>
    </row>
    <row r="205" spans="1:99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48"/>
      <c r="CU205" s="81"/>
    </row>
    <row r="206" spans="1:99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R206" si="581">O206-C206</f>
        <v>151055.64000000001</v>
      </c>
      <c r="BJ206" s="232">
        <f t="shared" si="581"/>
        <v>354473.22</v>
      </c>
      <c r="BK206" s="232">
        <f t="shared" si="581"/>
        <v>228469.40000000002</v>
      </c>
      <c r="BL206" s="232">
        <f t="shared" si="581"/>
        <v>410560.74</v>
      </c>
      <c r="BM206" s="232">
        <f t="shared" si="581"/>
        <v>327658.30000000005</v>
      </c>
      <c r="BN206" s="232">
        <f t="shared" si="581"/>
        <v>659822.07000000007</v>
      </c>
      <c r="BO206" s="232">
        <f t="shared" si="581"/>
        <v>275470.43999999994</v>
      </c>
      <c r="BP206" s="232">
        <f t="shared" si="581"/>
        <v>550130.32999999996</v>
      </c>
      <c r="BQ206" s="232">
        <f t="shared" si="581"/>
        <v>226352.68000000005</v>
      </c>
      <c r="BR206" s="232">
        <f t="shared" si="581"/>
        <v>59650.379999999888</v>
      </c>
      <c r="BS206" s="232">
        <f t="shared" si="581"/>
        <v>155612.42999999993</v>
      </c>
      <c r="BT206" s="232">
        <f t="shared" si="581"/>
        <v>370524.35000000009</v>
      </c>
      <c r="BU206" s="232">
        <f t="shared" si="581"/>
        <v>254979.03000000003</v>
      </c>
      <c r="BV206" s="232">
        <f t="shared" si="581"/>
        <v>-103175.76000000001</v>
      </c>
      <c r="BW206" s="232">
        <f t="shared" si="581"/>
        <v>38690</v>
      </c>
      <c r="BX206" s="232">
        <f t="shared" si="581"/>
        <v>44566</v>
      </c>
      <c r="BY206" s="232">
        <f t="shared" si="581"/>
        <v>272993</v>
      </c>
      <c r="BZ206" s="232">
        <f t="shared" si="581"/>
        <v>14560</v>
      </c>
      <c r="CA206" s="282">
        <f t="shared" si="581"/>
        <v>433097</v>
      </c>
      <c r="CB206" s="282">
        <f t="shared" si="581"/>
        <v>-283929</v>
      </c>
      <c r="CC206" s="282">
        <f t="shared" si="581"/>
        <v>233757</v>
      </c>
      <c r="CD206" s="282">
        <f t="shared" si="581"/>
        <v>-151369</v>
      </c>
      <c r="CE206" s="312">
        <f t="shared" si="581"/>
        <v>-32977</v>
      </c>
      <c r="CF206" s="312">
        <f t="shared" si="581"/>
        <v>150716</v>
      </c>
      <c r="CG206" s="312">
        <f t="shared" si="581"/>
        <v>-11290</v>
      </c>
      <c r="CH206" s="312">
        <f t="shared" si="581"/>
        <v>47316</v>
      </c>
      <c r="CI206" s="312">
        <f t="shared" si="581"/>
        <v>29808</v>
      </c>
      <c r="CJ206" s="312">
        <f t="shared" si="581"/>
        <v>154287</v>
      </c>
      <c r="CK206" s="312">
        <f t="shared" si="581"/>
        <v>-161178</v>
      </c>
      <c r="CL206" s="312">
        <f t="shared" si="581"/>
        <v>258145</v>
      </c>
      <c r="CM206" s="312">
        <f t="shared" si="581"/>
        <v>193067</v>
      </c>
      <c r="CN206" s="312">
        <f t="shared" si="581"/>
        <v>202534</v>
      </c>
      <c r="CO206" s="312">
        <f t="shared" si="581"/>
        <v>155107</v>
      </c>
      <c r="CP206" s="312">
        <f t="shared" si="581"/>
        <v>399660</v>
      </c>
      <c r="CQ206" s="312">
        <f t="shared" si="581"/>
        <v>660996</v>
      </c>
      <c r="CR206" s="312">
        <f t="shared" si="581"/>
        <v>364574</v>
      </c>
      <c r="CS206" s="312"/>
      <c r="CT206" s="348"/>
      <c r="CU206" s="36">
        <f>'MONTHLY SUMMARIES'!F150</f>
        <v>1503523</v>
      </c>
    </row>
    <row r="207" spans="1:99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48"/>
      <c r="CU207" s="67">
        <f>GETPIVOTDATA("VALUE",'CSS ESCO pvt'!$I$3,"DATE_FILE",$CU$8,"COMPANY",$CU$6,"TRIM_CAT","Residential-GRID","TRIM_LINE",$A205)</f>
        <v>384882</v>
      </c>
    </row>
    <row r="208" spans="1:99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48"/>
      <c r="CU208" s="81">
        <f>CU206-CU207</f>
        <v>1118641</v>
      </c>
    </row>
    <row r="209" spans="1:102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R209" si="582">O209-C209</f>
        <v>2000.1000000000004</v>
      </c>
      <c r="BJ209" s="232">
        <f t="shared" si="582"/>
        <v>890.78999999999905</v>
      </c>
      <c r="BK209" s="232">
        <f t="shared" si="582"/>
        <v>-55.540000000000873</v>
      </c>
      <c r="BL209" s="232">
        <f t="shared" si="582"/>
        <v>612.86000000000058</v>
      </c>
      <c r="BM209" s="232">
        <f t="shared" si="582"/>
        <v>-181.71999999999935</v>
      </c>
      <c r="BN209" s="232">
        <f t="shared" si="582"/>
        <v>2388.5200000000004</v>
      </c>
      <c r="BO209" s="232">
        <f t="shared" si="582"/>
        <v>2384.17</v>
      </c>
      <c r="BP209" s="232">
        <f t="shared" si="582"/>
        <v>801.43000000000029</v>
      </c>
      <c r="BQ209" s="232">
        <f t="shared" si="582"/>
        <v>-769.78000000000065</v>
      </c>
      <c r="BR209" s="232">
        <f t="shared" si="582"/>
        <v>-570.93000000000029</v>
      </c>
      <c r="BS209" s="232">
        <f t="shared" si="582"/>
        <v>2182.08</v>
      </c>
      <c r="BT209" s="232">
        <f t="shared" si="582"/>
        <v>8188.82</v>
      </c>
      <c r="BU209" s="232">
        <f t="shared" si="582"/>
        <v>8133.42</v>
      </c>
      <c r="BV209" s="232">
        <f t="shared" si="582"/>
        <v>2549.2700000000004</v>
      </c>
      <c r="BW209" s="232">
        <f t="shared" si="582"/>
        <v>3831</v>
      </c>
      <c r="BX209" s="232">
        <f t="shared" si="582"/>
        <v>4170</v>
      </c>
      <c r="BY209" s="232">
        <f t="shared" si="582"/>
        <v>4105</v>
      </c>
      <c r="BZ209" s="232">
        <f t="shared" si="582"/>
        <v>1717</v>
      </c>
      <c r="CA209" s="282">
        <f t="shared" si="582"/>
        <v>4105</v>
      </c>
      <c r="CB209" s="282">
        <f t="shared" si="582"/>
        <v>2105</v>
      </c>
      <c r="CC209" s="282">
        <f t="shared" si="582"/>
        <v>-99</v>
      </c>
      <c r="CD209" s="282">
        <f t="shared" si="582"/>
        <v>-729</v>
      </c>
      <c r="CE209" s="312">
        <f t="shared" si="582"/>
        <v>-1302</v>
      </c>
      <c r="CF209" s="312">
        <f t="shared" si="582"/>
        <v>-3392</v>
      </c>
      <c r="CG209" s="312">
        <f t="shared" si="582"/>
        <v>-6706</v>
      </c>
      <c r="CH209" s="312">
        <f t="shared" si="582"/>
        <v>-3044</v>
      </c>
      <c r="CI209" s="312">
        <f t="shared" si="582"/>
        <v>-3300</v>
      </c>
      <c r="CJ209" s="312">
        <f t="shared" si="582"/>
        <v>-2542</v>
      </c>
      <c r="CK209" s="312">
        <f t="shared" si="582"/>
        <v>-5436</v>
      </c>
      <c r="CL209" s="312">
        <f t="shared" si="582"/>
        <v>-3552</v>
      </c>
      <c r="CM209" s="312">
        <f t="shared" si="582"/>
        <v>-8163</v>
      </c>
      <c r="CN209" s="312">
        <f t="shared" si="582"/>
        <v>-3646</v>
      </c>
      <c r="CO209" s="312">
        <f t="shared" si="582"/>
        <v>645</v>
      </c>
      <c r="CP209" s="312">
        <f t="shared" si="582"/>
        <v>2921</v>
      </c>
      <c r="CQ209" s="312">
        <f t="shared" si="582"/>
        <v>6499</v>
      </c>
      <c r="CR209" s="312">
        <f t="shared" si="582"/>
        <v>4668</v>
      </c>
      <c r="CS209" s="312"/>
      <c r="CT209" s="348"/>
      <c r="CU209" s="36">
        <f>'MONTHLY SUMMARIES'!F151</f>
        <v>20899</v>
      </c>
    </row>
    <row r="210" spans="1:102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48"/>
      <c r="CU210" s="67">
        <f>GETPIVOTDATA("VALUE",'CSS ESCO pvt'!$I$3,"DATE_FILE",$CU$8,"COMPANY",$CU$6,"TRIM_CAT","Low Income Residential-GRID","TRIM_LINE",$A205)</f>
        <v>7139</v>
      </c>
    </row>
    <row r="211" spans="1:102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48"/>
      <c r="CU211" s="81">
        <f>CU209-CU210</f>
        <v>13760</v>
      </c>
    </row>
    <row r="212" spans="1:102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583">O212-C212</f>
        <v>55708.75</v>
      </c>
      <c r="BJ212" s="232">
        <f t="shared" si="583"/>
        <v>44111.459999999992</v>
      </c>
      <c r="BK212" s="232">
        <f t="shared" si="583"/>
        <v>-20382.799999999988</v>
      </c>
      <c r="BL212" s="232">
        <f t="shared" si="583"/>
        <v>30905.47</v>
      </c>
      <c r="BM212" s="232">
        <f t="shared" si="583"/>
        <v>-113114.20000000001</v>
      </c>
      <c r="BN212" s="232">
        <f t="shared" si="583"/>
        <v>35110.600000000006</v>
      </c>
      <c r="BO212" s="232">
        <f t="shared" si="583"/>
        <v>1659.460000000021</v>
      </c>
      <c r="BP212" s="232">
        <f t="shared" si="583"/>
        <v>93944.57</v>
      </c>
      <c r="BQ212" s="232">
        <f t="shared" si="583"/>
        <v>45001.64</v>
      </c>
      <c r="BR212" s="232">
        <f t="shared" si="583"/>
        <v>-26672.270000000019</v>
      </c>
      <c r="BS212" s="232">
        <f t="shared" ref="BS212:CB214" si="584">Y212-M212</f>
        <v>-62074.400000000023</v>
      </c>
      <c r="BT212" s="232">
        <f t="shared" si="584"/>
        <v>41896.049999999988</v>
      </c>
      <c r="BU212" s="232">
        <f t="shared" si="584"/>
        <v>-1957.7099999999919</v>
      </c>
      <c r="BV212" s="232">
        <f t="shared" si="584"/>
        <v>-56466.100000000006</v>
      </c>
      <c r="BW212" s="232">
        <f t="shared" si="584"/>
        <v>6666</v>
      </c>
      <c r="BX212" s="232">
        <f t="shared" si="584"/>
        <v>62465</v>
      </c>
      <c r="BY212" s="232">
        <f t="shared" si="584"/>
        <v>88900</v>
      </c>
      <c r="BZ212" s="232">
        <f t="shared" si="584"/>
        <v>32276</v>
      </c>
      <c r="CA212" s="282">
        <f t="shared" si="584"/>
        <v>150512</v>
      </c>
      <c r="CB212" s="282">
        <f t="shared" si="584"/>
        <v>-105841</v>
      </c>
      <c r="CC212" s="282">
        <f t="shared" ref="CC212:CL214" si="585">AI212-W212</f>
        <v>157625</v>
      </c>
      <c r="CD212" s="282">
        <f t="shared" si="585"/>
        <v>23927</v>
      </c>
      <c r="CE212" s="312">
        <f t="shared" si="585"/>
        <v>4697</v>
      </c>
      <c r="CF212" s="312">
        <f t="shared" si="585"/>
        <v>110327</v>
      </c>
      <c r="CG212" s="312">
        <f t="shared" si="585"/>
        <v>19014</v>
      </c>
      <c r="CH212" s="312">
        <f t="shared" si="585"/>
        <v>46768</v>
      </c>
      <c r="CI212" s="312">
        <f t="shared" si="585"/>
        <v>24361</v>
      </c>
      <c r="CJ212" s="312">
        <f t="shared" si="585"/>
        <v>59121</v>
      </c>
      <c r="CK212" s="312">
        <f t="shared" si="585"/>
        <v>2554</v>
      </c>
      <c r="CL212" s="312">
        <f t="shared" si="585"/>
        <v>52262</v>
      </c>
      <c r="CM212" s="312">
        <f t="shared" ref="CM212:CR214" si="586">AS212-AG212</f>
        <v>78498</v>
      </c>
      <c r="CN212" s="312">
        <f t="shared" si="586"/>
        <v>80922</v>
      </c>
      <c r="CO212" s="312">
        <f t="shared" si="586"/>
        <v>2691</v>
      </c>
      <c r="CP212" s="312">
        <f t="shared" si="586"/>
        <v>110434</v>
      </c>
      <c r="CQ212" s="312">
        <f t="shared" si="586"/>
        <v>199173</v>
      </c>
      <c r="CR212" s="312">
        <f t="shared" si="586"/>
        <v>92285</v>
      </c>
      <c r="CS212" s="312"/>
      <c r="CT212" s="348"/>
      <c r="CU212" s="36">
        <f>'MONTHLY SUMMARIES'!F152</f>
        <v>285183</v>
      </c>
    </row>
    <row r="213" spans="1:102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583"/>
        <v>14066.989999999991</v>
      </c>
      <c r="BJ213" s="232">
        <f t="shared" si="583"/>
        <v>43758.710000000006</v>
      </c>
      <c r="BK213" s="232">
        <f t="shared" si="583"/>
        <v>-26496.450000000012</v>
      </c>
      <c r="BL213" s="232">
        <f t="shared" si="583"/>
        <v>22206.479999999996</v>
      </c>
      <c r="BM213" s="232">
        <f t="shared" si="583"/>
        <v>-67378.040000000008</v>
      </c>
      <c r="BN213" s="232">
        <f t="shared" si="583"/>
        <v>77344.160000000003</v>
      </c>
      <c r="BO213" s="232">
        <f t="shared" si="583"/>
        <v>-38128.919999999984</v>
      </c>
      <c r="BP213" s="232">
        <f t="shared" si="583"/>
        <v>50981.97</v>
      </c>
      <c r="BQ213" s="232">
        <f t="shared" si="583"/>
        <v>26830.86</v>
      </c>
      <c r="BR213" s="232">
        <f t="shared" si="583"/>
        <v>-1909.4800000000105</v>
      </c>
      <c r="BS213" s="232">
        <f t="shared" si="584"/>
        <v>-94707.760000000009</v>
      </c>
      <c r="BT213" s="232">
        <f t="shared" si="584"/>
        <v>39308.490000000005</v>
      </c>
      <c r="BU213" s="232">
        <f t="shared" si="584"/>
        <v>1649.0599999999977</v>
      </c>
      <c r="BV213" s="232">
        <f t="shared" si="584"/>
        <v>-76471.320000000007</v>
      </c>
      <c r="BW213" s="232">
        <f t="shared" si="584"/>
        <v>56877</v>
      </c>
      <c r="BX213" s="232">
        <f t="shared" si="584"/>
        <v>60121</v>
      </c>
      <c r="BY213" s="232">
        <f t="shared" si="584"/>
        <v>34722</v>
      </c>
      <c r="BZ213" s="232">
        <f t="shared" si="584"/>
        <v>19724</v>
      </c>
      <c r="CA213" s="282">
        <f t="shared" si="584"/>
        <v>53406</v>
      </c>
      <c r="CB213" s="282">
        <f t="shared" si="584"/>
        <v>-60873</v>
      </c>
      <c r="CC213" s="282">
        <f t="shared" si="585"/>
        <v>136943</v>
      </c>
      <c r="CD213" s="282">
        <f t="shared" si="585"/>
        <v>48102</v>
      </c>
      <c r="CE213" s="312">
        <f t="shared" si="585"/>
        <v>29476</v>
      </c>
      <c r="CF213" s="312">
        <f t="shared" si="585"/>
        <v>95378</v>
      </c>
      <c r="CG213" s="312">
        <f t="shared" si="585"/>
        <v>26951</v>
      </c>
      <c r="CH213" s="312">
        <f t="shared" si="585"/>
        <v>62424</v>
      </c>
      <c r="CI213" s="312">
        <f t="shared" si="585"/>
        <v>-19298</v>
      </c>
      <c r="CJ213" s="312">
        <f t="shared" si="585"/>
        <v>31348</v>
      </c>
      <c r="CK213" s="312">
        <f t="shared" si="585"/>
        <v>16303</v>
      </c>
      <c r="CL213" s="312">
        <f t="shared" si="585"/>
        <v>29665</v>
      </c>
      <c r="CM213" s="312">
        <f t="shared" si="586"/>
        <v>162327</v>
      </c>
      <c r="CN213" s="312">
        <f t="shared" si="586"/>
        <v>92335</v>
      </c>
      <c r="CO213" s="312">
        <f t="shared" si="586"/>
        <v>-41561</v>
      </c>
      <c r="CP213" s="312">
        <f t="shared" si="586"/>
        <v>-18892</v>
      </c>
      <c r="CQ213" s="312">
        <f t="shared" si="586"/>
        <v>137769</v>
      </c>
      <c r="CR213" s="312">
        <f t="shared" si="586"/>
        <v>45322</v>
      </c>
      <c r="CS213" s="312"/>
      <c r="CT213" s="348"/>
      <c r="CU213" s="36">
        <f>'MONTHLY SUMMARIES'!F153</f>
        <v>152481</v>
      </c>
    </row>
    <row r="214" spans="1:102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583"/>
        <v>-1175.6600000000035</v>
      </c>
      <c r="BJ214" s="232">
        <f t="shared" si="583"/>
        <v>29004.67</v>
      </c>
      <c r="BK214" s="232">
        <f t="shared" si="583"/>
        <v>29015.579999999987</v>
      </c>
      <c r="BL214" s="232">
        <f t="shared" si="583"/>
        <v>5760.25</v>
      </c>
      <c r="BM214" s="232">
        <f t="shared" si="583"/>
        <v>2202.429999999993</v>
      </c>
      <c r="BN214" s="232">
        <f t="shared" si="583"/>
        <v>31075.160000000003</v>
      </c>
      <c r="BO214" s="232">
        <f t="shared" si="583"/>
        <v>42080.070000000007</v>
      </c>
      <c r="BP214" s="232">
        <f t="shared" si="583"/>
        <v>4610.7099999999919</v>
      </c>
      <c r="BQ214" s="232">
        <f t="shared" si="583"/>
        <v>35032.670000000013</v>
      </c>
      <c r="BR214" s="232">
        <f t="shared" si="583"/>
        <v>140498.47</v>
      </c>
      <c r="BS214" s="232">
        <f t="shared" si="584"/>
        <v>-11995.36</v>
      </c>
      <c r="BT214" s="232">
        <f t="shared" si="584"/>
        <v>-117609.59000000003</v>
      </c>
      <c r="BU214" s="232">
        <f t="shared" si="584"/>
        <v>52033.890000000014</v>
      </c>
      <c r="BV214" s="232">
        <f t="shared" si="584"/>
        <v>-39285.149999999994</v>
      </c>
      <c r="BW214" s="232">
        <f t="shared" si="584"/>
        <v>-62642</v>
      </c>
      <c r="BX214" s="232">
        <f t="shared" si="584"/>
        <v>-56962</v>
      </c>
      <c r="BY214" s="232">
        <f t="shared" si="584"/>
        <v>45670</v>
      </c>
      <c r="BZ214" s="232">
        <f t="shared" si="584"/>
        <v>-31020</v>
      </c>
      <c r="CA214" s="282">
        <f t="shared" si="584"/>
        <v>-54617</v>
      </c>
      <c r="CB214" s="282">
        <f t="shared" si="584"/>
        <v>-1973</v>
      </c>
      <c r="CC214" s="282">
        <f t="shared" si="585"/>
        <v>-20665</v>
      </c>
      <c r="CD214" s="282">
        <f t="shared" si="585"/>
        <v>27784</v>
      </c>
      <c r="CE214" s="312">
        <f t="shared" si="585"/>
        <v>121946</v>
      </c>
      <c r="CF214" s="312">
        <f t="shared" si="585"/>
        <v>-35127</v>
      </c>
      <c r="CG214" s="312">
        <f t="shared" si="585"/>
        <v>-7433</v>
      </c>
      <c r="CH214" s="312">
        <f t="shared" si="585"/>
        <v>45795</v>
      </c>
      <c r="CI214" s="312">
        <f t="shared" si="585"/>
        <v>-36725</v>
      </c>
      <c r="CJ214" s="312">
        <f t="shared" si="585"/>
        <v>33149</v>
      </c>
      <c r="CK214" s="312">
        <f t="shared" si="585"/>
        <v>-79296</v>
      </c>
      <c r="CL214" s="312">
        <f t="shared" si="585"/>
        <v>16981</v>
      </c>
      <c r="CM214" s="312">
        <f t="shared" si="586"/>
        <v>8420</v>
      </c>
      <c r="CN214" s="312">
        <f t="shared" si="586"/>
        <v>118578</v>
      </c>
      <c r="CO214" s="312">
        <f t="shared" si="586"/>
        <v>18491</v>
      </c>
      <c r="CP214" s="312">
        <f t="shared" si="586"/>
        <v>-82360</v>
      </c>
      <c r="CQ214" s="312">
        <f t="shared" si="586"/>
        <v>-25902</v>
      </c>
      <c r="CR214" s="312">
        <f t="shared" si="586"/>
        <v>-12000</v>
      </c>
      <c r="CS214" s="312"/>
      <c r="CT214" s="348"/>
      <c r="CU214" s="36">
        <f>'MONTHLY SUMMARIES'!F154</f>
        <v>193511</v>
      </c>
    </row>
    <row r="215" spans="1:102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587">SUM(D206:D214)</f>
        <v>1330539.2100000002</v>
      </c>
      <c r="E215" s="227">
        <f t="shared" si="587"/>
        <v>1318019.8099999998</v>
      </c>
      <c r="F215" s="228">
        <f t="shared" si="587"/>
        <v>1364320.2</v>
      </c>
      <c r="G215" s="227">
        <f t="shared" si="587"/>
        <v>1850958.23</v>
      </c>
      <c r="H215" s="228">
        <f t="shared" si="587"/>
        <v>2250387.4899999998</v>
      </c>
      <c r="I215" s="227">
        <f t="shared" si="587"/>
        <v>2336017.7800000003</v>
      </c>
      <c r="J215" s="228">
        <f t="shared" si="587"/>
        <v>1589270.99</v>
      </c>
      <c r="K215" s="227">
        <f t="shared" si="587"/>
        <v>1081057.93</v>
      </c>
      <c r="L215" s="229">
        <f t="shared" si="587"/>
        <v>2084147.83</v>
      </c>
      <c r="M215" s="228">
        <f t="shared" si="587"/>
        <v>1921340.0100000002</v>
      </c>
      <c r="N215" s="228">
        <f t="shared" si="587"/>
        <v>1650662.88</v>
      </c>
      <c r="O215" s="228">
        <f t="shared" si="587"/>
        <v>1679552.31</v>
      </c>
      <c r="P215" s="228">
        <f t="shared" si="587"/>
        <v>1802778.06</v>
      </c>
      <c r="Q215" s="228">
        <f t="shared" si="587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si="587"/>
        <v>221655.82</v>
      </c>
      <c r="BJ215" s="234">
        <f t="shared" si="587"/>
        <v>472238.85</v>
      </c>
      <c r="BK215" s="234">
        <f t="shared" si="587"/>
        <v>210550.19</v>
      </c>
      <c r="BL215" s="234">
        <f t="shared" si="587"/>
        <v>470045.79999999993</v>
      </c>
      <c r="BM215" s="234">
        <f t="shared" ref="BM215:BN215" si="588">SUM(BM206:BM214)</f>
        <v>149186.77000000005</v>
      </c>
      <c r="BN215" s="234">
        <f t="shared" si="588"/>
        <v>805740.51000000013</v>
      </c>
      <c r="BO215" s="234">
        <f t="shared" ref="BO215:BP215" si="589">SUM(BO206:BO214)</f>
        <v>283465.21999999997</v>
      </c>
      <c r="BP215" s="234">
        <f t="shared" si="589"/>
        <v>700469.01</v>
      </c>
      <c r="BQ215" s="234">
        <f t="shared" ref="BQ215:BR215" si="590">SUM(BQ206:BQ214)</f>
        <v>332448.07000000007</v>
      </c>
      <c r="BR215" s="234">
        <f t="shared" si="590"/>
        <v>170996.16999999987</v>
      </c>
      <c r="BS215" s="234">
        <f t="shared" ref="BS215:BT215" si="591">SUM(BS206:BS214)</f>
        <v>-10983.010000000111</v>
      </c>
      <c r="BT215" s="234">
        <f t="shared" si="591"/>
        <v>342308.12000000005</v>
      </c>
      <c r="BU215" s="234">
        <f t="shared" ref="BU215:BV215" si="592">SUM(BU206:BU214)</f>
        <v>314837.69000000006</v>
      </c>
      <c r="BV215" s="234">
        <f t="shared" si="592"/>
        <v>-272849.06000000006</v>
      </c>
      <c r="BW215" s="234">
        <f t="shared" ref="BW215:BX215" si="593">SUM(BW206:BW214)</f>
        <v>43422</v>
      </c>
      <c r="BX215" s="234">
        <f t="shared" si="593"/>
        <v>114360</v>
      </c>
      <c r="BY215" s="234">
        <f t="shared" ref="BY215:BZ215" si="594">SUM(BY206:BY214)</f>
        <v>446390</v>
      </c>
      <c r="BZ215" s="234">
        <f t="shared" si="594"/>
        <v>37257</v>
      </c>
      <c r="CA215" s="283">
        <f t="shared" ref="CA215:CB215" si="595">SUM(CA206:CA214)</f>
        <v>586503</v>
      </c>
      <c r="CB215" s="283">
        <f t="shared" si="595"/>
        <v>-450511</v>
      </c>
      <c r="CC215" s="283">
        <f t="shared" ref="CC215:CE215" si="596">SUM(CC206:CC214)</f>
        <v>507561</v>
      </c>
      <c r="CD215" s="283">
        <f t="shared" si="596"/>
        <v>-52285</v>
      </c>
      <c r="CE215" s="313">
        <f t="shared" si="596"/>
        <v>121840</v>
      </c>
      <c r="CF215" s="313">
        <f t="shared" ref="CF215:CG215" si="597">SUM(CF206:CF214)</f>
        <v>317902</v>
      </c>
      <c r="CG215" s="313">
        <f t="shared" si="597"/>
        <v>20536</v>
      </c>
      <c r="CH215" s="313">
        <f t="shared" ref="CH215:CI215" si="598">SUM(CH206:CH214)</f>
        <v>199259</v>
      </c>
      <c r="CI215" s="313">
        <f t="shared" si="598"/>
        <v>-5154</v>
      </c>
      <c r="CJ215" s="313">
        <f t="shared" ref="CJ215" si="599">SUM(CJ206:CJ214)</f>
        <v>275363</v>
      </c>
      <c r="CK215" s="313">
        <f t="shared" ref="CK215" si="600">SUM(CK206:CK214)</f>
        <v>-227053</v>
      </c>
      <c r="CL215" s="313">
        <f t="shared" ref="CL215" si="601">SUM(CL206:CL214)</f>
        <v>353501</v>
      </c>
      <c r="CM215" s="313">
        <f t="shared" ref="CM215" si="602">SUM(CM206:CM214)</f>
        <v>434149</v>
      </c>
      <c r="CN215" s="313">
        <f t="shared" ref="CN215" si="603">SUM(CN206:CN214)</f>
        <v>490723</v>
      </c>
      <c r="CO215" s="313">
        <f t="shared" ref="CO215" si="604">SUM(CO206:CO214)</f>
        <v>135373</v>
      </c>
      <c r="CP215" s="313">
        <f t="shared" ref="CP215" si="605">SUM(CP206:CP214)</f>
        <v>411763</v>
      </c>
      <c r="CQ215" s="313">
        <f t="shared" ref="CQ215:CS215" si="606">SUM(CQ206:CQ214)</f>
        <v>978535</v>
      </c>
      <c r="CR215" s="313">
        <f t="shared" ref="CR215" si="607">SUM(CR206:CR214)</f>
        <v>494849</v>
      </c>
      <c r="CS215" s="313"/>
      <c r="CT215" s="349"/>
      <c r="CU215" s="262">
        <f>CU206+CU209+CU212+CU213+CU214</f>
        <v>2155597</v>
      </c>
    </row>
    <row r="216" spans="1:102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48"/>
      <c r="CU216" s="93"/>
    </row>
    <row r="217" spans="1:102" s="62" customFormat="1" x14ac:dyDescent="0.3">
      <c r="A217" s="150"/>
      <c r="B217" s="63" t="s">
        <v>37</v>
      </c>
      <c r="C217" s="115"/>
      <c r="D217" s="176">
        <f t="shared" ref="D217:Y217" si="608">(C98+C206+D130-D98-D206)/(C98+C206+D130-D206)</f>
        <v>0.75630370934042801</v>
      </c>
      <c r="E217" s="177">
        <f t="shared" si="608"/>
        <v>0.76727544529949332</v>
      </c>
      <c r="F217" s="177">
        <f t="shared" si="608"/>
        <v>0.74963048196685611</v>
      </c>
      <c r="G217" s="177">
        <f t="shared" si="608"/>
        <v>0.81544590141415063</v>
      </c>
      <c r="H217" s="178">
        <f t="shared" si="608"/>
        <v>0.86582921302566451</v>
      </c>
      <c r="I217" s="177">
        <f t="shared" si="608"/>
        <v>0.84044729963909659</v>
      </c>
      <c r="J217" s="178">
        <f t="shared" si="608"/>
        <v>0.83125364554353309</v>
      </c>
      <c r="K217" s="177">
        <f t="shared" si="608"/>
        <v>0.70843767933275992</v>
      </c>
      <c r="L217" s="179">
        <f t="shared" si="608"/>
        <v>0.68386579672931314</v>
      </c>
      <c r="M217" s="178">
        <f t="shared" si="608"/>
        <v>0.80294912379497863</v>
      </c>
      <c r="N217" s="178">
        <f t="shared" si="608"/>
        <v>0.77386251003263407</v>
      </c>
      <c r="O217" s="178">
        <f t="shared" si="608"/>
        <v>0.71575216438951328</v>
      </c>
      <c r="P217" s="178">
        <f t="shared" si="608"/>
        <v>0.6533172597180642</v>
      </c>
      <c r="Q217" s="178">
        <f t="shared" si="608"/>
        <v>0.68199754833628057</v>
      </c>
      <c r="R217" s="178">
        <f t="shared" si="608"/>
        <v>0.64521171635412999</v>
      </c>
      <c r="S217" s="178">
        <f t="shared" si="608"/>
        <v>0.72910470460942867</v>
      </c>
      <c r="T217" s="178">
        <f t="shared" si="608"/>
        <v>0.80284120122063141</v>
      </c>
      <c r="U217" s="178">
        <f t="shared" si="608"/>
        <v>0.76499790775352527</v>
      </c>
      <c r="V217" s="178">
        <f t="shared" si="608"/>
        <v>0.67263007485417825</v>
      </c>
      <c r="W217" s="178">
        <f t="shared" si="608"/>
        <v>0.76423472097075995</v>
      </c>
      <c r="X217" s="179">
        <f t="shared" si="608"/>
        <v>0.58701558641534746</v>
      </c>
      <c r="Y217" s="178">
        <f t="shared" si="608"/>
        <v>0.65544196843985769</v>
      </c>
      <c r="Z217" s="178">
        <v>0.66245478613846964</v>
      </c>
      <c r="AA217" s="178">
        <f t="shared" ref="AA217:AE219" si="609">(Z98+Z206+AA130-AA98-AA206)/(Z98+Z206+AA130-AA206)</f>
        <v>0.65589878725509498</v>
      </c>
      <c r="AB217" s="178">
        <f t="shared" si="609"/>
        <v>0.6545120807048137</v>
      </c>
      <c r="AC217" s="178">
        <f t="shared" si="609"/>
        <v>0.6431198380204991</v>
      </c>
      <c r="AD217" s="178">
        <f t="shared" si="609"/>
        <v>0.64817176436188795</v>
      </c>
      <c r="AE217" s="178">
        <f t="shared" si="609"/>
        <v>0.71877073442664674</v>
      </c>
      <c r="AF217" s="178">
        <f t="shared" ref="AF217:AY217" si="610">(AE98+AE206+AF130-AF98-AF206)/(AE98+AE206+AF130-AF206)</f>
        <v>0.78939000280057736</v>
      </c>
      <c r="AG217" s="178">
        <f t="shared" si="610"/>
        <v>0.81692077023697074</v>
      </c>
      <c r="AH217" s="178">
        <f t="shared" si="610"/>
        <v>0.76636191195961345</v>
      </c>
      <c r="AI217" s="178">
        <f t="shared" si="610"/>
        <v>0.67458309153583129</v>
      </c>
      <c r="AJ217" s="178">
        <f t="shared" si="610"/>
        <v>0.73394395116709044</v>
      </c>
      <c r="AK217" s="178">
        <f t="shared" si="610"/>
        <v>0.72758606016765248</v>
      </c>
      <c r="AL217" s="178">
        <f t="shared" si="610"/>
        <v>0.72906118135381648</v>
      </c>
      <c r="AM217" s="178">
        <f t="shared" si="610"/>
        <v>0.69980984921353939</v>
      </c>
      <c r="AN217" s="178">
        <f t="shared" si="610"/>
        <v>0.7337098164813769</v>
      </c>
      <c r="AO217" s="178">
        <f t="shared" si="610"/>
        <v>0.71366523591518782</v>
      </c>
      <c r="AP217" s="178">
        <f t="shared" si="610"/>
        <v>0.7514094512856978</v>
      </c>
      <c r="AQ217" s="178">
        <f t="shared" si="610"/>
        <v>0.76334903127272091</v>
      </c>
      <c r="AR217" s="178">
        <f t="shared" si="610"/>
        <v>0.8534287793151687</v>
      </c>
      <c r="AS217" s="178">
        <f t="shared" si="610"/>
        <v>0.82654605468691089</v>
      </c>
      <c r="AT217" s="178">
        <f t="shared" si="610"/>
        <v>0.78150270354963047</v>
      </c>
      <c r="AU217" s="178">
        <f t="shared" si="610"/>
        <v>0.49011616619968656</v>
      </c>
      <c r="AV217" s="284">
        <f t="shared" si="610"/>
        <v>0.24725458481295909</v>
      </c>
      <c r="AW217" s="284">
        <f t="shared" si="610"/>
        <v>0.37612827774962498</v>
      </c>
      <c r="AX217" s="284">
        <f t="shared" si="610"/>
        <v>0.53783373690533387</v>
      </c>
      <c r="AY217" s="284">
        <f t="shared" si="610"/>
        <v>0.79994234880573944</v>
      </c>
      <c r="AZ217" s="178"/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11">P217-D217</f>
        <v>-0.10298644962236381</v>
      </c>
      <c r="BK217" s="178">
        <f t="shared" si="611"/>
        <v>-8.5277896963212751E-2</v>
      </c>
      <c r="BL217" s="178">
        <f t="shared" si="611"/>
        <v>-0.10441876561272612</v>
      </c>
      <c r="BM217" s="178">
        <f t="shared" si="611"/>
        <v>-8.6341196804721965E-2</v>
      </c>
      <c r="BN217" s="178">
        <f t="shared" si="611"/>
        <v>-6.2988011805033106E-2</v>
      </c>
      <c r="BO217" s="178">
        <f t="shared" si="611"/>
        <v>-7.5449391885571315E-2</v>
      </c>
      <c r="BP217" s="178">
        <f t="shared" si="611"/>
        <v>-0.15862357068935484</v>
      </c>
      <c r="BQ217" s="178">
        <f t="shared" si="611"/>
        <v>5.5797041638000033E-2</v>
      </c>
      <c r="BR217" s="178">
        <f t="shared" si="611"/>
        <v>-9.6850210313965679E-2</v>
      </c>
      <c r="BS217" s="178">
        <f t="shared" si="611"/>
        <v>-0.14750715535512093</v>
      </c>
      <c r="BT217" s="178">
        <f t="shared" si="611"/>
        <v>-0.11140772389416442</v>
      </c>
      <c r="BU217" s="178">
        <f t="shared" si="611"/>
        <v>-5.9853377134418295E-2</v>
      </c>
      <c r="BV217" s="178">
        <f t="shared" si="611"/>
        <v>1.1948209867495008E-3</v>
      </c>
      <c r="BW217" s="178">
        <f t="shared" si="611"/>
        <v>-3.8877710315781466E-2</v>
      </c>
      <c r="BX217" s="178">
        <f t="shared" si="611"/>
        <v>2.9600480077579538E-3</v>
      </c>
      <c r="BY217" s="178">
        <f t="shared" si="611"/>
        <v>-1.0333970182781926E-2</v>
      </c>
      <c r="BZ217" s="178">
        <f t="shared" si="611"/>
        <v>-1.3451198420054045E-2</v>
      </c>
      <c r="CA217" s="284">
        <f t="shared" si="611"/>
        <v>5.1922862483445464E-2</v>
      </c>
      <c r="CB217" s="284">
        <f t="shared" si="611"/>
        <v>9.3731837105435201E-2</v>
      </c>
      <c r="CC217" s="284">
        <f t="shared" si="611"/>
        <v>-8.9651629434928659E-2</v>
      </c>
      <c r="CD217" s="284">
        <f t="shared" si="611"/>
        <v>0.14692836475174298</v>
      </c>
      <c r="CE217" s="318">
        <f t="shared" si="611"/>
        <v>7.214409172779479E-2</v>
      </c>
      <c r="CF217" s="318">
        <f t="shared" ref="CF217:CR217" si="612">AL217-Z217</f>
        <v>6.6606395215346836E-2</v>
      </c>
      <c r="CG217" s="318">
        <f t="shared" si="612"/>
        <v>4.3911061958444408E-2</v>
      </c>
      <c r="CH217" s="318">
        <f t="shared" si="612"/>
        <v>7.9197735776563194E-2</v>
      </c>
      <c r="CI217" s="318">
        <f t="shared" si="612"/>
        <v>7.0545397894688722E-2</v>
      </c>
      <c r="CJ217" s="318">
        <f t="shared" si="612"/>
        <v>0.10323768692380986</v>
      </c>
      <c r="CK217" s="318">
        <f t="shared" si="612"/>
        <v>4.4578296846074172E-2</v>
      </c>
      <c r="CL217" s="318">
        <f t="shared" si="612"/>
        <v>6.4038776514591333E-2</v>
      </c>
      <c r="CM217" s="318">
        <f t="shared" si="612"/>
        <v>9.6252844499401524E-3</v>
      </c>
      <c r="CN217" s="318">
        <f t="shared" si="612"/>
        <v>1.5140791590017022E-2</v>
      </c>
      <c r="CO217" s="318">
        <f t="shared" si="612"/>
        <v>-0.18446692533614473</v>
      </c>
      <c r="CP217" s="318">
        <f t="shared" si="612"/>
        <v>-0.48668936635413135</v>
      </c>
      <c r="CQ217" s="318">
        <f t="shared" si="612"/>
        <v>-0.3514577824180275</v>
      </c>
      <c r="CR217" s="318">
        <f t="shared" si="612"/>
        <v>-0.19122744444848261</v>
      </c>
      <c r="CS217" s="318"/>
      <c r="CT217" s="348"/>
      <c r="CU217" s="67"/>
    </row>
    <row r="218" spans="1:102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609"/>
        <v>0.64085863332583748</v>
      </c>
      <c r="AB218" s="246">
        <f t="shared" si="609"/>
        <v>0.71191516127513543</v>
      </c>
      <c r="AC218" s="246">
        <f t="shared" si="609"/>
        <v>0.64459357579233578</v>
      </c>
      <c r="AD218" s="246">
        <f t="shared" si="609"/>
        <v>0.64179662186862718</v>
      </c>
      <c r="AE218" s="246">
        <f t="shared" si="609"/>
        <v>0.73295700571323097</v>
      </c>
      <c r="AF218" s="246">
        <f t="shared" ref="AF218:AY218" si="613">(AE99+AE207+AF131-AF99-AF207)/(AE99+AE207+AF131-AF207)</f>
        <v>0.78823780764548257</v>
      </c>
      <c r="AG218" s="246">
        <f t="shared" si="613"/>
        <v>0.79137883887965355</v>
      </c>
      <c r="AH218" s="246">
        <f t="shared" si="613"/>
        <v>0.78555283135345699</v>
      </c>
      <c r="AI218" s="246">
        <f t="shared" si="613"/>
        <v>0.67001430688861463</v>
      </c>
      <c r="AJ218" s="246">
        <f t="shared" si="613"/>
        <v>0.75084133739068371</v>
      </c>
      <c r="AK218" s="246">
        <f t="shared" si="613"/>
        <v>0.76666506893126374</v>
      </c>
      <c r="AL218" s="246">
        <f t="shared" si="613"/>
        <v>0.75156962516486969</v>
      </c>
      <c r="AM218" s="246">
        <f t="shared" si="613"/>
        <v>0.75347052308960261</v>
      </c>
      <c r="AN218" s="246">
        <f t="shared" si="613"/>
        <v>0.77062484636940165</v>
      </c>
      <c r="AO218" s="246">
        <f t="shared" si="613"/>
        <v>0.70437866593916243</v>
      </c>
      <c r="AP218" s="246">
        <f t="shared" si="613"/>
        <v>0.73348816887805546</v>
      </c>
      <c r="AQ218" s="246">
        <f t="shared" si="613"/>
        <v>0.75629686240336269</v>
      </c>
      <c r="AR218" s="246">
        <f t="shared" si="613"/>
        <v>0.83016155541361059</v>
      </c>
      <c r="AS218" s="246">
        <f t="shared" si="613"/>
        <v>0.81935722079917184</v>
      </c>
      <c r="AT218" s="246">
        <f t="shared" si="613"/>
        <v>0.77574292309132298</v>
      </c>
      <c r="AU218" s="246">
        <f t="shared" si="613"/>
        <v>0.37825193166513077</v>
      </c>
      <c r="AV218" s="393">
        <f t="shared" si="613"/>
        <v>0.18209218457974677</v>
      </c>
      <c r="AW218" s="393">
        <f t="shared" si="613"/>
        <v>0.44223511000644389</v>
      </c>
      <c r="AX218" s="393">
        <f t="shared" si="613"/>
        <v>0.55156779712138215</v>
      </c>
      <c r="AY218" s="393">
        <f t="shared" si="613"/>
        <v>0.82315563478072462</v>
      </c>
      <c r="AZ218" s="246"/>
      <c r="BA218" s="246"/>
      <c r="BB218" s="246"/>
      <c r="BC218" s="246"/>
      <c r="BD218" s="246"/>
      <c r="BE218" s="246"/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53"/>
      <c r="CU218" s="240"/>
      <c r="CV218" s="62"/>
      <c r="CX218" s="62"/>
    </row>
    <row r="219" spans="1:102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609"/>
        <v>0.6579029829116616</v>
      </c>
      <c r="AB219" s="246">
        <f t="shared" si="609"/>
        <v>0.64593345497839338</v>
      </c>
      <c r="AC219" s="246">
        <f t="shared" si="609"/>
        <v>0.64292366098550979</v>
      </c>
      <c r="AD219" s="246">
        <f t="shared" si="609"/>
        <v>0.64902317464325132</v>
      </c>
      <c r="AE219" s="246">
        <f t="shared" si="609"/>
        <v>0.7168186636385232</v>
      </c>
      <c r="AF219" s="246">
        <f t="shared" ref="AF219:AY219" si="614">(AE100+AE208+AF132-AF100-AF208)/(AE100+AE208+AF132-AF208)</f>
        <v>0.78954877923419908</v>
      </c>
      <c r="AG219" s="246">
        <f t="shared" si="614"/>
        <v>0.82050777479207171</v>
      </c>
      <c r="AH219" s="246">
        <f t="shared" si="614"/>
        <v>0.76308450563409946</v>
      </c>
      <c r="AI219" s="246">
        <f t="shared" si="614"/>
        <v>0.67535379724735711</v>
      </c>
      <c r="AJ219" s="246">
        <f t="shared" si="614"/>
        <v>0.73069153430712142</v>
      </c>
      <c r="AK219" s="246">
        <f t="shared" si="614"/>
        <v>0.7189320816553012</v>
      </c>
      <c r="AL219" s="246">
        <f t="shared" si="614"/>
        <v>0.72385361312536023</v>
      </c>
      <c r="AM219" s="246">
        <f t="shared" si="614"/>
        <v>0.68762869681165162</v>
      </c>
      <c r="AN219" s="246">
        <f t="shared" si="614"/>
        <v>0.72686782965499974</v>
      </c>
      <c r="AO219" s="246">
        <f t="shared" si="614"/>
        <v>0.71516695221961268</v>
      </c>
      <c r="AP219" s="246">
        <f t="shared" si="614"/>
        <v>0.75435903374972657</v>
      </c>
      <c r="AQ219" s="246">
        <f t="shared" si="614"/>
        <v>0.76444170393550237</v>
      </c>
      <c r="AR219" s="246">
        <f t="shared" si="614"/>
        <v>0.85707944239803535</v>
      </c>
      <c r="AS219" s="246">
        <f t="shared" si="614"/>
        <v>0.82762701715042586</v>
      </c>
      <c r="AT219" s="246">
        <f t="shared" si="614"/>
        <v>0.78251403771422479</v>
      </c>
      <c r="AU219" s="246">
        <f t="shared" si="614"/>
        <v>0.50446921573279147</v>
      </c>
      <c r="AV219" s="393">
        <f t="shared" si="614"/>
        <v>0.25911617432137807</v>
      </c>
      <c r="AW219" s="393">
        <f t="shared" si="614"/>
        <v>0.36038443790676356</v>
      </c>
      <c r="AX219" s="393">
        <f t="shared" si="614"/>
        <v>0.53391544509934308</v>
      </c>
      <c r="AY219" s="393">
        <f t="shared" si="614"/>
        <v>0.79264685672686575</v>
      </c>
      <c r="AZ219" s="246"/>
      <c r="BA219" s="246"/>
      <c r="BB219" s="246"/>
      <c r="BC219" s="246"/>
      <c r="BD219" s="246"/>
      <c r="BE219" s="246"/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53"/>
      <c r="CU219" s="240"/>
      <c r="CV219" s="62"/>
      <c r="CX219" s="62"/>
    </row>
    <row r="220" spans="1:102" s="62" customFormat="1" x14ac:dyDescent="0.3">
      <c r="A220" s="150"/>
      <c r="B220" s="63" t="s">
        <v>38</v>
      </c>
      <c r="C220" s="115"/>
      <c r="D220" s="177">
        <f t="shared" ref="D220:AY220" si="615">(C101+C209+D133-D101-D209)/(C101+C209+D133-D209)</f>
        <v>0.18149695564816992</v>
      </c>
      <c r="E220" s="177">
        <f t="shared" si="615"/>
        <v>0.17469048983308227</v>
      </c>
      <c r="F220" s="177">
        <f t="shared" si="615"/>
        <v>0.19546615774921425</v>
      </c>
      <c r="G220" s="177">
        <f t="shared" si="615"/>
        <v>0.16208349188349863</v>
      </c>
      <c r="H220" s="178">
        <f t="shared" si="615"/>
        <v>0.18568638909768986</v>
      </c>
      <c r="I220" s="177">
        <f t="shared" si="615"/>
        <v>0.2174430296823508</v>
      </c>
      <c r="J220" s="178">
        <f t="shared" si="615"/>
        <v>0.21086771991984785</v>
      </c>
      <c r="K220" s="177">
        <f t="shared" si="615"/>
        <v>0.14563304975821389</v>
      </c>
      <c r="L220" s="179">
        <f t="shared" si="615"/>
        <v>0.13264045343257641</v>
      </c>
      <c r="M220" s="178">
        <f t="shared" si="615"/>
        <v>0.24089944128103302</v>
      </c>
      <c r="N220" s="178">
        <f t="shared" si="615"/>
        <v>0.2431354781304241</v>
      </c>
      <c r="O220" s="178">
        <f t="shared" si="615"/>
        <v>0.18431133539393776</v>
      </c>
      <c r="P220" s="178">
        <f t="shared" si="615"/>
        <v>0.14903316536358399</v>
      </c>
      <c r="Q220" s="178">
        <f t="shared" si="615"/>
        <v>0.14493857766869772</v>
      </c>
      <c r="R220" s="178">
        <f t="shared" si="615"/>
        <v>0.13345448833464957</v>
      </c>
      <c r="S220" s="178">
        <f t="shared" si="615"/>
        <v>5.1209613687358838E-2</v>
      </c>
      <c r="T220" s="178">
        <f t="shared" si="615"/>
        <v>0.16637144902726825</v>
      </c>
      <c r="U220" s="178">
        <f t="shared" si="615"/>
        <v>0.24916695732097066</v>
      </c>
      <c r="V220" s="178">
        <f t="shared" si="615"/>
        <v>0.32689241356159787</v>
      </c>
      <c r="W220" s="178">
        <f t="shared" si="615"/>
        <v>0.18442316259222208</v>
      </c>
      <c r="X220" s="179">
        <f t="shared" si="615"/>
        <v>3.7843158508984266E-2</v>
      </c>
      <c r="Y220" s="178">
        <f t="shared" si="615"/>
        <v>0.26681079770467953</v>
      </c>
      <c r="Z220" s="178">
        <v>0.1558312325859095</v>
      </c>
      <c r="AA220" s="178">
        <f t="shared" si="615"/>
        <v>0.14102596174194307</v>
      </c>
      <c r="AB220" s="178">
        <f t="shared" si="615"/>
        <v>4.3074513245187858E-2</v>
      </c>
      <c r="AC220" s="178">
        <f t="shared" si="615"/>
        <v>0.1694758485769991</v>
      </c>
      <c r="AD220" s="178">
        <f t="shared" si="615"/>
        <v>0.14660157928522394</v>
      </c>
      <c r="AE220" s="178">
        <f t="shared" si="615"/>
        <v>0.25026146099556035</v>
      </c>
      <c r="AF220" s="178">
        <f t="shared" si="615"/>
        <v>2.9467511294524237E-2</v>
      </c>
      <c r="AG220" s="178">
        <f t="shared" si="615"/>
        <v>0.2246630193742136</v>
      </c>
      <c r="AH220" s="178">
        <f t="shared" si="615"/>
        <v>0.29594950807499537</v>
      </c>
      <c r="AI220" s="178">
        <f t="shared" si="615"/>
        <v>0.3160193020015632</v>
      </c>
      <c r="AJ220" s="178">
        <f t="shared" si="615"/>
        <v>-0.18080247653720802</v>
      </c>
      <c r="AK220" s="178">
        <f t="shared" si="615"/>
        <v>0.16785902728203855</v>
      </c>
      <c r="AL220" s="178">
        <f t="shared" si="615"/>
        <v>0.21819733645003536</v>
      </c>
      <c r="AM220" s="178">
        <f t="shared" si="615"/>
        <v>0.23797948104598513</v>
      </c>
      <c r="AN220" s="178">
        <f t="shared" si="615"/>
        <v>0.15934651355510832</v>
      </c>
      <c r="AO220" s="178">
        <f t="shared" si="615"/>
        <v>0.1293209291594222</v>
      </c>
      <c r="AP220" s="178">
        <f t="shared" si="615"/>
        <v>0.13525982884782339</v>
      </c>
      <c r="AQ220" s="178">
        <f t="shared" si="615"/>
        <v>0.27984236584816025</v>
      </c>
      <c r="AR220" s="178">
        <f t="shared" si="615"/>
        <v>0.46652321116583917</v>
      </c>
      <c r="AS220" s="178">
        <f t="shared" si="615"/>
        <v>4.2122645836882869E-2</v>
      </c>
      <c r="AT220" s="178">
        <f t="shared" si="615"/>
        <v>0.37930466110175776</v>
      </c>
      <c r="AU220" s="178">
        <f t="shared" si="615"/>
        <v>6.991710094397359E-2</v>
      </c>
      <c r="AV220" s="284">
        <f t="shared" si="615"/>
        <v>0.1535005391589121</v>
      </c>
      <c r="AW220" s="284">
        <f t="shared" si="615"/>
        <v>0.13171085335542668</v>
      </c>
      <c r="AX220" s="284">
        <f t="shared" si="615"/>
        <v>-4.2032106499608458E-2</v>
      </c>
      <c r="AY220" s="284">
        <f t="shared" si="615"/>
        <v>0.37750378092566295</v>
      </c>
      <c r="AZ220" s="178"/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16">P220-D220</f>
        <v>-3.2463790284585931E-2</v>
      </c>
      <c r="BK220" s="178">
        <f t="shared" si="616"/>
        <v>-2.9751912164384553E-2</v>
      </c>
      <c r="BL220" s="178">
        <f t="shared" si="616"/>
        <v>-6.201166941456468E-2</v>
      </c>
      <c r="BM220" s="178">
        <f t="shared" si="616"/>
        <v>-0.11087387819613979</v>
      </c>
      <c r="BN220" s="178">
        <f t="shared" si="616"/>
        <v>-1.9314940070421616E-2</v>
      </c>
      <c r="BO220" s="178">
        <f t="shared" si="616"/>
        <v>3.1723927638619864E-2</v>
      </c>
      <c r="BP220" s="178">
        <f t="shared" si="616"/>
        <v>0.11602469364175003</v>
      </c>
      <c r="BQ220" s="178">
        <f t="shared" si="616"/>
        <v>3.8790112834008184E-2</v>
      </c>
      <c r="BR220" s="178">
        <f t="shared" si="616"/>
        <v>-9.4797294923592151E-2</v>
      </c>
      <c r="BS220" s="178">
        <f t="shared" si="616"/>
        <v>2.5911356423646503E-2</v>
      </c>
      <c r="BT220" s="178">
        <f t="shared" si="616"/>
        <v>-8.7304245544514603E-2</v>
      </c>
      <c r="BU220" s="178">
        <f t="shared" si="616"/>
        <v>-4.3285373651994696E-2</v>
      </c>
      <c r="BV220" s="178">
        <f t="shared" si="616"/>
        <v>-0.10595865211839614</v>
      </c>
      <c r="BW220" s="178">
        <f t="shared" si="616"/>
        <v>2.4537270908301378E-2</v>
      </c>
      <c r="BX220" s="178">
        <f t="shared" si="616"/>
        <v>1.3147090950574369E-2</v>
      </c>
      <c r="BY220" s="178">
        <f t="shared" si="616"/>
        <v>0.19905184730820152</v>
      </c>
      <c r="BZ220" s="178">
        <f t="shared" si="616"/>
        <v>-0.13690393773274401</v>
      </c>
      <c r="CA220" s="284">
        <f t="shared" si="616"/>
        <v>-2.4503937946757065E-2</v>
      </c>
      <c r="CB220" s="284">
        <f t="shared" si="616"/>
        <v>-3.0942905486602501E-2</v>
      </c>
      <c r="CC220" s="284">
        <f t="shared" si="616"/>
        <v>0.13159613940934112</v>
      </c>
      <c r="CD220" s="284">
        <f t="shared" si="616"/>
        <v>-0.21864563504619228</v>
      </c>
      <c r="CE220" s="318">
        <f t="shared" si="616"/>
        <v>-9.8951770422640972E-2</v>
      </c>
      <c r="CF220" s="318">
        <f t="shared" ref="CF220:CR220" si="617">AL220-Z220</f>
        <v>6.236610386412586E-2</v>
      </c>
      <c r="CG220" s="318">
        <f t="shared" si="617"/>
        <v>9.6953519304042057E-2</v>
      </c>
      <c r="CH220" s="318">
        <f t="shared" si="617"/>
        <v>0.11627200030992046</v>
      </c>
      <c r="CI220" s="318">
        <f t="shared" si="617"/>
        <v>-4.0154919417576901E-2</v>
      </c>
      <c r="CJ220" s="318">
        <f t="shared" si="617"/>
        <v>-1.1341750437400544E-2</v>
      </c>
      <c r="CK220" s="318">
        <f t="shared" si="617"/>
        <v>2.9580904852599899E-2</v>
      </c>
      <c r="CL220" s="318">
        <f t="shared" si="617"/>
        <v>0.43705569987131493</v>
      </c>
      <c r="CM220" s="318">
        <f t="shared" si="617"/>
        <v>-0.18254037353733071</v>
      </c>
      <c r="CN220" s="318">
        <f t="shared" si="617"/>
        <v>8.3355153026762385E-2</v>
      </c>
      <c r="CO220" s="318">
        <f t="shared" si="617"/>
        <v>-0.24610220105758962</v>
      </c>
      <c r="CP220" s="318">
        <f t="shared" si="617"/>
        <v>0.33430301569612009</v>
      </c>
      <c r="CQ220" s="318">
        <f t="shared" si="617"/>
        <v>-3.6148173926611876E-2</v>
      </c>
      <c r="CR220" s="318">
        <f t="shared" si="617"/>
        <v>-0.26022944294964384</v>
      </c>
      <c r="CS220" s="318"/>
      <c r="CT220" s="348"/>
      <c r="CU220" s="67"/>
    </row>
    <row r="221" spans="1:102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618">(Z102+Z210+AA134-AA102-AA210)/(Z102+Z210+AA134-AA210)</f>
        <v>0.41862265143521582</v>
      </c>
      <c r="AB221" s="246">
        <f t="shared" si="618"/>
        <v>0.23216934304352616</v>
      </c>
      <c r="AC221" s="246">
        <f t="shared" si="618"/>
        <v>0.17355615879650779</v>
      </c>
      <c r="AD221" s="246">
        <f t="shared" si="618"/>
        <v>0.19967909441984952</v>
      </c>
      <c r="AE221" s="246">
        <f t="shared" si="618"/>
        <v>9.3047569543347516E-2</v>
      </c>
      <c r="AF221" s="246">
        <f t="shared" ref="AF221:AY221" si="619">(AE102+AE210+AF134-AF102-AF210)/(AE102+AE210+AF134-AF210)</f>
        <v>-0.27538470053969516</v>
      </c>
      <c r="AG221" s="246">
        <f t="shared" si="619"/>
        <v>0.15676025226976684</v>
      </c>
      <c r="AH221" s="246">
        <f t="shared" si="619"/>
        <v>0.26216986896598549</v>
      </c>
      <c r="AI221" s="246">
        <f t="shared" si="619"/>
        <v>0.15042425754928873</v>
      </c>
      <c r="AJ221" s="246">
        <f t="shared" si="619"/>
        <v>6.8299448597814685E-2</v>
      </c>
      <c r="AK221" s="246">
        <f t="shared" si="619"/>
        <v>0.15457938558713752</v>
      </c>
      <c r="AL221" s="246">
        <f t="shared" si="619"/>
        <v>-0.59133826496301278</v>
      </c>
      <c r="AM221" s="246">
        <f t="shared" si="619"/>
        <v>0.25276493650886533</v>
      </c>
      <c r="AN221" s="246">
        <f t="shared" si="619"/>
        <v>0.18030277544154752</v>
      </c>
      <c r="AO221" s="246">
        <f t="shared" si="619"/>
        <v>0.58582960600174638</v>
      </c>
      <c r="AP221" s="246">
        <f t="shared" si="619"/>
        <v>0.3398590446358653</v>
      </c>
      <c r="AQ221" s="246">
        <f t="shared" si="619"/>
        <v>0.61789428693546089</v>
      </c>
      <c r="AR221" s="246">
        <f t="shared" si="619"/>
        <v>0.86803073624017157</v>
      </c>
      <c r="AS221" s="246">
        <f t="shared" si="619"/>
        <v>-0.13700787401574804</v>
      </c>
      <c r="AT221" s="246">
        <f t="shared" si="619"/>
        <v>0.4066457299159153</v>
      </c>
      <c r="AU221" s="246">
        <f t="shared" si="619"/>
        <v>6.7583431158812685E-2</v>
      </c>
      <c r="AV221" s="393">
        <f t="shared" si="619"/>
        <v>-6.0950217679348856E-2</v>
      </c>
      <c r="AW221" s="393">
        <f t="shared" si="619"/>
        <v>0.33180661577608145</v>
      </c>
      <c r="AX221" s="393">
        <f t="shared" si="619"/>
        <v>-0.12596626844694309</v>
      </c>
      <c r="AY221" s="393">
        <f t="shared" si="619"/>
        <v>0.47760242905873973</v>
      </c>
      <c r="AZ221" s="246"/>
      <c r="BA221" s="246"/>
      <c r="BB221" s="246"/>
      <c r="BC221" s="246"/>
      <c r="BD221" s="246"/>
      <c r="BE221" s="246"/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53"/>
      <c r="CU221" s="240"/>
      <c r="CV221" s="62"/>
      <c r="CX221" s="62"/>
    </row>
    <row r="222" spans="1:102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618"/>
        <v>8.4956379151629818E-2</v>
      </c>
      <c r="AB222" s="246">
        <f t="shared" si="618"/>
        <v>1.1870786776775671E-2</v>
      </c>
      <c r="AC222" s="246">
        <f t="shared" si="618"/>
        <v>0.16889482500227104</v>
      </c>
      <c r="AD222" s="246">
        <f t="shared" si="618"/>
        <v>0.13871137934523886</v>
      </c>
      <c r="AE222" s="246">
        <f t="shared" si="618"/>
        <v>0.2735698692760713</v>
      </c>
      <c r="AF222" s="246">
        <f t="shared" ref="AF222:AY222" si="620">(AE103+AE211+AF135-AF103-AF211)/(AE103+AE211+AF135-AF211)</f>
        <v>8.627675821441691E-2</v>
      </c>
      <c r="AG222" s="246">
        <f t="shared" si="620"/>
        <v>0.24195372790103764</v>
      </c>
      <c r="AH222" s="246">
        <f t="shared" si="620"/>
        <v>0.30540692093482991</v>
      </c>
      <c r="AI222" s="246">
        <f t="shared" si="620"/>
        <v>0.37799467613132209</v>
      </c>
      <c r="AJ222" s="246">
        <f t="shared" si="620"/>
        <v>-0.29922804760373112</v>
      </c>
      <c r="AK222" s="246">
        <f t="shared" si="620"/>
        <v>0.17277715160666057</v>
      </c>
      <c r="AL222" s="246">
        <f t="shared" si="620"/>
        <v>0.54222250934031035</v>
      </c>
      <c r="AM222" s="246">
        <f t="shared" si="620"/>
        <v>0.221247289041935</v>
      </c>
      <c r="AN222" s="246">
        <f t="shared" si="620"/>
        <v>0.13816147462930214</v>
      </c>
      <c r="AO222" s="246">
        <f t="shared" si="620"/>
        <v>-0.26335070508890251</v>
      </c>
      <c r="AP222" s="246">
        <f t="shared" si="620"/>
        <v>7.6969658337582861E-2</v>
      </c>
      <c r="AQ222" s="246">
        <f t="shared" si="620"/>
        <v>0.20773142614016249</v>
      </c>
      <c r="AR222" s="246">
        <f t="shared" si="620"/>
        <v>0.41665834415260161</v>
      </c>
      <c r="AS222" s="246">
        <f t="shared" si="620"/>
        <v>5.8383725750882763E-2</v>
      </c>
      <c r="AT222" s="246">
        <f t="shared" si="620"/>
        <v>0.3757093757493406</v>
      </c>
      <c r="AU222" s="246">
        <f t="shared" si="620"/>
        <v>7.020726468993703E-2</v>
      </c>
      <c r="AV222" s="393">
        <f t="shared" si="620"/>
        <v>0.17879227592365218</v>
      </c>
      <c r="AW222" s="393">
        <f t="shared" si="620"/>
        <v>8.0587699908984525E-2</v>
      </c>
      <c r="AX222" s="393">
        <f t="shared" si="620"/>
        <v>-1.7961507456670696E-2</v>
      </c>
      <c r="AY222" s="393">
        <f t="shared" si="620"/>
        <v>0.33295519001701646</v>
      </c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53"/>
      <c r="CU222" s="240"/>
      <c r="CV222" s="62"/>
      <c r="CX222" s="62"/>
    </row>
    <row r="223" spans="1:102" s="62" customFormat="1" x14ac:dyDescent="0.3">
      <c r="A223" s="150"/>
      <c r="B223" s="63" t="s">
        <v>39</v>
      </c>
      <c r="C223" s="115"/>
      <c r="D223" s="177">
        <f t="shared" ref="D223:AY223" si="621">(C104+C212+D136-D104-D212)/(C104+C212+D136-D212)</f>
        <v>0.88600990643361166</v>
      </c>
      <c r="E223" s="177">
        <f t="shared" si="621"/>
        <v>0.89623321179958793</v>
      </c>
      <c r="F223" s="177">
        <f t="shared" si="621"/>
        <v>0.90452220835071728</v>
      </c>
      <c r="G223" s="177">
        <f t="shared" si="621"/>
        <v>0.92726982946886072</v>
      </c>
      <c r="H223" s="178">
        <f t="shared" si="621"/>
        <v>0.94775470086935032</v>
      </c>
      <c r="I223" s="177">
        <f t="shared" si="621"/>
        <v>0.91373065042472867</v>
      </c>
      <c r="J223" s="178">
        <f t="shared" si="621"/>
        <v>0.90192067919228347</v>
      </c>
      <c r="K223" s="177">
        <f t="shared" si="621"/>
        <v>0.76687790647163279</v>
      </c>
      <c r="L223" s="179">
        <f t="shared" si="621"/>
        <v>0.72091231996757477</v>
      </c>
      <c r="M223" s="178">
        <f t="shared" si="621"/>
        <v>0.88472440428668608</v>
      </c>
      <c r="N223" s="178">
        <f t="shared" si="621"/>
        <v>0.868911954591153</v>
      </c>
      <c r="O223" s="178">
        <f t="shared" si="621"/>
        <v>0.847677095094443</v>
      </c>
      <c r="P223" s="178">
        <f t="shared" si="621"/>
        <v>0.69028389296508719</v>
      </c>
      <c r="Q223" s="178">
        <f t="shared" si="621"/>
        <v>0.77846937097970248</v>
      </c>
      <c r="R223" s="178">
        <f t="shared" si="621"/>
        <v>0.80060510374025806</v>
      </c>
      <c r="S223" s="178">
        <f t="shared" si="621"/>
        <v>0.76915174082276316</v>
      </c>
      <c r="T223" s="178">
        <f t="shared" si="621"/>
        <v>0.89152504377654163</v>
      </c>
      <c r="U223" s="178">
        <f t="shared" si="621"/>
        <v>0.87866721928131264</v>
      </c>
      <c r="V223" s="178">
        <f t="shared" si="621"/>
        <v>0.80697416389285148</v>
      </c>
      <c r="W223" s="178">
        <f t="shared" si="621"/>
        <v>0.87646928746819142</v>
      </c>
      <c r="X223" s="179">
        <f t="shared" si="621"/>
        <v>0.74149596318186539</v>
      </c>
      <c r="Y223" s="178">
        <f t="shared" si="621"/>
        <v>0.83201176621051287</v>
      </c>
      <c r="Z223" s="178">
        <v>0.7950580223850523</v>
      </c>
      <c r="AA223" s="178">
        <f t="shared" si="621"/>
        <v>0.84976360383904925</v>
      </c>
      <c r="AB223" s="178">
        <f t="shared" si="621"/>
        <v>0.85902324910467531</v>
      </c>
      <c r="AC223" s="178">
        <f t="shared" si="621"/>
        <v>0.87649599714197557</v>
      </c>
      <c r="AD223" s="178">
        <f t="shared" si="621"/>
        <v>0.83416440127796321</v>
      </c>
      <c r="AE223" s="178">
        <f t="shared" si="621"/>
        <v>0.90356593650242079</v>
      </c>
      <c r="AF223" s="178">
        <f t="shared" si="621"/>
        <v>0.90181845646322434</v>
      </c>
      <c r="AG223" s="178">
        <f t="shared" si="621"/>
        <v>0.91941406681137561</v>
      </c>
      <c r="AH223" s="178">
        <f t="shared" si="621"/>
        <v>0.82075180926401425</v>
      </c>
      <c r="AI223" s="178">
        <f t="shared" si="621"/>
        <v>0.75672045511201069</v>
      </c>
      <c r="AJ223" s="178">
        <f t="shared" si="621"/>
        <v>0.87729926003605374</v>
      </c>
      <c r="AK223" s="178">
        <f t="shared" si="621"/>
        <v>0.81048788893341839</v>
      </c>
      <c r="AL223" s="178">
        <f t="shared" si="621"/>
        <v>0.8421733416098236</v>
      </c>
      <c r="AM223" s="178">
        <f t="shared" si="621"/>
        <v>0.84337483936397284</v>
      </c>
      <c r="AN223" s="178">
        <f t="shared" si="621"/>
        <v>0.89231286457484893</v>
      </c>
      <c r="AO223" s="178">
        <f t="shared" si="621"/>
        <v>0.85699869323299671</v>
      </c>
      <c r="AP223" s="178">
        <f t="shared" si="621"/>
        <v>0.872243447162247</v>
      </c>
      <c r="AQ223" s="178">
        <f t="shared" si="621"/>
        <v>0.82361092757836463</v>
      </c>
      <c r="AR223" s="178">
        <f t="shared" si="621"/>
        <v>0.95498000781649284</v>
      </c>
      <c r="AS223" s="178">
        <f t="shared" si="621"/>
        <v>0.91317187532132793</v>
      </c>
      <c r="AT223" s="178">
        <f t="shared" si="621"/>
        <v>0.89508490206235447</v>
      </c>
      <c r="AU223" s="178">
        <f t="shared" si="621"/>
        <v>0.67661541452557417</v>
      </c>
      <c r="AV223" s="284">
        <f t="shared" si="621"/>
        <v>0.68680380053362455</v>
      </c>
      <c r="AW223" s="284">
        <f t="shared" si="621"/>
        <v>0.76994335561685945</v>
      </c>
      <c r="AX223" s="284">
        <f t="shared" si="621"/>
        <v>0.81142369608657583</v>
      </c>
      <c r="AY223" s="284">
        <f t="shared" si="621"/>
        <v>0.94800666364879238</v>
      </c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22">P223-D223</f>
        <v>-0.19572601346852447</v>
      </c>
      <c r="BK223" s="178">
        <f t="shared" si="622"/>
        <v>-0.11776384081988545</v>
      </c>
      <c r="BL223" s="178">
        <f t="shared" si="622"/>
        <v>-0.10391710461045922</v>
      </c>
      <c r="BM223" s="178">
        <f t="shared" si="622"/>
        <v>-0.15811808864609755</v>
      </c>
      <c r="BN223" s="178">
        <f t="shared" si="622"/>
        <v>-5.6229657092808694E-2</v>
      </c>
      <c r="BO223" s="178">
        <f t="shared" si="622"/>
        <v>-3.5063431143416035E-2</v>
      </c>
      <c r="BP223" s="178">
        <f t="shared" si="622"/>
        <v>-9.4946515299431988E-2</v>
      </c>
      <c r="BQ223" s="178">
        <f t="shared" si="622"/>
        <v>0.10959138099655863</v>
      </c>
      <c r="BR223" s="178">
        <f t="shared" si="622"/>
        <v>2.0583643214290626E-2</v>
      </c>
      <c r="BS223" s="178">
        <f t="shared" si="622"/>
        <v>-5.2712638076173213E-2</v>
      </c>
      <c r="BT223" s="178">
        <f t="shared" ref="BT223:CE226" si="623">Z223-N223</f>
        <v>-7.3853932206100703E-2</v>
      </c>
      <c r="BU223" s="178">
        <f t="shared" si="623"/>
        <v>2.0865087446062525E-3</v>
      </c>
      <c r="BV223" s="178">
        <f t="shared" si="623"/>
        <v>0.16873935613958813</v>
      </c>
      <c r="BW223" s="178">
        <f t="shared" si="623"/>
        <v>9.8026626162273089E-2</v>
      </c>
      <c r="BX223" s="178">
        <f t="shared" si="623"/>
        <v>3.3559297537705146E-2</v>
      </c>
      <c r="BY223" s="178">
        <f t="shared" si="623"/>
        <v>0.13441419567965762</v>
      </c>
      <c r="BZ223" s="178">
        <f t="shared" si="623"/>
        <v>1.0293412686682712E-2</v>
      </c>
      <c r="CA223" s="284">
        <f t="shared" si="623"/>
        <v>4.0746847530062968E-2</v>
      </c>
      <c r="CB223" s="284">
        <f t="shared" si="623"/>
        <v>1.3777645371162772E-2</v>
      </c>
      <c r="CC223" s="284">
        <f t="shared" si="623"/>
        <v>-0.11974883235618072</v>
      </c>
      <c r="CD223" s="284">
        <f t="shared" si="623"/>
        <v>0.13580329685418835</v>
      </c>
      <c r="CE223" s="318">
        <f t="shared" si="623"/>
        <v>-2.1523877277094483E-2</v>
      </c>
      <c r="CF223" s="318">
        <f t="shared" ref="CF223:CR226" si="624">AL223-Z223</f>
        <v>4.7115319224771302E-2</v>
      </c>
      <c r="CG223" s="318">
        <f t="shared" si="624"/>
        <v>-6.3887644750764139E-3</v>
      </c>
      <c r="CH223" s="318">
        <f t="shared" si="624"/>
        <v>3.3289615470173617E-2</v>
      </c>
      <c r="CI223" s="318">
        <f t="shared" si="624"/>
        <v>-1.9497303908978858E-2</v>
      </c>
      <c r="CJ223" s="318">
        <f t="shared" si="624"/>
        <v>3.8079045884283791E-2</v>
      </c>
      <c r="CK223" s="318">
        <f t="shared" si="624"/>
        <v>-7.9955008924056159E-2</v>
      </c>
      <c r="CL223" s="318">
        <f t="shared" si="624"/>
        <v>5.3161551353268499E-2</v>
      </c>
      <c r="CM223" s="318">
        <f t="shared" si="624"/>
        <v>-6.2421914900476771E-3</v>
      </c>
      <c r="CN223" s="318">
        <f t="shared" si="624"/>
        <v>7.4333092798340217E-2</v>
      </c>
      <c r="CO223" s="318">
        <f t="shared" si="624"/>
        <v>-8.0105040586436527E-2</v>
      </c>
      <c r="CP223" s="318">
        <f t="shared" si="624"/>
        <v>-0.19049545950242919</v>
      </c>
      <c r="CQ223" s="318">
        <f t="shared" si="624"/>
        <v>-4.0544533316558939E-2</v>
      </c>
      <c r="CR223" s="318">
        <f t="shared" si="624"/>
        <v>-3.0749645523247771E-2</v>
      </c>
      <c r="CS223" s="318"/>
      <c r="CT223" s="348"/>
      <c r="CU223" s="67"/>
    </row>
    <row r="224" spans="1:102" s="62" customFormat="1" x14ac:dyDescent="0.3">
      <c r="A224" s="150"/>
      <c r="B224" s="63" t="s">
        <v>40</v>
      </c>
      <c r="C224" s="115"/>
      <c r="D224" s="177">
        <f t="shared" ref="D224:AY224" si="625">(C105+C213+D137-D105-D213)/(C105+C213+D137-D213)</f>
        <v>0.91729566742705193</v>
      </c>
      <c r="E224" s="177">
        <f t="shared" si="625"/>
        <v>0.95959628582918732</v>
      </c>
      <c r="F224" s="177">
        <f t="shared" si="625"/>
        <v>0.9063464080920911</v>
      </c>
      <c r="G224" s="177">
        <f t="shared" si="625"/>
        <v>0.92428657667781666</v>
      </c>
      <c r="H224" s="178">
        <f t="shared" si="625"/>
        <v>0.95924180919209956</v>
      </c>
      <c r="I224" s="177">
        <f t="shared" si="625"/>
        <v>0.93903712679525642</v>
      </c>
      <c r="J224" s="178">
        <f t="shared" si="625"/>
        <v>0.96231843404366624</v>
      </c>
      <c r="K224" s="177">
        <f t="shared" si="625"/>
        <v>0.748911780110329</v>
      </c>
      <c r="L224" s="179">
        <f t="shared" si="625"/>
        <v>0.70283868294092822</v>
      </c>
      <c r="M224" s="178">
        <f t="shared" si="625"/>
        <v>0.87730574753860524</v>
      </c>
      <c r="N224" s="178">
        <f t="shared" si="625"/>
        <v>0.88506835318257715</v>
      </c>
      <c r="O224" s="178">
        <f t="shared" si="625"/>
        <v>0.854221959173733</v>
      </c>
      <c r="P224" s="178">
        <f t="shared" si="625"/>
        <v>0.69031864724674008</v>
      </c>
      <c r="Q224" s="178">
        <f t="shared" si="625"/>
        <v>0.85972661436642095</v>
      </c>
      <c r="R224" s="178">
        <f t="shared" si="625"/>
        <v>0.93601031176982696</v>
      </c>
      <c r="S224" s="178">
        <f t="shared" si="625"/>
        <v>0.7826760626750503</v>
      </c>
      <c r="T224" s="178">
        <f t="shared" si="625"/>
        <v>0.931177550339501</v>
      </c>
      <c r="U224" s="178">
        <f t="shared" si="625"/>
        <v>0.93151223413111639</v>
      </c>
      <c r="V224" s="178">
        <f t="shared" si="625"/>
        <v>0.78237383915401071</v>
      </c>
      <c r="W224" s="178">
        <f t="shared" si="625"/>
        <v>0.85842584711620273</v>
      </c>
      <c r="X224" s="179">
        <f t="shared" si="625"/>
        <v>0.62474885658637447</v>
      </c>
      <c r="Y224" s="178">
        <f t="shared" si="625"/>
        <v>0.83804302711676815</v>
      </c>
      <c r="Z224" s="178">
        <v>0.9229775685971715</v>
      </c>
      <c r="AA224" s="178">
        <f t="shared" si="625"/>
        <v>0.95542694713491116</v>
      </c>
      <c r="AB224" s="178">
        <f t="shared" si="625"/>
        <v>0.88209214635466693</v>
      </c>
      <c r="AC224" s="178">
        <f t="shared" si="625"/>
        <v>0.96737842006982222</v>
      </c>
      <c r="AD224" s="178">
        <f t="shared" si="625"/>
        <v>0.86304601349447641</v>
      </c>
      <c r="AE224" s="178">
        <f t="shared" si="625"/>
        <v>0.87898988067315009</v>
      </c>
      <c r="AF224" s="178">
        <f t="shared" si="625"/>
        <v>0.93625343749457202</v>
      </c>
      <c r="AG224" s="178">
        <f t="shared" si="625"/>
        <v>0.96299428479847982</v>
      </c>
      <c r="AH224" s="178">
        <f t="shared" si="625"/>
        <v>0.7230914499598895</v>
      </c>
      <c r="AI224" s="178">
        <f t="shared" si="625"/>
        <v>0.94029359599317319</v>
      </c>
      <c r="AJ224" s="178">
        <f t="shared" si="625"/>
        <v>0.920268669230629</v>
      </c>
      <c r="AK224" s="178">
        <f t="shared" si="625"/>
        <v>0.84438553894816559</v>
      </c>
      <c r="AL224" s="178">
        <f t="shared" si="625"/>
        <v>0.9684827626616338</v>
      </c>
      <c r="AM224" s="178">
        <f t="shared" si="625"/>
        <v>0.94297450819814954</v>
      </c>
      <c r="AN224" s="178">
        <f t="shared" si="625"/>
        <v>0.97048873931574164</v>
      </c>
      <c r="AO224" s="178">
        <f t="shared" si="625"/>
        <v>0.96888929751253872</v>
      </c>
      <c r="AP224" s="178">
        <f t="shared" si="625"/>
        <v>0.97293151083321217</v>
      </c>
      <c r="AQ224" s="178">
        <f t="shared" si="625"/>
        <v>0.78315658681769584</v>
      </c>
      <c r="AR224" s="178">
        <f t="shared" si="625"/>
        <v>0.98131587694749145</v>
      </c>
      <c r="AS224" s="178">
        <f t="shared" si="625"/>
        <v>0.91485423037716618</v>
      </c>
      <c r="AT224" s="178">
        <f t="shared" si="625"/>
        <v>0.85951816355675292</v>
      </c>
      <c r="AU224" s="178">
        <f t="shared" si="625"/>
        <v>0.73516064926801783</v>
      </c>
      <c r="AV224" s="284">
        <f t="shared" si="625"/>
        <v>0.49007879765128237</v>
      </c>
      <c r="AW224" s="284">
        <f t="shared" si="625"/>
        <v>0.77606126423771504</v>
      </c>
      <c r="AX224" s="284">
        <f t="shared" si="625"/>
        <v>0.80987081704801789</v>
      </c>
      <c r="AY224" s="284">
        <f t="shared" si="625"/>
        <v>0.99075077019512758</v>
      </c>
      <c r="AZ224" s="178"/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22"/>
        <v>-0.22697702018031185</v>
      </c>
      <c r="BK224" s="178">
        <f t="shared" si="622"/>
        <v>-9.9869671462766374E-2</v>
      </c>
      <c r="BL224" s="178">
        <f t="shared" si="622"/>
        <v>2.9663903677735859E-2</v>
      </c>
      <c r="BM224" s="178">
        <f t="shared" si="622"/>
        <v>-0.14161051400276636</v>
      </c>
      <c r="BN224" s="178">
        <f t="shared" si="622"/>
        <v>-2.8064258852598556E-2</v>
      </c>
      <c r="BO224" s="178">
        <f t="shared" si="622"/>
        <v>-7.524892664140026E-3</v>
      </c>
      <c r="BP224" s="178">
        <f t="shared" si="622"/>
        <v>-0.17994459488965553</v>
      </c>
      <c r="BQ224" s="178">
        <f t="shared" si="622"/>
        <v>0.10951406700587374</v>
      </c>
      <c r="BR224" s="178">
        <f t="shared" si="622"/>
        <v>-7.8089826354553749E-2</v>
      </c>
      <c r="BS224" s="178">
        <f t="shared" si="622"/>
        <v>-3.9262720421837094E-2</v>
      </c>
      <c r="BT224" s="178">
        <f t="shared" si="623"/>
        <v>3.7909215414594355E-2</v>
      </c>
      <c r="BU224" s="178">
        <f t="shared" si="623"/>
        <v>0.10120498796117816</v>
      </c>
      <c r="BV224" s="178">
        <f t="shared" si="623"/>
        <v>0.19177349910792685</v>
      </c>
      <c r="BW224" s="178">
        <f t="shared" si="623"/>
        <v>0.10765180570340127</v>
      </c>
      <c r="BX224" s="178">
        <f t="shared" si="623"/>
        <v>-7.2964298275350559E-2</v>
      </c>
      <c r="BY224" s="178">
        <f t="shared" si="623"/>
        <v>9.6313817998099793E-2</v>
      </c>
      <c r="BZ224" s="178">
        <f t="shared" si="623"/>
        <v>5.0758871550710127E-3</v>
      </c>
      <c r="CA224" s="284">
        <f t="shared" si="623"/>
        <v>3.1482050667363426E-2</v>
      </c>
      <c r="CB224" s="284">
        <f t="shared" si="623"/>
        <v>-5.928238919412121E-2</v>
      </c>
      <c r="CC224" s="284">
        <f t="shared" si="623"/>
        <v>8.1867748876970459E-2</v>
      </c>
      <c r="CD224" s="284">
        <f t="shared" si="623"/>
        <v>0.29551981264425453</v>
      </c>
      <c r="CE224" s="318">
        <f t="shared" si="623"/>
        <v>6.342511831397446E-3</v>
      </c>
      <c r="CF224" s="318">
        <f t="shared" si="624"/>
        <v>4.5505194064462295E-2</v>
      </c>
      <c r="CG224" s="318">
        <f t="shared" si="624"/>
        <v>-1.2452438936761623E-2</v>
      </c>
      <c r="CH224" s="318">
        <f t="shared" si="624"/>
        <v>8.8396592961074716E-2</v>
      </c>
      <c r="CI224" s="318">
        <f t="shared" si="624"/>
        <v>1.5108774427164962E-3</v>
      </c>
      <c r="CJ224" s="318">
        <f t="shared" si="624"/>
        <v>0.10988549733873576</v>
      </c>
      <c r="CK224" s="318">
        <f t="shared" si="624"/>
        <v>-9.5833293855454249E-2</v>
      </c>
      <c r="CL224" s="318">
        <f t="shared" si="624"/>
        <v>4.5062439452919434E-2</v>
      </c>
      <c r="CM224" s="318">
        <f t="shared" si="624"/>
        <v>-4.8140054421313638E-2</v>
      </c>
      <c r="CN224" s="318">
        <f t="shared" si="624"/>
        <v>0.13642671359686342</v>
      </c>
      <c r="CO224" s="318">
        <f t="shared" si="624"/>
        <v>-0.20513294672515536</v>
      </c>
      <c r="CP224" s="318">
        <f t="shared" si="624"/>
        <v>-0.43018987157934663</v>
      </c>
      <c r="CQ224" s="318">
        <f t="shared" si="624"/>
        <v>-6.832427471045055E-2</v>
      </c>
      <c r="CR224" s="318">
        <f t="shared" si="624"/>
        <v>-0.15861194561361591</v>
      </c>
      <c r="CS224" s="318"/>
      <c r="CT224" s="348"/>
      <c r="CU224" s="67"/>
    </row>
    <row r="225" spans="1:99" s="62" customFormat="1" x14ac:dyDescent="0.3">
      <c r="A225" s="150"/>
      <c r="B225" s="63" t="s">
        <v>41</v>
      </c>
      <c r="C225" s="115"/>
      <c r="D225" s="177">
        <f t="shared" ref="D225:AY225" si="626">(C106+C214+D138-D106-D214)/(C106+C214+D138-D214)</f>
        <v>0.99835425777914188</v>
      </c>
      <c r="E225" s="177">
        <f t="shared" si="626"/>
        <v>1</v>
      </c>
      <c r="F225" s="177">
        <f t="shared" si="626"/>
        <v>0.93833422516114207</v>
      </c>
      <c r="G225" s="177">
        <f t="shared" si="626"/>
        <v>0.92113010961660291</v>
      </c>
      <c r="H225" s="178">
        <f t="shared" si="626"/>
        <v>0.88639381087935309</v>
      </c>
      <c r="I225" s="177">
        <f t="shared" si="626"/>
        <v>0.99924985696067448</v>
      </c>
      <c r="J225" s="178">
        <f t="shared" si="626"/>
        <v>0.99966917681006151</v>
      </c>
      <c r="K225" s="177">
        <f t="shared" si="626"/>
        <v>0.99960190317684627</v>
      </c>
      <c r="L225" s="179">
        <f t="shared" si="626"/>
        <v>0.92181180746101832</v>
      </c>
      <c r="M225" s="178">
        <f t="shared" si="626"/>
        <v>0.99999706533238575</v>
      </c>
      <c r="N225" s="178">
        <f t="shared" si="626"/>
        <v>0.88724717316560409</v>
      </c>
      <c r="O225" s="178">
        <f t="shared" si="626"/>
        <v>0.86132229170311769</v>
      </c>
      <c r="P225" s="178">
        <f t="shared" si="626"/>
        <v>0.93080146625992066</v>
      </c>
      <c r="Q225" s="178">
        <f t="shared" si="626"/>
        <v>0.95165803076069277</v>
      </c>
      <c r="R225" s="178">
        <f t="shared" si="626"/>
        <v>0.70693676579556253</v>
      </c>
      <c r="S225" s="178">
        <f t="shared" si="626"/>
        <v>0.92514391214940195</v>
      </c>
      <c r="T225" s="178">
        <f t="shared" si="626"/>
        <v>0.89436876634052587</v>
      </c>
      <c r="U225" s="178">
        <f t="shared" si="626"/>
        <v>0.95872890360654761</v>
      </c>
      <c r="V225" s="178">
        <f t="shared" si="626"/>
        <v>0.90186147284359541</v>
      </c>
      <c r="W225" s="178">
        <f t="shared" si="626"/>
        <v>0.97123443697275869</v>
      </c>
      <c r="X225" s="179">
        <f t="shared" si="626"/>
        <v>0.75289269939549786</v>
      </c>
      <c r="Y225" s="178">
        <f t="shared" si="626"/>
        <v>0.99991073739835223</v>
      </c>
      <c r="Z225" s="178">
        <v>0.82712568012980825</v>
      </c>
      <c r="AA225" s="178">
        <f t="shared" si="626"/>
        <v>0.95548047639394507</v>
      </c>
      <c r="AB225" s="178">
        <f t="shared" si="626"/>
        <v>0.98762985983417895</v>
      </c>
      <c r="AC225" s="178">
        <f t="shared" si="626"/>
        <v>0.90879577640941578</v>
      </c>
      <c r="AD225" s="178">
        <f t="shared" si="626"/>
        <v>0.93308540128006789</v>
      </c>
      <c r="AE225" s="178">
        <f t="shared" si="626"/>
        <v>0.92662116664777938</v>
      </c>
      <c r="AF225" s="178">
        <f t="shared" si="626"/>
        <v>0.92250584853183204</v>
      </c>
      <c r="AG225" s="178">
        <f t="shared" si="626"/>
        <v>0.78807831207704315</v>
      </c>
      <c r="AH225" s="178">
        <f t="shared" si="626"/>
        <v>0.67322343382806593</v>
      </c>
      <c r="AI225" s="178">
        <f t="shared" si="626"/>
        <v>0.76438298546766803</v>
      </c>
      <c r="AJ225" s="178">
        <f t="shared" si="626"/>
        <v>0.89673477800023549</v>
      </c>
      <c r="AK225" s="178">
        <f t="shared" si="626"/>
        <v>0.66957322997823665</v>
      </c>
      <c r="AL225" s="178">
        <f t="shared" si="626"/>
        <v>0.83184984928012817</v>
      </c>
      <c r="AM225" s="178">
        <f t="shared" si="626"/>
        <v>0.91420347568189009</v>
      </c>
      <c r="AN225" s="178">
        <f t="shared" si="626"/>
        <v>0.4556733632383605</v>
      </c>
      <c r="AO225" s="178">
        <f t="shared" si="626"/>
        <v>0.79374495875939943</v>
      </c>
      <c r="AP225" s="178">
        <f t="shared" si="626"/>
        <v>0.75150092538256674</v>
      </c>
      <c r="AQ225" s="178">
        <f t="shared" si="626"/>
        <v>0.86156778554169655</v>
      </c>
      <c r="AR225" s="178">
        <f t="shared" si="626"/>
        <v>0.97844899584976941</v>
      </c>
      <c r="AS225" s="178">
        <f t="shared" si="626"/>
        <v>0.69826115104070097</v>
      </c>
      <c r="AT225" s="178">
        <f t="shared" si="626"/>
        <v>0.9147756798891391</v>
      </c>
      <c r="AU225" s="178">
        <f t="shared" si="626"/>
        <v>0.91014091718068113</v>
      </c>
      <c r="AV225" s="284">
        <f t="shared" si="626"/>
        <v>0.80152860832950001</v>
      </c>
      <c r="AW225" s="284">
        <f t="shared" si="626"/>
        <v>0.99475281352299894</v>
      </c>
      <c r="AX225" s="284">
        <f t="shared" si="626"/>
        <v>0.49550522504731342</v>
      </c>
      <c r="AY225" s="284">
        <f t="shared" si="626"/>
        <v>0.83027649906953571</v>
      </c>
      <c r="AZ225" s="178"/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22"/>
        <v>-6.7552791519221222E-2</v>
      </c>
      <c r="BK225" s="178">
        <f t="shared" si="622"/>
        <v>-4.8341969239307225E-2</v>
      </c>
      <c r="BL225" s="178">
        <f t="shared" si="622"/>
        <v>-0.23139745936557954</v>
      </c>
      <c r="BM225" s="178">
        <f t="shared" si="622"/>
        <v>4.0138025327990379E-3</v>
      </c>
      <c r="BN225" s="178">
        <f t="shared" si="622"/>
        <v>7.9749554611727724E-3</v>
      </c>
      <c r="BO225" s="178">
        <f t="shared" si="622"/>
        <v>-4.0520953354126865E-2</v>
      </c>
      <c r="BP225" s="178">
        <f t="shared" si="622"/>
        <v>-9.7807703966466097E-2</v>
      </c>
      <c r="BQ225" s="178">
        <f t="shared" si="622"/>
        <v>-2.8367466204087588E-2</v>
      </c>
      <c r="BR225" s="178">
        <f t="shared" si="622"/>
        <v>-0.16891910806552046</v>
      </c>
      <c r="BS225" s="178">
        <f t="shared" si="622"/>
        <v>-8.6327934033514353E-5</v>
      </c>
      <c r="BT225" s="178">
        <f t="shared" si="623"/>
        <v>-6.0121493035795837E-2</v>
      </c>
      <c r="BU225" s="178">
        <f t="shared" si="623"/>
        <v>9.4158184690827373E-2</v>
      </c>
      <c r="BV225" s="178">
        <f t="shared" si="623"/>
        <v>5.6828393574258285E-2</v>
      </c>
      <c r="BW225" s="178">
        <f t="shared" si="623"/>
        <v>-4.2862254351276996E-2</v>
      </c>
      <c r="BX225" s="178">
        <f t="shared" si="623"/>
        <v>0.22614863548450537</v>
      </c>
      <c r="BY225" s="178">
        <f t="shared" si="623"/>
        <v>1.4772544983774338E-3</v>
      </c>
      <c r="BZ225" s="178">
        <f t="shared" si="623"/>
        <v>2.8137082191306173E-2</v>
      </c>
      <c r="CA225" s="284">
        <f t="shared" si="623"/>
        <v>-0.17065059152950446</v>
      </c>
      <c r="CB225" s="284">
        <f t="shared" si="623"/>
        <v>-0.22863803901552948</v>
      </c>
      <c r="CC225" s="284">
        <f t="shared" si="623"/>
        <v>-0.20685145150509066</v>
      </c>
      <c r="CD225" s="284">
        <f t="shared" si="623"/>
        <v>0.14384207860473763</v>
      </c>
      <c r="CE225" s="318">
        <f t="shared" si="623"/>
        <v>-0.33033750742011558</v>
      </c>
      <c r="CF225" s="318">
        <f t="shared" si="624"/>
        <v>4.7241691503199235E-3</v>
      </c>
      <c r="CG225" s="318">
        <f t="shared" si="624"/>
        <v>-4.1277000712054979E-2</v>
      </c>
      <c r="CH225" s="318">
        <f t="shared" si="624"/>
        <v>-0.53195649659581845</v>
      </c>
      <c r="CI225" s="318">
        <f t="shared" si="624"/>
        <v>-0.11505081765001635</v>
      </c>
      <c r="CJ225" s="318">
        <f t="shared" si="624"/>
        <v>-0.18158447589750115</v>
      </c>
      <c r="CK225" s="318">
        <f t="shared" si="624"/>
        <v>-6.505338110608283E-2</v>
      </c>
      <c r="CL225" s="318">
        <f t="shared" si="624"/>
        <v>5.594314731793737E-2</v>
      </c>
      <c r="CM225" s="318">
        <f t="shared" si="624"/>
        <v>-8.9817161036342186E-2</v>
      </c>
      <c r="CN225" s="318">
        <f t="shared" si="624"/>
        <v>0.24155224606107317</v>
      </c>
      <c r="CO225" s="318">
        <f t="shared" si="624"/>
        <v>0.1457579317130131</v>
      </c>
      <c r="CP225" s="318">
        <f t="shared" si="624"/>
        <v>-9.5206169670735474E-2</v>
      </c>
      <c r="CQ225" s="318">
        <f t="shared" si="624"/>
        <v>0.32517958354476229</v>
      </c>
      <c r="CR225" s="318">
        <f t="shared" si="624"/>
        <v>-0.33634462423281475</v>
      </c>
      <c r="CS225" s="318"/>
      <c r="CT225" s="348"/>
      <c r="CU225" s="67"/>
    </row>
    <row r="226" spans="1:99" s="76" customFormat="1" ht="15" thickBot="1" x14ac:dyDescent="0.35">
      <c r="A226" s="151"/>
      <c r="B226" s="116" t="s">
        <v>42</v>
      </c>
      <c r="C226" s="117"/>
      <c r="D226" s="180">
        <f t="shared" ref="D226:AY226" si="627">(C107+C215+D139-D107-D215)/(C107+C215+D139-D215)</f>
        <v>0.78916300308973486</v>
      </c>
      <c r="E226" s="180">
        <f t="shared" si="627"/>
        <v>0.80011383412899317</v>
      </c>
      <c r="F226" s="180">
        <f t="shared" si="627"/>
        <v>0.78635098740971132</v>
      </c>
      <c r="G226" s="180">
        <f t="shared" si="627"/>
        <v>0.83274949436970602</v>
      </c>
      <c r="H226" s="181">
        <f t="shared" si="627"/>
        <v>0.87654861731482347</v>
      </c>
      <c r="I226" s="180">
        <f t="shared" si="627"/>
        <v>0.85926878943454266</v>
      </c>
      <c r="J226" s="181">
        <f t="shared" si="627"/>
        <v>0.85941699136485883</v>
      </c>
      <c r="K226" s="180">
        <f t="shared" si="627"/>
        <v>0.73292648252649883</v>
      </c>
      <c r="L226" s="182">
        <f t="shared" si="627"/>
        <v>0.7001311284793228</v>
      </c>
      <c r="M226" s="181">
        <f t="shared" si="627"/>
        <v>0.81967428591571467</v>
      </c>
      <c r="N226" s="181">
        <f t="shared" si="627"/>
        <v>0.78957757104487825</v>
      </c>
      <c r="O226" s="181">
        <f t="shared" si="627"/>
        <v>0.74059494618185495</v>
      </c>
      <c r="P226" s="181">
        <f t="shared" si="627"/>
        <v>0.67683744327848272</v>
      </c>
      <c r="Q226" s="181">
        <f t="shared" si="627"/>
        <v>0.72159179534004458</v>
      </c>
      <c r="R226" s="181">
        <f t="shared" si="627"/>
        <v>0.67868161621508216</v>
      </c>
      <c r="S226" s="181">
        <f t="shared" si="627"/>
        <v>0.738613006021553</v>
      </c>
      <c r="T226" s="181">
        <f t="shared" si="627"/>
        <v>0.82014343480157315</v>
      </c>
      <c r="U226" s="181">
        <f t="shared" si="627"/>
        <v>0.79300627285647329</v>
      </c>
      <c r="V226" s="181">
        <f t="shared" si="627"/>
        <v>0.70631093590510718</v>
      </c>
      <c r="W226" s="181">
        <f t="shared" si="627"/>
        <v>0.79246848452146224</v>
      </c>
      <c r="X226" s="182">
        <f t="shared" si="627"/>
        <v>0.60452118057653281</v>
      </c>
      <c r="Y226" s="181">
        <f t="shared" si="627"/>
        <v>0.70729618780108061</v>
      </c>
      <c r="Z226" s="181">
        <v>0.6930138847499463</v>
      </c>
      <c r="AA226" s="181">
        <f t="shared" si="627"/>
        <v>0.69660455349542216</v>
      </c>
      <c r="AB226" s="181">
        <f t="shared" si="627"/>
        <v>0.69723382550470214</v>
      </c>
      <c r="AC226" s="181">
        <f t="shared" si="627"/>
        <v>0.68682706529225146</v>
      </c>
      <c r="AD226" s="181">
        <f t="shared" si="627"/>
        <v>0.68347335913902796</v>
      </c>
      <c r="AE226" s="181">
        <f t="shared" si="627"/>
        <v>0.75642503189669463</v>
      </c>
      <c r="AF226" s="181">
        <f t="shared" si="627"/>
        <v>0.80699543824232145</v>
      </c>
      <c r="AG226" s="181">
        <f t="shared" si="627"/>
        <v>0.83066892345650123</v>
      </c>
      <c r="AH226" s="181">
        <f t="shared" si="627"/>
        <v>0.75527287393507747</v>
      </c>
      <c r="AI226" s="181">
        <f t="shared" si="627"/>
        <v>0.71349632709348088</v>
      </c>
      <c r="AJ226" s="181">
        <f t="shared" si="627"/>
        <v>0.76853084830529872</v>
      </c>
      <c r="AK226" s="181">
        <f t="shared" si="627"/>
        <v>0.73220187691738337</v>
      </c>
      <c r="AL226" s="181">
        <f t="shared" si="627"/>
        <v>0.75375462028132378</v>
      </c>
      <c r="AM226" s="181">
        <f t="shared" si="627"/>
        <v>0.73901776690677834</v>
      </c>
      <c r="AN226" s="181">
        <f t="shared" si="627"/>
        <v>0.74088615655599488</v>
      </c>
      <c r="AO226" s="181">
        <f t="shared" si="627"/>
        <v>0.74043101185515736</v>
      </c>
      <c r="AP226" s="181">
        <f t="shared" si="627"/>
        <v>0.77114755324436657</v>
      </c>
      <c r="AQ226" s="181">
        <f t="shared" si="627"/>
        <v>0.76505860369171264</v>
      </c>
      <c r="AR226" s="181">
        <f t="shared" si="627"/>
        <v>0.88028096152624036</v>
      </c>
      <c r="AS226" s="181">
        <f t="shared" si="627"/>
        <v>0.82747755056368366</v>
      </c>
      <c r="AT226" s="181">
        <f t="shared" si="627"/>
        <v>0.80982103198427458</v>
      </c>
      <c r="AU226" s="181">
        <f t="shared" si="627"/>
        <v>0.57027681379597683</v>
      </c>
      <c r="AV226" s="285">
        <f t="shared" si="627"/>
        <v>0.36756510612873977</v>
      </c>
      <c r="AW226" s="285">
        <f t="shared" si="627"/>
        <v>0.85536093202874941</v>
      </c>
      <c r="AX226" s="285">
        <f t="shared" si="627"/>
        <v>0.60268935887478092</v>
      </c>
      <c r="AY226" s="285">
        <f t="shared" si="627"/>
        <v>0.83499182124643678</v>
      </c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22"/>
        <v>-0.11232555981125214</v>
      </c>
      <c r="BK226" s="181">
        <f t="shared" si="622"/>
        <v>-7.8522038788948589E-2</v>
      </c>
      <c r="BL226" s="181">
        <f t="shared" si="622"/>
        <v>-0.10766937119462916</v>
      </c>
      <c r="BM226" s="181">
        <f t="shared" si="622"/>
        <v>-9.4136488348153025E-2</v>
      </c>
      <c r="BN226" s="181">
        <f t="shared" si="622"/>
        <v>-5.6405182513250329E-2</v>
      </c>
      <c r="BO226" s="181">
        <f t="shared" si="622"/>
        <v>-6.6262516578069364E-2</v>
      </c>
      <c r="BP226" s="181">
        <f t="shared" si="622"/>
        <v>-0.15310605545975164</v>
      </c>
      <c r="BQ226" s="181">
        <f t="shared" si="622"/>
        <v>5.9542001994963401E-2</v>
      </c>
      <c r="BR226" s="181">
        <f t="shared" si="622"/>
        <v>-9.5609947902789982E-2</v>
      </c>
      <c r="BS226" s="181">
        <f t="shared" si="622"/>
        <v>-0.11237809811463406</v>
      </c>
      <c r="BT226" s="181">
        <f t="shared" si="623"/>
        <v>-9.656368629493195E-2</v>
      </c>
      <c r="BU226" s="181">
        <f t="shared" si="623"/>
        <v>-4.3990392686432789E-2</v>
      </c>
      <c r="BV226" s="181">
        <f t="shared" si="623"/>
        <v>2.0396382226219423E-2</v>
      </c>
      <c r="BW226" s="181">
        <f t="shared" si="623"/>
        <v>-3.4764730047793124E-2</v>
      </c>
      <c r="BX226" s="181">
        <f t="shared" si="623"/>
        <v>4.7917429239457965E-3</v>
      </c>
      <c r="BY226" s="181">
        <f t="shared" si="623"/>
        <v>1.7812025875141635E-2</v>
      </c>
      <c r="BZ226" s="181">
        <f t="shared" si="623"/>
        <v>-1.3147996559251696E-2</v>
      </c>
      <c r="CA226" s="285">
        <f t="shared" si="623"/>
        <v>3.7662650600027936E-2</v>
      </c>
      <c r="CB226" s="285">
        <f t="shared" si="623"/>
        <v>4.8961938029970287E-2</v>
      </c>
      <c r="CC226" s="285">
        <f t="shared" si="623"/>
        <v>-7.897215742798136E-2</v>
      </c>
      <c r="CD226" s="285">
        <f t="shared" si="623"/>
        <v>0.16400966772876591</v>
      </c>
      <c r="CE226" s="182">
        <f t="shared" si="623"/>
        <v>2.4905689116302754E-2</v>
      </c>
      <c r="CF226" s="182">
        <f t="shared" si="624"/>
        <v>6.0740735531377488E-2</v>
      </c>
      <c r="CG226" s="182">
        <f t="shared" si="624"/>
        <v>4.2413213411356177E-2</v>
      </c>
      <c r="CH226" s="182">
        <f t="shared" si="624"/>
        <v>4.3652331051292736E-2</v>
      </c>
      <c r="CI226" s="182">
        <f t="shared" si="624"/>
        <v>5.3603946562905902E-2</v>
      </c>
      <c r="CJ226" s="182">
        <f t="shared" si="624"/>
        <v>8.767419410533861E-2</v>
      </c>
      <c r="CK226" s="182">
        <f t="shared" si="624"/>
        <v>8.6335717950180024E-3</v>
      </c>
      <c r="CL226" s="182">
        <f t="shared" si="624"/>
        <v>7.3285523283918907E-2</v>
      </c>
      <c r="CM226" s="182">
        <f t="shared" si="624"/>
        <v>-3.1913728928175678E-3</v>
      </c>
      <c r="CN226" s="182">
        <f t="shared" si="624"/>
        <v>5.4548158049197104E-2</v>
      </c>
      <c r="CO226" s="182">
        <f t="shared" si="624"/>
        <v>-0.14321951329750404</v>
      </c>
      <c r="CP226" s="285">
        <f t="shared" si="624"/>
        <v>-0.40096574217655895</v>
      </c>
      <c r="CQ226" s="285">
        <f t="shared" si="624"/>
        <v>0.12315905511136604</v>
      </c>
      <c r="CR226" s="285">
        <f t="shared" si="624"/>
        <v>-0.15106526140654286</v>
      </c>
      <c r="CS226" s="285"/>
      <c r="CT226" s="349"/>
      <c r="CU226" s="119"/>
    </row>
    <row r="227" spans="1:99" ht="15" thickTop="1" x14ac:dyDescent="0.3">
      <c r="A227" s="150"/>
    </row>
    <row r="228" spans="1:99" x14ac:dyDescent="0.3">
      <c r="B228" s="1" t="s">
        <v>24</v>
      </c>
    </row>
    <row r="229" spans="1:99" x14ac:dyDescent="0.3">
      <c r="B229" s="33" t="s">
        <v>153</v>
      </c>
    </row>
    <row r="232" spans="1:99" x14ac:dyDescent="0.3">
      <c r="B232" s="34" t="s">
        <v>23</v>
      </c>
    </row>
    <row r="233" spans="1:99" x14ac:dyDescent="0.3">
      <c r="B233" s="2" t="s">
        <v>25</v>
      </c>
    </row>
    <row r="234" spans="1:99" x14ac:dyDescent="0.3">
      <c r="B234" s="2" t="s">
        <v>26</v>
      </c>
    </row>
    <row r="235" spans="1:99" x14ac:dyDescent="0.3">
      <c r="B235" s="2" t="s">
        <v>27</v>
      </c>
    </row>
    <row r="236" spans="1:99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S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V244"/>
  <sheetViews>
    <sheetView workbookViewId="0">
      <pane xSplit="2" ySplit="8" topLeftCell="C9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7" width="13.77734375" style="2" customWidth="1"/>
    <col min="98" max="98" width="9.6640625" style="345" customWidth="1"/>
    <col min="99" max="99" width="13.77734375" style="2" hidden="1" customWidth="1"/>
    <col min="100" max="100" width="14.21875" style="2" customWidth="1"/>
    <col min="101" max="102" width="9.21875" style="2" customWidth="1"/>
    <col min="103" max="16384" width="9.21875" style="2"/>
  </cols>
  <sheetData>
    <row r="1" spans="1:99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</row>
    <row r="2" spans="1:99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224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U6" s="23" t="s">
        <v>58</v>
      </c>
    </row>
    <row r="7" spans="1:9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7"/>
      <c r="CT7" s="352"/>
      <c r="CU7" s="260" t="s">
        <v>84</v>
      </c>
    </row>
    <row r="8" spans="1:99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2" t="s">
        <v>223</v>
      </c>
      <c r="CT8" s="347"/>
      <c r="CU8" s="261">
        <v>45010</v>
      </c>
    </row>
    <row r="9" spans="1:9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48"/>
      <c r="CU9" s="59"/>
    </row>
    <row r="10" spans="1:99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/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S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48"/>
      <c r="CU10" s="67">
        <f>'MONTHLY SUMMARIES'!H10</f>
        <v>614209</v>
      </c>
    </row>
    <row r="11" spans="1:99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/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48"/>
      <c r="CU11" s="81">
        <f>CU10-CU12</f>
        <v>603807</v>
      </c>
    </row>
    <row r="12" spans="1:99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/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48"/>
      <c r="CU12" s="67">
        <f>GETPIVOTDATA("VALUE",'CRS ESCO pvt'!$I$2,"DATE_FILE",$CU$8,"COMPANY",$CU$6,"TRIM_CAT","Resdiential-ESCO","TRIM_LINE",A9)</f>
        <v>10402</v>
      </c>
    </row>
    <row r="13" spans="1:99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/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S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48"/>
      <c r="CU13" s="67">
        <f>'MONTHLY SUMMARIES'!H11</f>
        <v>71323</v>
      </c>
    </row>
    <row r="14" spans="1:99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/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48"/>
      <c r="CU14" s="81">
        <f>CU13-CU15</f>
        <v>69545</v>
      </c>
    </row>
    <row r="15" spans="1:99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/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48"/>
      <c r="CU15" s="67">
        <f>GETPIVOTDATA("VALUE",'CRS ESCO pvt'!$I$2,"DATE_FILE",$CU$8,"COMPANY",$CU$6,"TRIM_CAT","Low Income Resdiential-ESCO","TRIM_LINE",A9)</f>
        <v>1778</v>
      </c>
    </row>
    <row r="16" spans="1:99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/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S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48"/>
      <c r="CU16" s="67">
        <f>'MONTHLY SUMMARIES'!H12</f>
        <v>37390</v>
      </c>
    </row>
    <row r="17" spans="1:99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/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48"/>
      <c r="CU17" s="67">
        <f>'MONTHLY SUMMARIES'!H13</f>
        <v>12835</v>
      </c>
    </row>
    <row r="18" spans="1:99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/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48"/>
      <c r="CU18" s="67">
        <f>'MONTHLY SUMMARIES'!H14</f>
        <v>9569</v>
      </c>
    </row>
    <row r="19" spans="1:99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/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:CS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49"/>
      <c r="CU19" s="74">
        <f>CU10+CU13+CU16+CU17+CU18</f>
        <v>745326</v>
      </c>
    </row>
    <row r="20" spans="1:9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48"/>
      <c r="CU20" s="81"/>
    </row>
    <row r="21" spans="1:99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/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S21" si="29">O21-C21</f>
        <v>4812</v>
      </c>
      <c r="BJ21" s="87">
        <f t="shared" si="29"/>
        <v>1911</v>
      </c>
      <c r="BK21" s="87">
        <f t="shared" si="29"/>
        <v>-1333</v>
      </c>
      <c r="BL21" s="87">
        <f t="shared" si="29"/>
        <v>6996</v>
      </c>
      <c r="BM21" s="87">
        <f t="shared" si="29"/>
        <v>-74</v>
      </c>
      <c r="BN21" s="87">
        <f t="shared" si="29"/>
        <v>1770</v>
      </c>
      <c r="BO21" s="87">
        <f t="shared" si="29"/>
        <v>1181</v>
      </c>
      <c r="BP21" s="87">
        <f t="shared" si="29"/>
        <v>9453</v>
      </c>
      <c r="BQ21" s="87">
        <f t="shared" si="29"/>
        <v>4922</v>
      </c>
      <c r="BR21" s="87">
        <f t="shared" si="29"/>
        <v>574</v>
      </c>
      <c r="BS21" s="87">
        <f t="shared" si="29"/>
        <v>-279</v>
      </c>
      <c r="BT21" s="87">
        <f t="shared" si="29"/>
        <v>-4231</v>
      </c>
      <c r="BU21" s="87">
        <f t="shared" si="29"/>
        <v>-12357</v>
      </c>
      <c r="BV21" s="87">
        <f t="shared" si="29"/>
        <v>-8723</v>
      </c>
      <c r="BW21" s="87">
        <f t="shared" si="29"/>
        <v>-7849</v>
      </c>
      <c r="BX21" s="87">
        <f t="shared" si="29"/>
        <v>-10516</v>
      </c>
      <c r="BY21" s="87">
        <f t="shared" si="29"/>
        <v>-9470</v>
      </c>
      <c r="BZ21" s="87">
        <f t="shared" si="29"/>
        <v>-10612</v>
      </c>
      <c r="CA21" s="267">
        <f t="shared" si="29"/>
        <v>-7056</v>
      </c>
      <c r="CB21" s="267">
        <f t="shared" si="29"/>
        <v>-2441</v>
      </c>
      <c r="CC21" s="267">
        <f t="shared" si="29"/>
        <v>-3464</v>
      </c>
      <c r="CD21" s="333">
        <f t="shared" si="29"/>
        <v>-7587</v>
      </c>
      <c r="CE21" s="316">
        <f t="shared" si="29"/>
        <v>2388</v>
      </c>
      <c r="CF21" s="316">
        <f t="shared" si="29"/>
        <v>-1266</v>
      </c>
      <c r="CG21" s="316">
        <f t="shared" si="29"/>
        <v>25</v>
      </c>
      <c r="CH21" s="316">
        <f t="shared" si="29"/>
        <v>565</v>
      </c>
      <c r="CI21" s="316">
        <f t="shared" si="29"/>
        <v>-2143</v>
      </c>
      <c r="CJ21" s="316">
        <f t="shared" si="29"/>
        <v>-7</v>
      </c>
      <c r="CK21" s="316">
        <f t="shared" si="29"/>
        <v>1350</v>
      </c>
      <c r="CL21" s="316">
        <f t="shared" si="29"/>
        <v>252</v>
      </c>
      <c r="CM21" s="316">
        <f t="shared" si="29"/>
        <v>2152</v>
      </c>
      <c r="CN21" s="316">
        <f t="shared" si="29"/>
        <v>-7110</v>
      </c>
      <c r="CO21" s="316">
        <f t="shared" si="29"/>
        <v>-7594</v>
      </c>
      <c r="CP21" s="316">
        <f t="shared" si="29"/>
        <v>979</v>
      </c>
      <c r="CQ21" s="316">
        <f t="shared" si="29"/>
        <v>-5342</v>
      </c>
      <c r="CR21" s="316">
        <f t="shared" si="29"/>
        <v>992</v>
      </c>
      <c r="CS21" s="316">
        <f t="shared" si="29"/>
        <v>2100</v>
      </c>
      <c r="CT21" s="348"/>
      <c r="CU21" s="67">
        <f>'MONTHLY SUMMARIES'!H17</f>
        <v>100960</v>
      </c>
    </row>
    <row r="22" spans="1:99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/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48"/>
      <c r="CU22" s="81">
        <f>CU21-CU23</f>
        <v>99267</v>
      </c>
    </row>
    <row r="23" spans="1:99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/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48"/>
      <c r="CU23" s="67">
        <f>GETPIVOTDATA("VALUE",'CRS ESCO pvt'!$I$2,"DATE_FILE",$CU$8,"COMPANY",$CU$6,"TRIM_CAT","Resdiential-ESCO","TRIM_LINE",A20)</f>
        <v>1693</v>
      </c>
    </row>
    <row r="24" spans="1:99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/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S24" si="30">O24-C24</f>
        <v>121</v>
      </c>
      <c r="BJ24" s="87">
        <f t="shared" si="30"/>
        <v>-21</v>
      </c>
      <c r="BK24" s="87">
        <f t="shared" si="30"/>
        <v>-1983</v>
      </c>
      <c r="BL24" s="87">
        <f t="shared" si="30"/>
        <v>112</v>
      </c>
      <c r="BM24" s="87">
        <f t="shared" si="30"/>
        <v>1097</v>
      </c>
      <c r="BN24" s="87">
        <f t="shared" si="30"/>
        <v>1128</v>
      </c>
      <c r="BO24" s="87">
        <f t="shared" si="30"/>
        <v>1386</v>
      </c>
      <c r="BP24" s="87">
        <f t="shared" si="30"/>
        <v>2470</v>
      </c>
      <c r="BQ24" s="87">
        <f t="shared" si="30"/>
        <v>3128</v>
      </c>
      <c r="BR24" s="87">
        <f t="shared" si="30"/>
        <v>3185</v>
      </c>
      <c r="BS24" s="87">
        <f t="shared" si="30"/>
        <v>2381</v>
      </c>
      <c r="BT24" s="87">
        <f t="shared" si="30"/>
        <v>3902</v>
      </c>
      <c r="BU24" s="87">
        <f t="shared" si="30"/>
        <v>3202</v>
      </c>
      <c r="BV24" s="87">
        <f t="shared" si="30"/>
        <v>4234</v>
      </c>
      <c r="BW24" s="87">
        <f t="shared" si="30"/>
        <v>3595</v>
      </c>
      <c r="BX24" s="87">
        <f t="shared" si="30"/>
        <v>3784</v>
      </c>
      <c r="BY24" s="87">
        <f t="shared" si="30"/>
        <v>1517</v>
      </c>
      <c r="BZ24" s="87">
        <f t="shared" si="30"/>
        <v>1068</v>
      </c>
      <c r="CA24" s="267">
        <f t="shared" si="30"/>
        <v>927</v>
      </c>
      <c r="CB24" s="267">
        <f t="shared" si="30"/>
        <v>1440</v>
      </c>
      <c r="CC24" s="267">
        <f t="shared" si="30"/>
        <v>-921</v>
      </c>
      <c r="CD24" s="333">
        <f t="shared" si="30"/>
        <v>-3901</v>
      </c>
      <c r="CE24" s="316">
        <f t="shared" si="30"/>
        <v>-325</v>
      </c>
      <c r="CF24" s="316">
        <f t="shared" si="30"/>
        <v>119</v>
      </c>
      <c r="CG24" s="316">
        <f t="shared" si="30"/>
        <v>1159</v>
      </c>
      <c r="CH24" s="316">
        <f t="shared" si="30"/>
        <v>610</v>
      </c>
      <c r="CI24" s="316">
        <f t="shared" si="30"/>
        <v>1241</v>
      </c>
      <c r="CJ24" s="316">
        <f t="shared" si="30"/>
        <v>509</v>
      </c>
      <c r="CK24" s="316">
        <f t="shared" si="30"/>
        <v>796</v>
      </c>
      <c r="CL24" s="316">
        <f t="shared" si="30"/>
        <v>1267</v>
      </c>
      <c r="CM24" s="316">
        <f t="shared" si="30"/>
        <v>1629</v>
      </c>
      <c r="CN24" s="316">
        <f t="shared" si="30"/>
        <v>245</v>
      </c>
      <c r="CO24" s="316">
        <f t="shared" si="30"/>
        <v>1754</v>
      </c>
      <c r="CP24" s="316">
        <f t="shared" si="30"/>
        <v>5939</v>
      </c>
      <c r="CQ24" s="316">
        <f t="shared" si="30"/>
        <v>5507</v>
      </c>
      <c r="CR24" s="316">
        <f t="shared" si="30"/>
        <v>5204</v>
      </c>
      <c r="CS24" s="316">
        <f t="shared" si="30"/>
        <v>4832</v>
      </c>
      <c r="CT24" s="348"/>
      <c r="CU24" s="67">
        <f>'MONTHLY SUMMARIES'!H18</f>
        <v>32421</v>
      </c>
    </row>
    <row r="25" spans="1:99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/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48"/>
      <c r="CU25" s="81">
        <f>CU24-CU26</f>
        <v>31890</v>
      </c>
    </row>
    <row r="26" spans="1:99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/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48"/>
      <c r="CU26" s="67">
        <f>GETPIVOTDATA("VALUE",'CRS ESCO pvt'!$I$2,"DATE_FILE",$CU$8,"COMPANY",$CU$6,"TRIM_CAT","Low Income Resdiential-ESCO","TRIM_LINE",A20)</f>
        <v>531</v>
      </c>
    </row>
    <row r="27" spans="1:99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/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1">O27-C27</f>
        <v>446</v>
      </c>
      <c r="BJ27" s="87">
        <f t="shared" si="31"/>
        <v>1738</v>
      </c>
      <c r="BK27" s="87">
        <f t="shared" si="31"/>
        <v>1971</v>
      </c>
      <c r="BL27" s="87">
        <f t="shared" si="31"/>
        <v>2169</v>
      </c>
      <c r="BM27" s="87">
        <f t="shared" si="31"/>
        <v>1076</v>
      </c>
      <c r="BN27" s="87">
        <f t="shared" si="31"/>
        <v>1119</v>
      </c>
      <c r="BO27" s="87">
        <f t="shared" si="31"/>
        <v>842</v>
      </c>
      <c r="BP27" s="87">
        <f t="shared" si="31"/>
        <v>1435</v>
      </c>
      <c r="BQ27" s="87">
        <f t="shared" si="31"/>
        <v>1172</v>
      </c>
      <c r="BR27" s="87">
        <f t="shared" si="31"/>
        <v>249</v>
      </c>
      <c r="BS27" s="87">
        <f t="shared" ref="BS27:CB29" si="32">Y27-M27</f>
        <v>1138</v>
      </c>
      <c r="BT27" s="87">
        <f t="shared" si="32"/>
        <v>327</v>
      </c>
      <c r="BU27" s="87">
        <f t="shared" si="32"/>
        <v>-1007</v>
      </c>
      <c r="BV27" s="87">
        <f t="shared" si="32"/>
        <v>-2792</v>
      </c>
      <c r="BW27" s="87">
        <f t="shared" si="32"/>
        <v>-2593</v>
      </c>
      <c r="BX27" s="87">
        <f t="shared" si="32"/>
        <v>-1382</v>
      </c>
      <c r="BY27" s="87">
        <f t="shared" si="32"/>
        <v>-679</v>
      </c>
      <c r="BZ27" s="87">
        <f t="shared" si="32"/>
        <v>-1052</v>
      </c>
      <c r="CA27" s="267">
        <f t="shared" si="32"/>
        <v>-574</v>
      </c>
      <c r="CB27" s="267">
        <f t="shared" si="32"/>
        <v>689</v>
      </c>
      <c r="CC27" s="267">
        <f t="shared" ref="CC27:CL29" si="33">AI27-W27</f>
        <v>456</v>
      </c>
      <c r="CD27" s="333">
        <f t="shared" si="33"/>
        <v>709</v>
      </c>
      <c r="CE27" s="316">
        <f t="shared" si="33"/>
        <v>2201</v>
      </c>
      <c r="CF27" s="316">
        <f t="shared" si="33"/>
        <v>1253</v>
      </c>
      <c r="CG27" s="316">
        <f t="shared" si="33"/>
        <v>1600</v>
      </c>
      <c r="CH27" s="316">
        <f t="shared" si="33"/>
        <v>858</v>
      </c>
      <c r="CI27" s="316">
        <f t="shared" si="33"/>
        <v>450</v>
      </c>
      <c r="CJ27" s="316">
        <f t="shared" si="33"/>
        <v>350</v>
      </c>
      <c r="CK27" s="316">
        <f t="shared" si="33"/>
        <v>203</v>
      </c>
      <c r="CL27" s="316">
        <f t="shared" si="33"/>
        <v>460</v>
      </c>
      <c r="CM27" s="316">
        <f t="shared" ref="CM27:CS29" si="34">AS27-AG27</f>
        <v>848</v>
      </c>
      <c r="CN27" s="316">
        <f t="shared" si="34"/>
        <v>-1079</v>
      </c>
      <c r="CO27" s="316">
        <f t="shared" si="34"/>
        <v>-1192</v>
      </c>
      <c r="CP27" s="316">
        <f t="shared" si="34"/>
        <v>-921</v>
      </c>
      <c r="CQ27" s="316">
        <f t="shared" si="34"/>
        <v>-2604</v>
      </c>
      <c r="CR27" s="316">
        <f t="shared" si="34"/>
        <v>-1618</v>
      </c>
      <c r="CS27" s="316">
        <f t="shared" si="34"/>
        <v>-1203</v>
      </c>
      <c r="CT27" s="348"/>
      <c r="CU27" s="67">
        <f>'MONTHLY SUMMARIES'!H19</f>
        <v>6468</v>
      </c>
    </row>
    <row r="28" spans="1:99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/>
      <c r="BA28" s="293"/>
      <c r="BB28" s="293"/>
      <c r="BC28" s="293"/>
      <c r="BD28" s="293"/>
      <c r="BE28" s="293"/>
      <c r="BF28" s="293"/>
      <c r="BG28" s="293"/>
      <c r="BH28" s="293"/>
      <c r="BI28" s="86">
        <f t="shared" si="31"/>
        <v>76</v>
      </c>
      <c r="BJ28" s="87">
        <f t="shared" si="31"/>
        <v>777</v>
      </c>
      <c r="BK28" s="87">
        <f t="shared" si="31"/>
        <v>753</v>
      </c>
      <c r="BL28" s="87">
        <f t="shared" si="31"/>
        <v>810</v>
      </c>
      <c r="BM28" s="87">
        <f t="shared" si="31"/>
        <v>419</v>
      </c>
      <c r="BN28" s="87">
        <f t="shared" si="31"/>
        <v>391</v>
      </c>
      <c r="BO28" s="87">
        <f t="shared" si="31"/>
        <v>332</v>
      </c>
      <c r="BP28" s="87">
        <f t="shared" si="31"/>
        <v>535</v>
      </c>
      <c r="BQ28" s="87">
        <f t="shared" si="31"/>
        <v>472</v>
      </c>
      <c r="BR28" s="87">
        <f t="shared" si="31"/>
        <v>225</v>
      </c>
      <c r="BS28" s="87">
        <f t="shared" si="32"/>
        <v>771</v>
      </c>
      <c r="BT28" s="87">
        <f t="shared" si="32"/>
        <v>473</v>
      </c>
      <c r="BU28" s="87">
        <f t="shared" si="32"/>
        <v>-80</v>
      </c>
      <c r="BV28" s="87">
        <f t="shared" si="32"/>
        <v>-973</v>
      </c>
      <c r="BW28" s="87">
        <f t="shared" si="32"/>
        <v>-867</v>
      </c>
      <c r="BX28" s="87">
        <f t="shared" si="32"/>
        <v>-455</v>
      </c>
      <c r="BY28" s="87">
        <f t="shared" si="32"/>
        <v>-182</v>
      </c>
      <c r="BZ28" s="87">
        <f t="shared" si="32"/>
        <v>-347</v>
      </c>
      <c r="CA28" s="267">
        <f t="shared" si="32"/>
        <v>-305</v>
      </c>
      <c r="CB28" s="267">
        <f t="shared" si="32"/>
        <v>329</v>
      </c>
      <c r="CC28" s="267">
        <f t="shared" si="33"/>
        <v>419</v>
      </c>
      <c r="CD28" s="333">
        <f t="shared" si="33"/>
        <v>467</v>
      </c>
      <c r="CE28" s="316">
        <f t="shared" si="33"/>
        <v>1167</v>
      </c>
      <c r="CF28" s="316">
        <f t="shared" si="33"/>
        <v>714</v>
      </c>
      <c r="CG28" s="316">
        <f t="shared" si="33"/>
        <v>817</v>
      </c>
      <c r="CH28" s="316">
        <f t="shared" si="33"/>
        <v>463</v>
      </c>
      <c r="CI28" s="316">
        <f t="shared" si="33"/>
        <v>449</v>
      </c>
      <c r="CJ28" s="316">
        <f t="shared" si="33"/>
        <v>370</v>
      </c>
      <c r="CK28" s="316">
        <f t="shared" si="33"/>
        <v>233</v>
      </c>
      <c r="CL28" s="316">
        <f t="shared" si="33"/>
        <v>400</v>
      </c>
      <c r="CM28" s="316">
        <f t="shared" si="34"/>
        <v>683</v>
      </c>
      <c r="CN28" s="316">
        <f t="shared" si="34"/>
        <v>-361</v>
      </c>
      <c r="CO28" s="316">
        <f t="shared" si="34"/>
        <v>-428</v>
      </c>
      <c r="CP28" s="316">
        <f t="shared" si="34"/>
        <v>-329</v>
      </c>
      <c r="CQ28" s="316">
        <f t="shared" si="34"/>
        <v>-1363</v>
      </c>
      <c r="CR28" s="316">
        <f t="shared" si="34"/>
        <v>-862</v>
      </c>
      <c r="CS28" s="316">
        <f t="shared" si="34"/>
        <v>-653</v>
      </c>
      <c r="CT28" s="348"/>
      <c r="CU28" s="67">
        <f>'MONTHLY SUMMARIES'!H20</f>
        <v>2193</v>
      </c>
    </row>
    <row r="29" spans="1:99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/>
      <c r="BA29" s="293"/>
      <c r="BB29" s="293"/>
      <c r="BC29" s="293"/>
      <c r="BD29" s="293"/>
      <c r="BE29" s="293"/>
      <c r="BF29" s="293"/>
      <c r="BG29" s="293"/>
      <c r="BH29" s="293"/>
      <c r="BI29" s="86">
        <f t="shared" si="31"/>
        <v>-43</v>
      </c>
      <c r="BJ29" s="87">
        <f t="shared" si="31"/>
        <v>667</v>
      </c>
      <c r="BK29" s="87">
        <f t="shared" si="31"/>
        <v>774</v>
      </c>
      <c r="BL29" s="87">
        <f t="shared" si="31"/>
        <v>810</v>
      </c>
      <c r="BM29" s="87">
        <f t="shared" si="31"/>
        <v>394</v>
      </c>
      <c r="BN29" s="87">
        <f t="shared" si="31"/>
        <v>607</v>
      </c>
      <c r="BO29" s="87">
        <f t="shared" si="31"/>
        <v>525</v>
      </c>
      <c r="BP29" s="87">
        <f t="shared" si="31"/>
        <v>545</v>
      </c>
      <c r="BQ29" s="87">
        <f t="shared" si="31"/>
        <v>435</v>
      </c>
      <c r="BR29" s="87">
        <f t="shared" si="31"/>
        <v>211</v>
      </c>
      <c r="BS29" s="87">
        <f t="shared" si="32"/>
        <v>701</v>
      </c>
      <c r="BT29" s="87">
        <f t="shared" si="32"/>
        <v>283</v>
      </c>
      <c r="BU29" s="87">
        <f t="shared" si="32"/>
        <v>-62</v>
      </c>
      <c r="BV29" s="87">
        <f t="shared" si="32"/>
        <v>-783</v>
      </c>
      <c r="BW29" s="87">
        <f t="shared" si="32"/>
        <v>-857</v>
      </c>
      <c r="BX29" s="87">
        <f t="shared" si="32"/>
        <v>-327</v>
      </c>
      <c r="BY29" s="87">
        <f t="shared" si="32"/>
        <v>-49</v>
      </c>
      <c r="BZ29" s="87">
        <f t="shared" si="32"/>
        <v>-301</v>
      </c>
      <c r="CA29" s="267">
        <f t="shared" si="32"/>
        <v>-443</v>
      </c>
      <c r="CB29" s="267">
        <f t="shared" si="32"/>
        <v>292</v>
      </c>
      <c r="CC29" s="267">
        <f t="shared" si="33"/>
        <v>599</v>
      </c>
      <c r="CD29" s="333">
        <f t="shared" si="33"/>
        <v>798</v>
      </c>
      <c r="CE29" s="316">
        <f t="shared" si="33"/>
        <v>1248</v>
      </c>
      <c r="CF29" s="316">
        <f t="shared" si="33"/>
        <v>927</v>
      </c>
      <c r="CG29" s="316">
        <f t="shared" si="33"/>
        <v>787</v>
      </c>
      <c r="CH29" s="316">
        <f t="shared" si="33"/>
        <v>574</v>
      </c>
      <c r="CI29" s="316">
        <f t="shared" si="33"/>
        <v>553</v>
      </c>
      <c r="CJ29" s="316">
        <f t="shared" si="33"/>
        <v>377</v>
      </c>
      <c r="CK29" s="316">
        <f t="shared" si="33"/>
        <v>232</v>
      </c>
      <c r="CL29" s="316">
        <f t="shared" si="33"/>
        <v>431</v>
      </c>
      <c r="CM29" s="316">
        <f t="shared" si="34"/>
        <v>746</v>
      </c>
      <c r="CN29" s="316">
        <f t="shared" si="34"/>
        <v>-319</v>
      </c>
      <c r="CO29" s="316">
        <f t="shared" si="34"/>
        <v>-492</v>
      </c>
      <c r="CP29" s="316">
        <f t="shared" si="34"/>
        <v>-491</v>
      </c>
      <c r="CQ29" s="316">
        <f t="shared" si="34"/>
        <v>-1244</v>
      </c>
      <c r="CR29" s="316">
        <f t="shared" si="34"/>
        <v>-1057</v>
      </c>
      <c r="CS29" s="316">
        <f t="shared" si="34"/>
        <v>-523</v>
      </c>
      <c r="CT29" s="348"/>
      <c r="CU29" s="67">
        <f>'MONTHLY SUMMARIES'!H21</f>
        <v>1970</v>
      </c>
    </row>
    <row r="30" spans="1:99" s="76" customFormat="1" x14ac:dyDescent="0.3">
      <c r="A30" s="152"/>
      <c r="B30" s="63" t="s">
        <v>42</v>
      </c>
      <c r="C30" s="140">
        <f t="shared" ref="C30:V30" si="35">SUM(C21:C29)</f>
        <v>139963</v>
      </c>
      <c r="D30" s="141">
        <f t="shared" si="35"/>
        <v>145089</v>
      </c>
      <c r="E30" s="141">
        <f t="shared" si="35"/>
        <v>146077</v>
      </c>
      <c r="F30" s="141">
        <f t="shared" si="35"/>
        <v>135049</v>
      </c>
      <c r="G30" s="141">
        <f t="shared" si="35"/>
        <v>139694</v>
      </c>
      <c r="H30" s="141">
        <f t="shared" si="35"/>
        <v>135671</v>
      </c>
      <c r="I30" s="141">
        <f t="shared" si="35"/>
        <v>132156</v>
      </c>
      <c r="J30" s="141">
        <f t="shared" si="35"/>
        <v>125911</v>
      </c>
      <c r="K30" s="141">
        <f t="shared" si="35"/>
        <v>134395</v>
      </c>
      <c r="L30" s="142">
        <f t="shared" si="35"/>
        <v>136611</v>
      </c>
      <c r="M30" s="141">
        <f t="shared" si="35"/>
        <v>132665</v>
      </c>
      <c r="N30" s="141">
        <f t="shared" si="35"/>
        <v>137649</v>
      </c>
      <c r="O30" s="141">
        <f t="shared" si="35"/>
        <v>145375</v>
      </c>
      <c r="P30" s="141">
        <f t="shared" si="35"/>
        <v>150161</v>
      </c>
      <c r="Q30" s="141">
        <f t="shared" si="35"/>
        <v>146259</v>
      </c>
      <c r="R30" s="141">
        <f t="shared" si="35"/>
        <v>145946</v>
      </c>
      <c r="S30" s="141">
        <f t="shared" si="35"/>
        <v>142606</v>
      </c>
      <c r="T30" s="141">
        <f t="shared" si="35"/>
        <v>140686</v>
      </c>
      <c r="U30" s="141">
        <f t="shared" si="35"/>
        <v>136422</v>
      </c>
      <c r="V30" s="141">
        <f t="shared" si="35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/>
      <c r="BA30" s="294"/>
      <c r="BB30" s="294"/>
      <c r="BC30" s="294"/>
      <c r="BD30" s="294"/>
      <c r="BE30" s="294"/>
      <c r="BF30" s="294"/>
      <c r="BG30" s="294"/>
      <c r="BH30" s="294"/>
      <c r="BI30" s="88">
        <f>SUM(BI21:BI29)</f>
        <v>5412</v>
      </c>
      <c r="BJ30" s="143">
        <f t="shared" ref="BJ30:BK30" si="36">SUM(BJ21:BJ29)</f>
        <v>5072</v>
      </c>
      <c r="BK30" s="143">
        <f t="shared" si="36"/>
        <v>182</v>
      </c>
      <c r="BL30" s="143">
        <f t="shared" ref="BL30:BM30" si="37">SUM(BL21:BL29)</f>
        <v>10897</v>
      </c>
      <c r="BM30" s="143">
        <f t="shared" si="37"/>
        <v>2912</v>
      </c>
      <c r="BN30" s="143">
        <f t="shared" ref="BN30:BO30" si="38">SUM(BN21:BN29)</f>
        <v>5015</v>
      </c>
      <c r="BO30" s="143">
        <f t="shared" si="38"/>
        <v>4266</v>
      </c>
      <c r="BP30" s="143">
        <f t="shared" ref="BP30:BQ30" si="39">SUM(BP21:BP29)</f>
        <v>14438</v>
      </c>
      <c r="BQ30" s="143">
        <f t="shared" si="39"/>
        <v>10129</v>
      </c>
      <c r="BR30" s="143">
        <f t="shared" ref="BR30:BS30" si="40">SUM(BR21:BR29)</f>
        <v>4444</v>
      </c>
      <c r="BS30" s="143">
        <f t="shared" si="40"/>
        <v>4712</v>
      </c>
      <c r="BT30" s="143">
        <f t="shared" ref="BT30:BU30" si="41">SUM(BT21:BT29)</f>
        <v>754</v>
      </c>
      <c r="BU30" s="143">
        <f t="shared" si="41"/>
        <v>-10304</v>
      </c>
      <c r="BV30" s="143">
        <f t="shared" ref="BV30:BW30" si="42">SUM(BV21:BV29)</f>
        <v>-9037</v>
      </c>
      <c r="BW30" s="143">
        <f t="shared" si="42"/>
        <v>-8571</v>
      </c>
      <c r="BX30" s="143">
        <f t="shared" ref="BX30:BY30" si="43">SUM(BX21:BX29)</f>
        <v>-8896</v>
      </c>
      <c r="BY30" s="143">
        <f t="shared" si="43"/>
        <v>-8863</v>
      </c>
      <c r="BZ30" s="143">
        <f t="shared" ref="BZ30:CA30" si="44">SUM(BZ21:BZ29)</f>
        <v>-11244</v>
      </c>
      <c r="CA30" s="268">
        <f t="shared" si="44"/>
        <v>-7451</v>
      </c>
      <c r="CB30" s="268">
        <f t="shared" ref="CB30:CC30" si="45">SUM(CB21:CB29)</f>
        <v>309</v>
      </c>
      <c r="CC30" s="268">
        <f t="shared" si="45"/>
        <v>-2911</v>
      </c>
      <c r="CD30" s="334">
        <f t="shared" ref="CD30:CE30" si="46">SUM(CD21:CD29)</f>
        <v>-9514</v>
      </c>
      <c r="CE30" s="317">
        <f t="shared" si="46"/>
        <v>6679</v>
      </c>
      <c r="CF30" s="317">
        <f t="shared" ref="CF30:CG30" si="47">SUM(CF21:CF29)</f>
        <v>1747</v>
      </c>
      <c r="CG30" s="317">
        <f t="shared" si="47"/>
        <v>4388</v>
      </c>
      <c r="CH30" s="317">
        <f t="shared" ref="CH30:CI30" si="48">SUM(CH21:CH29)</f>
        <v>3070</v>
      </c>
      <c r="CI30" s="317">
        <f t="shared" si="48"/>
        <v>550</v>
      </c>
      <c r="CJ30" s="317">
        <f t="shared" ref="CJ30" si="49">SUM(CJ21:CJ29)</f>
        <v>1599</v>
      </c>
      <c r="CK30" s="317">
        <f t="shared" ref="CK30" si="50">SUM(CK21:CK29)</f>
        <v>2814</v>
      </c>
      <c r="CL30" s="317">
        <f t="shared" ref="CL30" si="51">SUM(CL21:CL29)</f>
        <v>2810</v>
      </c>
      <c r="CM30" s="317">
        <f t="shared" ref="CM30" si="52">SUM(CM21:CM29)</f>
        <v>6058</v>
      </c>
      <c r="CN30" s="317">
        <f t="shared" ref="CN30" si="53">SUM(CN21:CN29)</f>
        <v>-8624</v>
      </c>
      <c r="CO30" s="317">
        <f t="shared" ref="CO30" si="54">SUM(CO21:CO29)</f>
        <v>-7952</v>
      </c>
      <c r="CP30" s="317">
        <f t="shared" ref="CP30" si="55">SUM(CP21:CP29)</f>
        <v>5177</v>
      </c>
      <c r="CQ30" s="317">
        <f t="shared" ref="CQ30:CS30" si="56">SUM(CQ21:CQ29)</f>
        <v>-5046</v>
      </c>
      <c r="CR30" s="317">
        <f t="shared" ref="CR30:CS30" si="57">SUM(CR21:CR29)</f>
        <v>2659</v>
      </c>
      <c r="CS30" s="317">
        <f t="shared" si="57"/>
        <v>4553</v>
      </c>
      <c r="CT30" s="349"/>
      <c r="CU30" s="262">
        <f>CU21+CU24+CU27+CU28+CU29</f>
        <v>144012</v>
      </c>
    </row>
    <row r="31" spans="1:9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48"/>
      <c r="CU31" s="93"/>
    </row>
    <row r="32" spans="1:99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/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S32" si="58">O32-C32</f>
        <v>3154</v>
      </c>
      <c r="BJ32" s="87">
        <f t="shared" si="58"/>
        <v>-4999</v>
      </c>
      <c r="BK32" s="87">
        <f t="shared" si="58"/>
        <v>-8265</v>
      </c>
      <c r="BL32" s="87">
        <f t="shared" si="58"/>
        <v>868</v>
      </c>
      <c r="BM32" s="87">
        <f t="shared" si="58"/>
        <v>-8659</v>
      </c>
      <c r="BN32" s="87">
        <f t="shared" si="58"/>
        <v>-1629</v>
      </c>
      <c r="BO32" s="87">
        <f t="shared" si="58"/>
        <v>-5232</v>
      </c>
      <c r="BP32" s="87">
        <f t="shared" si="58"/>
        <v>379</v>
      </c>
      <c r="BQ32" s="87">
        <f t="shared" si="58"/>
        <v>-4133</v>
      </c>
      <c r="BR32" s="87">
        <f t="shared" si="58"/>
        <v>-5775</v>
      </c>
      <c r="BS32" s="87">
        <f t="shared" si="58"/>
        <v>-5052</v>
      </c>
      <c r="BT32" s="87">
        <f t="shared" si="58"/>
        <v>-4956</v>
      </c>
      <c r="BU32" s="87">
        <f t="shared" si="58"/>
        <v>-9083</v>
      </c>
      <c r="BV32" s="87">
        <f t="shared" si="58"/>
        <v>-2428</v>
      </c>
      <c r="BW32" s="87">
        <f t="shared" si="58"/>
        <v>2413</v>
      </c>
      <c r="BX32" s="87">
        <f t="shared" si="58"/>
        <v>-301</v>
      </c>
      <c r="BY32" s="87">
        <f t="shared" si="58"/>
        <v>4072</v>
      </c>
      <c r="BZ32" s="87">
        <f t="shared" si="58"/>
        <v>1649</v>
      </c>
      <c r="CA32" s="267">
        <f t="shared" si="58"/>
        <v>3491</v>
      </c>
      <c r="CB32" s="267">
        <f t="shared" si="58"/>
        <v>5231</v>
      </c>
      <c r="CC32" s="267">
        <f t="shared" si="58"/>
        <v>4018</v>
      </c>
      <c r="CD32" s="333">
        <f t="shared" si="58"/>
        <v>1975</v>
      </c>
      <c r="CE32" s="316">
        <f t="shared" si="58"/>
        <v>9885</v>
      </c>
      <c r="CF32" s="316">
        <f t="shared" si="58"/>
        <v>2402</v>
      </c>
      <c r="CG32" s="316">
        <f t="shared" si="58"/>
        <v>2209</v>
      </c>
      <c r="CH32" s="316">
        <f t="shared" si="58"/>
        <v>2696</v>
      </c>
      <c r="CI32" s="316">
        <f t="shared" si="58"/>
        <v>-95</v>
      </c>
      <c r="CJ32" s="316">
        <f t="shared" si="58"/>
        <v>1031</v>
      </c>
      <c r="CK32" s="316">
        <f t="shared" si="58"/>
        <v>1465</v>
      </c>
      <c r="CL32" s="316">
        <f t="shared" si="58"/>
        <v>-480</v>
      </c>
      <c r="CM32" s="316">
        <f t="shared" si="58"/>
        <v>980</v>
      </c>
      <c r="CN32" s="316">
        <f t="shared" si="58"/>
        <v>-3643</v>
      </c>
      <c r="CO32" s="316">
        <f t="shared" si="58"/>
        <v>-3226</v>
      </c>
      <c r="CP32" s="316">
        <f t="shared" si="58"/>
        <v>-323</v>
      </c>
      <c r="CQ32" s="316">
        <f t="shared" si="58"/>
        <v>-5185</v>
      </c>
      <c r="CR32" s="316">
        <f t="shared" si="58"/>
        <v>244</v>
      </c>
      <c r="CS32" s="316">
        <f t="shared" si="58"/>
        <v>1034</v>
      </c>
      <c r="CT32" s="348"/>
      <c r="CU32" s="67">
        <f>'MONTHLY SUMMARIES'!H24</f>
        <v>41311</v>
      </c>
    </row>
    <row r="33" spans="1:99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/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48"/>
      <c r="CU33" s="81">
        <f>CU32-CU34</f>
        <v>40342</v>
      </c>
    </row>
    <row r="34" spans="1:99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/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48"/>
      <c r="CU34" s="67">
        <f>GETPIVOTDATA("VALUE",'CRS ESCO pvt'!$I$2,"DATE_FILE",$CU$8,"COMPANY",$CU$6,"TRIM_CAT","Resdiential-ESCO","TRIM_LINE",A31)</f>
        <v>969</v>
      </c>
    </row>
    <row r="35" spans="1:99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/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S35" si="59">O35-C35</f>
        <v>-290</v>
      </c>
      <c r="BJ35" s="87">
        <f t="shared" si="59"/>
        <v>-842</v>
      </c>
      <c r="BK35" s="87">
        <f t="shared" si="59"/>
        <v>-2352</v>
      </c>
      <c r="BL35" s="87">
        <f t="shared" si="59"/>
        <v>242</v>
      </c>
      <c r="BM35" s="87">
        <f t="shared" si="59"/>
        <v>-797</v>
      </c>
      <c r="BN35" s="87">
        <f t="shared" si="59"/>
        <v>58</v>
      </c>
      <c r="BO35" s="87">
        <f t="shared" si="59"/>
        <v>-465</v>
      </c>
      <c r="BP35" s="87">
        <f t="shared" si="59"/>
        <v>75</v>
      </c>
      <c r="BQ35" s="87">
        <f t="shared" si="59"/>
        <v>-8</v>
      </c>
      <c r="BR35" s="87">
        <f t="shared" si="59"/>
        <v>19</v>
      </c>
      <c r="BS35" s="87">
        <f t="shared" si="59"/>
        <v>-399</v>
      </c>
      <c r="BT35" s="87">
        <f t="shared" si="59"/>
        <v>1101</v>
      </c>
      <c r="BU35" s="87">
        <f t="shared" si="59"/>
        <v>317</v>
      </c>
      <c r="BV35" s="87">
        <f t="shared" si="59"/>
        <v>1172</v>
      </c>
      <c r="BW35" s="87">
        <f t="shared" si="59"/>
        <v>1088</v>
      </c>
      <c r="BX35" s="87">
        <f t="shared" si="59"/>
        <v>771</v>
      </c>
      <c r="BY35" s="87">
        <f t="shared" si="59"/>
        <v>807</v>
      </c>
      <c r="BZ35" s="87">
        <f t="shared" si="59"/>
        <v>641</v>
      </c>
      <c r="CA35" s="267">
        <f t="shared" si="59"/>
        <v>874</v>
      </c>
      <c r="CB35" s="267">
        <f t="shared" si="59"/>
        <v>1277</v>
      </c>
      <c r="CC35" s="267">
        <f t="shared" si="59"/>
        <v>652</v>
      </c>
      <c r="CD35" s="333">
        <f t="shared" si="59"/>
        <v>-130</v>
      </c>
      <c r="CE35" s="316">
        <f t="shared" si="59"/>
        <v>1816</v>
      </c>
      <c r="CF35" s="316">
        <f t="shared" si="59"/>
        <v>578</v>
      </c>
      <c r="CG35" s="316">
        <f t="shared" si="59"/>
        <v>952</v>
      </c>
      <c r="CH35" s="316">
        <f t="shared" si="59"/>
        <v>-171</v>
      </c>
      <c r="CI35" s="316">
        <f t="shared" si="59"/>
        <v>132</v>
      </c>
      <c r="CJ35" s="316">
        <f t="shared" si="59"/>
        <v>-667</v>
      </c>
      <c r="CK35" s="316">
        <f t="shared" si="59"/>
        <v>318</v>
      </c>
      <c r="CL35" s="316">
        <f t="shared" si="59"/>
        <v>184</v>
      </c>
      <c r="CM35" s="316">
        <f t="shared" si="59"/>
        <v>459</v>
      </c>
      <c r="CN35" s="316">
        <f t="shared" si="59"/>
        <v>-445</v>
      </c>
      <c r="CO35" s="316">
        <f t="shared" si="59"/>
        <v>-167</v>
      </c>
      <c r="CP35" s="316">
        <f t="shared" si="59"/>
        <v>1072</v>
      </c>
      <c r="CQ35" s="316">
        <f t="shared" si="59"/>
        <v>877</v>
      </c>
      <c r="CR35" s="316">
        <f t="shared" si="59"/>
        <v>409</v>
      </c>
      <c r="CS35" s="316">
        <f t="shared" si="59"/>
        <v>18</v>
      </c>
      <c r="CT35" s="348"/>
      <c r="CU35" s="67">
        <f>'MONTHLY SUMMARIES'!H25</f>
        <v>6305</v>
      </c>
    </row>
    <row r="36" spans="1:99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/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48"/>
      <c r="CU36" s="81">
        <f>CU35-CU37</f>
        <v>6117</v>
      </c>
    </row>
    <row r="37" spans="1:99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/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48"/>
      <c r="CU37" s="67">
        <f>GETPIVOTDATA("VALUE",'CRS ESCO pvt'!$I$2,"DATE_FILE",$CU$8,"COMPANY",$CU$6,"TRIM_CAT","Low Income Resdiential-ESCO","TRIM_LINE",A31)</f>
        <v>188</v>
      </c>
    </row>
    <row r="38" spans="1:99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/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60">O38-C38</f>
        <v>68</v>
      </c>
      <c r="BJ38" s="87">
        <f t="shared" si="60"/>
        <v>494</v>
      </c>
      <c r="BK38" s="87">
        <f t="shared" si="60"/>
        <v>371</v>
      </c>
      <c r="BL38" s="87">
        <f t="shared" si="60"/>
        <v>806</v>
      </c>
      <c r="BM38" s="87">
        <f t="shared" si="60"/>
        <v>-206</v>
      </c>
      <c r="BN38" s="87">
        <f t="shared" si="60"/>
        <v>122</v>
      </c>
      <c r="BO38" s="87">
        <f t="shared" si="60"/>
        <v>-206</v>
      </c>
      <c r="BP38" s="87">
        <f t="shared" si="60"/>
        <v>403</v>
      </c>
      <c r="BQ38" s="87">
        <f t="shared" si="60"/>
        <v>208</v>
      </c>
      <c r="BR38" s="87">
        <f t="shared" si="60"/>
        <v>-396</v>
      </c>
      <c r="BS38" s="87">
        <f t="shared" ref="BS38:CB40" si="61">Y38-M38</f>
        <v>575</v>
      </c>
      <c r="BT38" s="87">
        <f t="shared" si="61"/>
        <v>152</v>
      </c>
      <c r="BU38" s="87">
        <f t="shared" si="61"/>
        <v>-748</v>
      </c>
      <c r="BV38" s="87">
        <f t="shared" si="61"/>
        <v>-1653</v>
      </c>
      <c r="BW38" s="87">
        <f t="shared" si="61"/>
        <v>-788</v>
      </c>
      <c r="BX38" s="87">
        <f t="shared" si="61"/>
        <v>-172</v>
      </c>
      <c r="BY38" s="87">
        <f t="shared" si="61"/>
        <v>203</v>
      </c>
      <c r="BZ38" s="87">
        <f t="shared" si="61"/>
        <v>-252</v>
      </c>
      <c r="CA38" s="267">
        <f t="shared" si="61"/>
        <v>88</v>
      </c>
      <c r="CB38" s="267">
        <f t="shared" si="61"/>
        <v>1130</v>
      </c>
      <c r="CC38" s="267">
        <f t="shared" ref="CC38:CL40" si="62">AI38-W38</f>
        <v>543</v>
      </c>
      <c r="CD38" s="333">
        <f t="shared" si="62"/>
        <v>936</v>
      </c>
      <c r="CE38" s="316">
        <f t="shared" si="62"/>
        <v>1693</v>
      </c>
      <c r="CF38" s="316">
        <f t="shared" si="62"/>
        <v>826</v>
      </c>
      <c r="CG38" s="316">
        <f t="shared" si="62"/>
        <v>940</v>
      </c>
      <c r="CH38" s="316">
        <f t="shared" si="62"/>
        <v>631</v>
      </c>
      <c r="CI38" s="316">
        <f t="shared" si="62"/>
        <v>318</v>
      </c>
      <c r="CJ38" s="316">
        <f t="shared" si="62"/>
        <v>252</v>
      </c>
      <c r="CK38" s="316">
        <f t="shared" si="62"/>
        <v>176</v>
      </c>
      <c r="CL38" s="316">
        <f t="shared" si="62"/>
        <v>447</v>
      </c>
      <c r="CM38" s="316">
        <f t="shared" ref="CM38:CS40" si="63">AS38-AG38</f>
        <v>529</v>
      </c>
      <c r="CN38" s="316">
        <f t="shared" si="63"/>
        <v>-1124</v>
      </c>
      <c r="CO38" s="316">
        <f t="shared" si="63"/>
        <v>-768</v>
      </c>
      <c r="CP38" s="316">
        <f t="shared" si="63"/>
        <v>-956</v>
      </c>
      <c r="CQ38" s="316">
        <f t="shared" si="63"/>
        <v>-1843</v>
      </c>
      <c r="CR38" s="316">
        <f t="shared" si="63"/>
        <v>-1173</v>
      </c>
      <c r="CS38" s="316">
        <f t="shared" si="63"/>
        <v>-589</v>
      </c>
      <c r="CT38" s="348"/>
      <c r="CU38" s="67">
        <f>'MONTHLY SUMMARIES'!H26</f>
        <v>3217</v>
      </c>
    </row>
    <row r="39" spans="1:99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/>
      <c r="BA39" s="293"/>
      <c r="BB39" s="293"/>
      <c r="BC39" s="293"/>
      <c r="BD39" s="293"/>
      <c r="BE39" s="293"/>
      <c r="BF39" s="293"/>
      <c r="BG39" s="293"/>
      <c r="BH39" s="293"/>
      <c r="BI39" s="86">
        <f t="shared" si="60"/>
        <v>7</v>
      </c>
      <c r="BJ39" s="87">
        <f t="shared" si="60"/>
        <v>384</v>
      </c>
      <c r="BK39" s="87">
        <f t="shared" si="60"/>
        <v>118</v>
      </c>
      <c r="BL39" s="87">
        <f t="shared" si="60"/>
        <v>245</v>
      </c>
      <c r="BM39" s="87">
        <f t="shared" si="60"/>
        <v>-14</v>
      </c>
      <c r="BN39" s="87">
        <f t="shared" si="60"/>
        <v>43</v>
      </c>
      <c r="BO39" s="87">
        <f t="shared" si="60"/>
        <v>-81</v>
      </c>
      <c r="BP39" s="87">
        <f t="shared" si="60"/>
        <v>100</v>
      </c>
      <c r="BQ39" s="87">
        <f t="shared" si="60"/>
        <v>140</v>
      </c>
      <c r="BR39" s="87">
        <f t="shared" si="60"/>
        <v>-26</v>
      </c>
      <c r="BS39" s="87">
        <f t="shared" si="61"/>
        <v>457</v>
      </c>
      <c r="BT39" s="87">
        <f t="shared" si="61"/>
        <v>209</v>
      </c>
      <c r="BU39" s="87">
        <f t="shared" si="61"/>
        <v>-101</v>
      </c>
      <c r="BV39" s="87">
        <f t="shared" si="61"/>
        <v>-733</v>
      </c>
      <c r="BW39" s="87">
        <f t="shared" si="61"/>
        <v>-305</v>
      </c>
      <c r="BX39" s="87">
        <f t="shared" si="61"/>
        <v>2</v>
      </c>
      <c r="BY39" s="87">
        <f t="shared" si="61"/>
        <v>158</v>
      </c>
      <c r="BZ39" s="87">
        <f t="shared" si="61"/>
        <v>-91</v>
      </c>
      <c r="CA39" s="267">
        <f t="shared" si="61"/>
        <v>3</v>
      </c>
      <c r="CB39" s="267">
        <f t="shared" si="61"/>
        <v>564</v>
      </c>
      <c r="CC39" s="267">
        <f t="shared" si="62"/>
        <v>370</v>
      </c>
      <c r="CD39" s="333">
        <f t="shared" si="62"/>
        <v>490</v>
      </c>
      <c r="CE39" s="316">
        <f t="shared" si="62"/>
        <v>946</v>
      </c>
      <c r="CF39" s="316">
        <f t="shared" si="62"/>
        <v>507</v>
      </c>
      <c r="CG39" s="316">
        <f t="shared" si="62"/>
        <v>519</v>
      </c>
      <c r="CH39" s="316">
        <f t="shared" si="62"/>
        <v>389</v>
      </c>
      <c r="CI39" s="316">
        <f t="shared" si="62"/>
        <v>286</v>
      </c>
      <c r="CJ39" s="316">
        <f t="shared" si="62"/>
        <v>191</v>
      </c>
      <c r="CK39" s="316">
        <f t="shared" si="62"/>
        <v>88</v>
      </c>
      <c r="CL39" s="316">
        <f t="shared" si="62"/>
        <v>273</v>
      </c>
      <c r="CM39" s="316">
        <f t="shared" si="63"/>
        <v>355</v>
      </c>
      <c r="CN39" s="316">
        <f t="shared" si="63"/>
        <v>-536</v>
      </c>
      <c r="CO39" s="316">
        <f t="shared" si="63"/>
        <v>-278</v>
      </c>
      <c r="CP39" s="316">
        <f t="shared" si="63"/>
        <v>-326</v>
      </c>
      <c r="CQ39" s="316">
        <f t="shared" si="63"/>
        <v>-990</v>
      </c>
      <c r="CR39" s="316">
        <f t="shared" si="63"/>
        <v>-514</v>
      </c>
      <c r="CS39" s="316">
        <f t="shared" si="63"/>
        <v>-368</v>
      </c>
      <c r="CT39" s="348"/>
      <c r="CU39" s="67">
        <f>'MONTHLY SUMMARIES'!H27</f>
        <v>1259</v>
      </c>
    </row>
    <row r="40" spans="1:99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/>
      <c r="BA40" s="293"/>
      <c r="BB40" s="293"/>
      <c r="BC40" s="293"/>
      <c r="BD40" s="293"/>
      <c r="BE40" s="293"/>
      <c r="BF40" s="293"/>
      <c r="BG40" s="293"/>
      <c r="BH40" s="293"/>
      <c r="BI40" s="86">
        <f t="shared" si="60"/>
        <v>-103</v>
      </c>
      <c r="BJ40" s="87">
        <f t="shared" si="60"/>
        <v>396</v>
      </c>
      <c r="BK40" s="87">
        <f t="shared" si="60"/>
        <v>241</v>
      </c>
      <c r="BL40" s="87">
        <f t="shared" si="60"/>
        <v>266</v>
      </c>
      <c r="BM40" s="87">
        <f t="shared" si="60"/>
        <v>-44</v>
      </c>
      <c r="BN40" s="87">
        <f t="shared" si="60"/>
        <v>238</v>
      </c>
      <c r="BO40" s="87">
        <f t="shared" si="60"/>
        <v>71</v>
      </c>
      <c r="BP40" s="87">
        <f t="shared" si="60"/>
        <v>92</v>
      </c>
      <c r="BQ40" s="87">
        <f t="shared" si="60"/>
        <v>131</v>
      </c>
      <c r="BR40" s="87">
        <f t="shared" si="60"/>
        <v>15</v>
      </c>
      <c r="BS40" s="87">
        <f t="shared" si="61"/>
        <v>432</v>
      </c>
      <c r="BT40" s="87">
        <f t="shared" si="61"/>
        <v>57</v>
      </c>
      <c r="BU40" s="87">
        <f t="shared" si="61"/>
        <v>-42</v>
      </c>
      <c r="BV40" s="87">
        <f t="shared" si="61"/>
        <v>-624</v>
      </c>
      <c r="BW40" s="87">
        <f t="shared" si="61"/>
        <v>-368</v>
      </c>
      <c r="BX40" s="87">
        <f t="shared" si="61"/>
        <v>41</v>
      </c>
      <c r="BY40" s="87">
        <f t="shared" si="61"/>
        <v>245</v>
      </c>
      <c r="BZ40" s="87">
        <f t="shared" si="61"/>
        <v>-194</v>
      </c>
      <c r="CA40" s="267">
        <f t="shared" si="61"/>
        <v>-139</v>
      </c>
      <c r="CB40" s="267">
        <f t="shared" si="61"/>
        <v>559</v>
      </c>
      <c r="CC40" s="267">
        <f t="shared" si="62"/>
        <v>460</v>
      </c>
      <c r="CD40" s="333">
        <f t="shared" si="62"/>
        <v>655</v>
      </c>
      <c r="CE40" s="316">
        <f t="shared" si="62"/>
        <v>852</v>
      </c>
      <c r="CF40" s="316">
        <f t="shared" si="62"/>
        <v>471</v>
      </c>
      <c r="CG40" s="316">
        <f t="shared" si="62"/>
        <v>383</v>
      </c>
      <c r="CH40" s="316">
        <f t="shared" si="62"/>
        <v>490</v>
      </c>
      <c r="CI40" s="316">
        <f t="shared" si="62"/>
        <v>308</v>
      </c>
      <c r="CJ40" s="316">
        <f t="shared" si="62"/>
        <v>168</v>
      </c>
      <c r="CK40" s="316">
        <f t="shared" si="62"/>
        <v>-9</v>
      </c>
      <c r="CL40" s="316">
        <f t="shared" si="62"/>
        <v>317</v>
      </c>
      <c r="CM40" s="316">
        <f t="shared" si="63"/>
        <v>357</v>
      </c>
      <c r="CN40" s="316">
        <f t="shared" si="63"/>
        <v>-515</v>
      </c>
      <c r="CO40" s="316">
        <f t="shared" si="63"/>
        <v>-318</v>
      </c>
      <c r="CP40" s="316">
        <f t="shared" si="63"/>
        <v>-451</v>
      </c>
      <c r="CQ40" s="316">
        <f t="shared" si="63"/>
        <v>-865</v>
      </c>
      <c r="CR40" s="316">
        <f t="shared" si="63"/>
        <v>-432</v>
      </c>
      <c r="CS40" s="316">
        <f t="shared" si="63"/>
        <v>-147</v>
      </c>
      <c r="CT40" s="348"/>
      <c r="CU40" s="67">
        <f>'MONTHLY SUMMARIES'!H28</f>
        <v>1280</v>
      </c>
    </row>
    <row r="41" spans="1:99" s="76" customFormat="1" x14ac:dyDescent="0.3">
      <c r="A41" s="152"/>
      <c r="B41" s="63" t="s">
        <v>42</v>
      </c>
      <c r="C41" s="140">
        <f t="shared" ref="C41:V41" si="64">SUM(C32:C40)</f>
        <v>55242</v>
      </c>
      <c r="D41" s="141">
        <f t="shared" si="64"/>
        <v>55868</v>
      </c>
      <c r="E41" s="141">
        <f t="shared" si="64"/>
        <v>51653</v>
      </c>
      <c r="F41" s="141">
        <f t="shared" si="64"/>
        <v>41009</v>
      </c>
      <c r="G41" s="141">
        <f t="shared" si="64"/>
        <v>47451</v>
      </c>
      <c r="H41" s="141">
        <f t="shared" si="64"/>
        <v>40626</v>
      </c>
      <c r="I41" s="141">
        <f t="shared" si="64"/>
        <v>43831</v>
      </c>
      <c r="J41" s="141">
        <f t="shared" si="64"/>
        <v>41090</v>
      </c>
      <c r="K41" s="141">
        <f t="shared" si="64"/>
        <v>49497</v>
      </c>
      <c r="L41" s="142">
        <f t="shared" si="64"/>
        <v>50953</v>
      </c>
      <c r="M41" s="141">
        <f t="shared" si="64"/>
        <v>51336</v>
      </c>
      <c r="N41" s="141">
        <f t="shared" si="64"/>
        <v>54057</v>
      </c>
      <c r="O41" s="141">
        <f t="shared" si="64"/>
        <v>58078</v>
      </c>
      <c r="P41" s="141">
        <f t="shared" si="64"/>
        <v>51301</v>
      </c>
      <c r="Q41" s="141">
        <f t="shared" si="64"/>
        <v>41766</v>
      </c>
      <c r="R41" s="141">
        <f t="shared" si="64"/>
        <v>43436</v>
      </c>
      <c r="S41" s="141">
        <f t="shared" si="64"/>
        <v>37731</v>
      </c>
      <c r="T41" s="141">
        <f t="shared" si="64"/>
        <v>39458</v>
      </c>
      <c r="U41" s="141">
        <f t="shared" si="64"/>
        <v>37918</v>
      </c>
      <c r="V41" s="141">
        <f t="shared" si="64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/>
      <c r="BA41" s="294"/>
      <c r="BB41" s="294"/>
      <c r="BC41" s="294"/>
      <c r="BD41" s="294"/>
      <c r="BE41" s="294"/>
      <c r="BF41" s="294"/>
      <c r="BG41" s="294"/>
      <c r="BH41" s="294"/>
      <c r="BI41" s="88">
        <f>SUM(BI32:BI40)</f>
        <v>2836</v>
      </c>
      <c r="BJ41" s="143">
        <f t="shared" ref="BJ41:BK41" si="65">SUM(BJ32:BJ40)</f>
        <v>-4567</v>
      </c>
      <c r="BK41" s="143">
        <f t="shared" si="65"/>
        <v>-9887</v>
      </c>
      <c r="BL41" s="143">
        <f t="shared" ref="BL41:BM41" si="66">SUM(BL32:BL40)</f>
        <v>2427</v>
      </c>
      <c r="BM41" s="143">
        <f t="shared" si="66"/>
        <v>-9720</v>
      </c>
      <c r="BN41" s="143">
        <f t="shared" ref="BN41:BO41" si="67">SUM(BN32:BN40)</f>
        <v>-1168</v>
      </c>
      <c r="BO41" s="143">
        <f t="shared" si="67"/>
        <v>-5913</v>
      </c>
      <c r="BP41" s="143">
        <f t="shared" ref="BP41:BQ41" si="68">SUM(BP32:BP40)</f>
        <v>1049</v>
      </c>
      <c r="BQ41" s="143">
        <f t="shared" si="68"/>
        <v>-3662</v>
      </c>
      <c r="BR41" s="143">
        <f t="shared" ref="BR41:BS41" si="69">SUM(BR32:BR40)</f>
        <v>-6163</v>
      </c>
      <c r="BS41" s="143">
        <f t="shared" si="69"/>
        <v>-3987</v>
      </c>
      <c r="BT41" s="143">
        <f t="shared" ref="BT41:BU41" si="70">SUM(BT32:BT40)</f>
        <v>-3437</v>
      </c>
      <c r="BU41" s="143">
        <f t="shared" si="70"/>
        <v>-9657</v>
      </c>
      <c r="BV41" s="143">
        <f t="shared" ref="BV41:BW41" si="71">SUM(BV32:BV40)</f>
        <v>-4266</v>
      </c>
      <c r="BW41" s="143">
        <f t="shared" si="71"/>
        <v>2040</v>
      </c>
      <c r="BX41" s="143">
        <f t="shared" ref="BX41:BY41" si="72">SUM(BX32:BX40)</f>
        <v>341</v>
      </c>
      <c r="BY41" s="143">
        <f t="shared" si="72"/>
        <v>5485</v>
      </c>
      <c r="BZ41" s="143">
        <f t="shared" ref="BZ41:CA41" si="73">SUM(BZ32:BZ40)</f>
        <v>1753</v>
      </c>
      <c r="CA41" s="268">
        <f t="shared" si="73"/>
        <v>4317</v>
      </c>
      <c r="CB41" s="268">
        <f t="shared" ref="CB41:CC41" si="74">SUM(CB32:CB40)</f>
        <v>8761</v>
      </c>
      <c r="CC41" s="268">
        <f t="shared" si="74"/>
        <v>6043</v>
      </c>
      <c r="CD41" s="334">
        <f t="shared" ref="CD41:CE41" si="75">SUM(CD32:CD40)</f>
        <v>3926</v>
      </c>
      <c r="CE41" s="317">
        <f t="shared" si="75"/>
        <v>15192</v>
      </c>
      <c r="CF41" s="317">
        <f t="shared" ref="CF41:CG41" si="76">SUM(CF32:CF40)</f>
        <v>4784</v>
      </c>
      <c r="CG41" s="317">
        <f t="shared" si="76"/>
        <v>5003</v>
      </c>
      <c r="CH41" s="317">
        <f t="shared" ref="CH41:CI41" si="77">SUM(CH32:CH40)</f>
        <v>4035</v>
      </c>
      <c r="CI41" s="317">
        <f t="shared" si="77"/>
        <v>949</v>
      </c>
      <c r="CJ41" s="317">
        <f t="shared" ref="CJ41" si="78">SUM(CJ32:CJ40)</f>
        <v>975</v>
      </c>
      <c r="CK41" s="317">
        <f t="shared" ref="CK41" si="79">SUM(CK32:CK40)</f>
        <v>2038</v>
      </c>
      <c r="CL41" s="317">
        <f t="shared" ref="CL41" si="80">SUM(CL32:CL40)</f>
        <v>741</v>
      </c>
      <c r="CM41" s="317">
        <f t="shared" ref="CM41" si="81">SUM(CM32:CM40)</f>
        <v>2680</v>
      </c>
      <c r="CN41" s="317">
        <f t="shared" ref="CN41" si="82">SUM(CN32:CN40)</f>
        <v>-6263</v>
      </c>
      <c r="CO41" s="317">
        <f t="shared" ref="CO41" si="83">SUM(CO32:CO40)</f>
        <v>-4757</v>
      </c>
      <c r="CP41" s="317">
        <f t="shared" ref="CP41" si="84">SUM(CP32:CP40)</f>
        <v>-984</v>
      </c>
      <c r="CQ41" s="317">
        <f t="shared" ref="CQ41:CS41" si="85">SUM(CQ32:CQ40)</f>
        <v>-8006</v>
      </c>
      <c r="CR41" s="317">
        <f t="shared" ref="CR41:CS41" si="86">SUM(CR32:CR40)</f>
        <v>-1466</v>
      </c>
      <c r="CS41" s="317">
        <f t="shared" si="86"/>
        <v>-52</v>
      </c>
      <c r="CT41" s="349"/>
      <c r="CU41" s="262">
        <f>CU32+CU35+CU38+CU39+CU40</f>
        <v>53372</v>
      </c>
    </row>
    <row r="42" spans="1:9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48"/>
      <c r="CU42" s="93"/>
    </row>
    <row r="43" spans="1:99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/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S43" si="87">O43-C43</f>
        <v>1247</v>
      </c>
      <c r="BJ43" s="87">
        <f t="shared" si="87"/>
        <v>1492</v>
      </c>
      <c r="BK43" s="87">
        <f t="shared" si="87"/>
        <v>-3004</v>
      </c>
      <c r="BL43" s="87">
        <f t="shared" si="87"/>
        <v>-3609</v>
      </c>
      <c r="BM43" s="87">
        <f t="shared" si="87"/>
        <v>-653</v>
      </c>
      <c r="BN43" s="87">
        <f t="shared" si="87"/>
        <v>-5720</v>
      </c>
      <c r="BO43" s="87">
        <f t="shared" si="87"/>
        <v>-1542</v>
      </c>
      <c r="BP43" s="87">
        <f t="shared" si="87"/>
        <v>-863</v>
      </c>
      <c r="BQ43" s="87">
        <f t="shared" si="87"/>
        <v>-447</v>
      </c>
      <c r="BR43" s="87">
        <f t="shared" si="87"/>
        <v>-3201</v>
      </c>
      <c r="BS43" s="87">
        <f t="shared" si="87"/>
        <v>-3381</v>
      </c>
      <c r="BT43" s="87">
        <f t="shared" si="87"/>
        <v>-6819</v>
      </c>
      <c r="BU43" s="87">
        <f t="shared" si="87"/>
        <v>-5466</v>
      </c>
      <c r="BV43" s="87">
        <f t="shared" si="87"/>
        <v>-4740</v>
      </c>
      <c r="BW43" s="87">
        <f t="shared" si="87"/>
        <v>-3578</v>
      </c>
      <c r="BX43" s="87">
        <f t="shared" si="87"/>
        <v>-935</v>
      </c>
      <c r="BY43" s="87">
        <f t="shared" si="87"/>
        <v>-1602</v>
      </c>
      <c r="BZ43" s="87">
        <f t="shared" si="87"/>
        <v>893</v>
      </c>
      <c r="CA43" s="267">
        <f t="shared" si="87"/>
        <v>1810</v>
      </c>
      <c r="CB43" s="267">
        <f t="shared" si="87"/>
        <v>3192</v>
      </c>
      <c r="CC43" s="267">
        <f t="shared" si="87"/>
        <v>2695</v>
      </c>
      <c r="CD43" s="333">
        <f t="shared" si="87"/>
        <v>515</v>
      </c>
      <c r="CE43" s="316">
        <f t="shared" si="87"/>
        <v>1270</v>
      </c>
      <c r="CF43" s="316">
        <f t="shared" si="87"/>
        <v>3417</v>
      </c>
      <c r="CG43" s="316">
        <f t="shared" si="87"/>
        <v>1841</v>
      </c>
      <c r="CH43" s="316">
        <f t="shared" si="87"/>
        <v>593</v>
      </c>
      <c r="CI43" s="316">
        <f t="shared" si="87"/>
        <v>2287</v>
      </c>
      <c r="CJ43" s="316">
        <f t="shared" si="87"/>
        <v>2051</v>
      </c>
      <c r="CK43" s="316">
        <f t="shared" si="87"/>
        <v>558</v>
      </c>
      <c r="CL43" s="316">
        <f t="shared" si="87"/>
        <v>725</v>
      </c>
      <c r="CM43" s="316">
        <f t="shared" si="87"/>
        <v>-411</v>
      </c>
      <c r="CN43" s="316">
        <f t="shared" si="87"/>
        <v>-2424</v>
      </c>
      <c r="CO43" s="316">
        <f t="shared" si="87"/>
        <v>-3326</v>
      </c>
      <c r="CP43" s="316">
        <f t="shared" si="87"/>
        <v>1692</v>
      </c>
      <c r="CQ43" s="316">
        <f t="shared" si="87"/>
        <v>312</v>
      </c>
      <c r="CR43" s="316">
        <f t="shared" si="87"/>
        <v>488</v>
      </c>
      <c r="CS43" s="316">
        <f t="shared" si="87"/>
        <v>806</v>
      </c>
      <c r="CT43" s="348"/>
      <c r="CU43" s="67">
        <f>'MONTHLY SUMMARIES'!H31</f>
        <v>17403</v>
      </c>
    </row>
    <row r="44" spans="1:99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/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48"/>
      <c r="CU44" s="81">
        <f>CU43-CU45</f>
        <v>17115</v>
      </c>
    </row>
    <row r="45" spans="1:99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/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48"/>
      <c r="CU45" s="67">
        <f>GETPIVOTDATA("VALUE",'CRS ESCO pvt'!$I$2,"DATE_FILE",$CU$8,"COMPANY",$CU$6,"TRIM_CAT","Resdiential-ESCO","TRIM_LINE",A42)</f>
        <v>288</v>
      </c>
    </row>
    <row r="46" spans="1:99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/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S46" si="88">O46-C46</f>
        <v>-183</v>
      </c>
      <c r="BJ46" s="87">
        <f t="shared" si="88"/>
        <v>-355</v>
      </c>
      <c r="BK46" s="87">
        <f t="shared" si="88"/>
        <v>-957</v>
      </c>
      <c r="BL46" s="87">
        <f t="shared" si="88"/>
        <v>-1271</v>
      </c>
      <c r="BM46" s="87">
        <f t="shared" si="88"/>
        <v>-185</v>
      </c>
      <c r="BN46" s="87">
        <f t="shared" si="88"/>
        <v>-723</v>
      </c>
      <c r="BO46" s="87">
        <f t="shared" si="88"/>
        <v>-108</v>
      </c>
      <c r="BP46" s="87">
        <f t="shared" si="88"/>
        <v>-142</v>
      </c>
      <c r="BQ46" s="87">
        <f t="shared" si="88"/>
        <v>-56</v>
      </c>
      <c r="BR46" s="87">
        <f t="shared" si="88"/>
        <v>-275</v>
      </c>
      <c r="BS46" s="87">
        <f t="shared" si="88"/>
        <v>-410</v>
      </c>
      <c r="BT46" s="87">
        <f t="shared" si="88"/>
        <v>-705</v>
      </c>
      <c r="BU46" s="87">
        <f t="shared" si="88"/>
        <v>134</v>
      </c>
      <c r="BV46" s="87">
        <f t="shared" si="88"/>
        <v>409</v>
      </c>
      <c r="BW46" s="87">
        <f t="shared" si="88"/>
        <v>195</v>
      </c>
      <c r="BX46" s="87">
        <f t="shared" si="88"/>
        <v>827</v>
      </c>
      <c r="BY46" s="87">
        <f t="shared" si="88"/>
        <v>300</v>
      </c>
      <c r="BZ46" s="87">
        <f t="shared" si="88"/>
        <v>474</v>
      </c>
      <c r="CA46" s="267">
        <f t="shared" si="88"/>
        <v>528</v>
      </c>
      <c r="CB46" s="267">
        <f t="shared" si="88"/>
        <v>687</v>
      </c>
      <c r="CC46" s="267">
        <f t="shared" si="88"/>
        <v>500</v>
      </c>
      <c r="CD46" s="333">
        <f t="shared" si="88"/>
        <v>-248</v>
      </c>
      <c r="CE46" s="316">
        <f t="shared" si="88"/>
        <v>280</v>
      </c>
      <c r="CF46" s="316">
        <f t="shared" si="88"/>
        <v>1133</v>
      </c>
      <c r="CG46" s="316">
        <f t="shared" si="88"/>
        <v>742</v>
      </c>
      <c r="CH46" s="316">
        <f t="shared" si="88"/>
        <v>474</v>
      </c>
      <c r="CI46" s="316">
        <f t="shared" si="88"/>
        <v>638</v>
      </c>
      <c r="CJ46" s="316">
        <f t="shared" si="88"/>
        <v>414</v>
      </c>
      <c r="CK46" s="316">
        <f t="shared" si="88"/>
        <v>-678</v>
      </c>
      <c r="CL46" s="316">
        <f t="shared" si="88"/>
        <v>141</v>
      </c>
      <c r="CM46" s="316">
        <f t="shared" si="88"/>
        <v>-18</v>
      </c>
      <c r="CN46" s="316">
        <f t="shared" si="88"/>
        <v>-137</v>
      </c>
      <c r="CO46" s="316">
        <f t="shared" si="88"/>
        <v>-236</v>
      </c>
      <c r="CP46" s="316">
        <f t="shared" si="88"/>
        <v>1040</v>
      </c>
      <c r="CQ46" s="316">
        <f t="shared" si="88"/>
        <v>847</v>
      </c>
      <c r="CR46" s="316">
        <f t="shared" si="88"/>
        <v>823</v>
      </c>
      <c r="CS46" s="316">
        <f t="shared" si="88"/>
        <v>518</v>
      </c>
      <c r="CT46" s="348"/>
      <c r="CU46" s="67">
        <f>'MONTHLY SUMMARIES'!H32</f>
        <v>4027</v>
      </c>
    </row>
    <row r="47" spans="1:99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/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48"/>
      <c r="CU47" s="81">
        <f>CU46-CU48</f>
        <v>3940</v>
      </c>
    </row>
    <row r="48" spans="1:99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/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48"/>
      <c r="CU48" s="67">
        <f>GETPIVOTDATA("VALUE",'CRS ESCO pvt'!$I$2,"DATE_FILE",$CU$8,"COMPANY",$CU$6,"TRIM_CAT","Low Income Resdiential-ESCO","TRIM_LINE",A42)</f>
        <v>87</v>
      </c>
    </row>
    <row r="49" spans="1:99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/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89">O49-C49</f>
        <v>73</v>
      </c>
      <c r="BJ49" s="87">
        <f t="shared" si="89"/>
        <v>276</v>
      </c>
      <c r="BK49" s="87">
        <f t="shared" si="89"/>
        <v>203</v>
      </c>
      <c r="BL49" s="87">
        <f t="shared" si="89"/>
        <v>-23</v>
      </c>
      <c r="BM49" s="87">
        <f t="shared" si="89"/>
        <v>8</v>
      </c>
      <c r="BN49" s="87">
        <f t="shared" si="89"/>
        <v>-244</v>
      </c>
      <c r="BO49" s="87">
        <f t="shared" si="89"/>
        <v>23</v>
      </c>
      <c r="BP49" s="87">
        <f t="shared" si="89"/>
        <v>29</v>
      </c>
      <c r="BQ49" s="87">
        <f t="shared" si="89"/>
        <v>44</v>
      </c>
      <c r="BR49" s="87">
        <f t="shared" si="89"/>
        <v>-204</v>
      </c>
      <c r="BS49" s="87">
        <f t="shared" ref="BS49:CB51" si="90">Y49-M49</f>
        <v>-169</v>
      </c>
      <c r="BT49" s="87">
        <f t="shared" si="90"/>
        <v>-398</v>
      </c>
      <c r="BU49" s="87">
        <f t="shared" si="90"/>
        <v>-411</v>
      </c>
      <c r="BV49" s="87">
        <f t="shared" si="90"/>
        <v>-772</v>
      </c>
      <c r="BW49" s="87">
        <f t="shared" si="90"/>
        <v>-772</v>
      </c>
      <c r="BX49" s="87">
        <f t="shared" si="90"/>
        <v>-138</v>
      </c>
      <c r="BY49" s="87">
        <f t="shared" si="90"/>
        <v>-75</v>
      </c>
      <c r="BZ49" s="87">
        <f t="shared" si="90"/>
        <v>-16</v>
      </c>
      <c r="CA49" s="267">
        <f t="shared" si="90"/>
        <v>16</v>
      </c>
      <c r="CB49" s="267">
        <f t="shared" si="90"/>
        <v>167</v>
      </c>
      <c r="CC49" s="267">
        <f t="shared" ref="CC49:CL51" si="91">AI49-W49</f>
        <v>366</v>
      </c>
      <c r="CD49" s="333">
        <f t="shared" si="91"/>
        <v>100</v>
      </c>
      <c r="CE49" s="316">
        <f t="shared" si="91"/>
        <v>641</v>
      </c>
      <c r="CF49" s="316">
        <f t="shared" si="91"/>
        <v>520</v>
      </c>
      <c r="CG49" s="316">
        <f t="shared" si="91"/>
        <v>563</v>
      </c>
      <c r="CH49" s="316">
        <f t="shared" si="91"/>
        <v>329</v>
      </c>
      <c r="CI49" s="316">
        <f t="shared" si="91"/>
        <v>323</v>
      </c>
      <c r="CJ49" s="316">
        <f t="shared" si="91"/>
        <v>396</v>
      </c>
      <c r="CK49" s="316">
        <f t="shared" si="91"/>
        <v>279</v>
      </c>
      <c r="CL49" s="316">
        <f t="shared" si="91"/>
        <v>138</v>
      </c>
      <c r="CM49" s="316">
        <f t="shared" ref="CM49:CS51" si="92">AS49-AG49</f>
        <v>266</v>
      </c>
      <c r="CN49" s="316">
        <f t="shared" si="92"/>
        <v>4</v>
      </c>
      <c r="CO49" s="316">
        <f t="shared" si="92"/>
        <v>-412</v>
      </c>
      <c r="CP49" s="316">
        <f t="shared" si="92"/>
        <v>172</v>
      </c>
      <c r="CQ49" s="316">
        <f t="shared" si="92"/>
        <v>-497</v>
      </c>
      <c r="CR49" s="316">
        <f t="shared" si="92"/>
        <v>-176</v>
      </c>
      <c r="CS49" s="316">
        <f t="shared" si="92"/>
        <v>-344</v>
      </c>
      <c r="CT49" s="348"/>
      <c r="CU49" s="67">
        <f>'MONTHLY SUMMARIES'!H33</f>
        <v>1189</v>
      </c>
    </row>
    <row r="50" spans="1:99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/>
      <c r="BA50" s="293"/>
      <c r="BB50" s="293"/>
      <c r="BC50" s="293"/>
      <c r="BD50" s="293"/>
      <c r="BE50" s="293"/>
      <c r="BF50" s="293"/>
      <c r="BG50" s="293"/>
      <c r="BH50" s="293"/>
      <c r="BI50" s="86">
        <f t="shared" si="89"/>
        <v>29</v>
      </c>
      <c r="BJ50" s="87">
        <f t="shared" si="89"/>
        <v>143</v>
      </c>
      <c r="BK50" s="87">
        <f t="shared" si="89"/>
        <v>255</v>
      </c>
      <c r="BL50" s="87">
        <f t="shared" si="89"/>
        <v>67</v>
      </c>
      <c r="BM50" s="87">
        <f t="shared" si="89"/>
        <v>-21</v>
      </c>
      <c r="BN50" s="87">
        <f t="shared" si="89"/>
        <v>-96</v>
      </c>
      <c r="BO50" s="87">
        <f t="shared" si="89"/>
        <v>16</v>
      </c>
      <c r="BP50" s="87">
        <f t="shared" si="89"/>
        <v>49</v>
      </c>
      <c r="BQ50" s="87">
        <f t="shared" si="89"/>
        <v>-27</v>
      </c>
      <c r="BR50" s="87">
        <f t="shared" si="89"/>
        <v>-47</v>
      </c>
      <c r="BS50" s="87">
        <f t="shared" si="90"/>
        <v>50</v>
      </c>
      <c r="BT50" s="87">
        <f t="shared" si="90"/>
        <v>-11</v>
      </c>
      <c r="BU50" s="87">
        <f t="shared" si="90"/>
        <v>-114</v>
      </c>
      <c r="BV50" s="87">
        <f t="shared" si="90"/>
        <v>-174</v>
      </c>
      <c r="BW50" s="87">
        <f t="shared" si="90"/>
        <v>-356</v>
      </c>
      <c r="BX50" s="87">
        <f t="shared" si="90"/>
        <v>-141</v>
      </c>
      <c r="BY50" s="87">
        <f t="shared" si="90"/>
        <v>-11</v>
      </c>
      <c r="BZ50" s="87">
        <f t="shared" si="90"/>
        <v>-11</v>
      </c>
      <c r="CA50" s="267">
        <f t="shared" si="90"/>
        <v>-75</v>
      </c>
      <c r="CB50" s="267">
        <f t="shared" si="90"/>
        <v>35</v>
      </c>
      <c r="CC50" s="267">
        <f t="shared" si="91"/>
        <v>212</v>
      </c>
      <c r="CD50" s="333">
        <f t="shared" si="91"/>
        <v>105</v>
      </c>
      <c r="CE50" s="316">
        <f t="shared" si="91"/>
        <v>280</v>
      </c>
      <c r="CF50" s="316">
        <f t="shared" si="91"/>
        <v>320</v>
      </c>
      <c r="CG50" s="316">
        <f t="shared" si="91"/>
        <v>295</v>
      </c>
      <c r="CH50" s="316">
        <f t="shared" si="91"/>
        <v>109</v>
      </c>
      <c r="CI50" s="316">
        <f t="shared" si="91"/>
        <v>193</v>
      </c>
      <c r="CJ50" s="316">
        <f t="shared" si="91"/>
        <v>212</v>
      </c>
      <c r="CK50" s="316">
        <f t="shared" si="91"/>
        <v>97</v>
      </c>
      <c r="CL50" s="316">
        <f t="shared" si="91"/>
        <v>101</v>
      </c>
      <c r="CM50" s="316">
        <f t="shared" si="92"/>
        <v>211</v>
      </c>
      <c r="CN50" s="316">
        <f t="shared" si="92"/>
        <v>65</v>
      </c>
      <c r="CO50" s="316">
        <f t="shared" si="92"/>
        <v>-149</v>
      </c>
      <c r="CP50" s="316">
        <f t="shared" si="92"/>
        <v>26</v>
      </c>
      <c r="CQ50" s="316">
        <f t="shared" si="92"/>
        <v>-246</v>
      </c>
      <c r="CR50" s="316">
        <f t="shared" si="92"/>
        <v>-264</v>
      </c>
      <c r="CS50" s="316">
        <f t="shared" si="92"/>
        <v>-158</v>
      </c>
      <c r="CT50" s="348"/>
      <c r="CU50" s="67">
        <f>'MONTHLY SUMMARIES'!H34</f>
        <v>449</v>
      </c>
    </row>
    <row r="51" spans="1:99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/>
      <c r="BA51" s="293"/>
      <c r="BB51" s="293"/>
      <c r="BC51" s="293"/>
      <c r="BD51" s="293"/>
      <c r="BE51" s="293"/>
      <c r="BF51" s="293"/>
      <c r="BG51" s="293"/>
      <c r="BH51" s="293"/>
      <c r="BI51" s="86">
        <f t="shared" si="89"/>
        <v>10</v>
      </c>
      <c r="BJ51" s="87">
        <f t="shared" si="89"/>
        <v>126</v>
      </c>
      <c r="BK51" s="87">
        <f t="shared" si="89"/>
        <v>191</v>
      </c>
      <c r="BL51" s="87">
        <f t="shared" si="89"/>
        <v>156</v>
      </c>
      <c r="BM51" s="87">
        <f t="shared" si="89"/>
        <v>78</v>
      </c>
      <c r="BN51" s="87">
        <f t="shared" si="89"/>
        <v>9</v>
      </c>
      <c r="BO51" s="87">
        <f t="shared" si="89"/>
        <v>154</v>
      </c>
      <c r="BP51" s="87">
        <f t="shared" si="89"/>
        <v>163</v>
      </c>
      <c r="BQ51" s="87">
        <f t="shared" si="89"/>
        <v>58</v>
      </c>
      <c r="BR51" s="87">
        <f t="shared" si="89"/>
        <v>-9</v>
      </c>
      <c r="BS51" s="87">
        <f t="shared" si="90"/>
        <v>80</v>
      </c>
      <c r="BT51" s="87">
        <f t="shared" si="90"/>
        <v>72</v>
      </c>
      <c r="BU51" s="87">
        <f t="shared" si="90"/>
        <v>-60</v>
      </c>
      <c r="BV51" s="87">
        <f t="shared" si="90"/>
        <v>-76</v>
      </c>
      <c r="BW51" s="87">
        <f t="shared" si="90"/>
        <v>-270</v>
      </c>
      <c r="BX51" s="87">
        <f t="shared" si="90"/>
        <v>-130</v>
      </c>
      <c r="BY51" s="87">
        <f t="shared" si="90"/>
        <v>28</v>
      </c>
      <c r="BZ51" s="87">
        <f t="shared" si="90"/>
        <v>107</v>
      </c>
      <c r="CA51" s="267">
        <f t="shared" si="90"/>
        <v>-134</v>
      </c>
      <c r="CB51" s="267">
        <f t="shared" si="90"/>
        <v>-69</v>
      </c>
      <c r="CC51" s="267">
        <f t="shared" si="91"/>
        <v>308</v>
      </c>
      <c r="CD51" s="333">
        <f t="shared" si="91"/>
        <v>170</v>
      </c>
      <c r="CE51" s="316">
        <f t="shared" si="91"/>
        <v>355</v>
      </c>
      <c r="CF51" s="316">
        <f t="shared" si="91"/>
        <v>490</v>
      </c>
      <c r="CG51" s="316">
        <f t="shared" si="91"/>
        <v>326</v>
      </c>
      <c r="CH51" s="316">
        <f t="shared" si="91"/>
        <v>99</v>
      </c>
      <c r="CI51" s="316">
        <f t="shared" si="91"/>
        <v>247</v>
      </c>
      <c r="CJ51" s="316">
        <f t="shared" si="91"/>
        <v>217</v>
      </c>
      <c r="CK51" s="316">
        <f t="shared" si="91"/>
        <v>108</v>
      </c>
      <c r="CL51" s="316">
        <f t="shared" si="91"/>
        <v>-17</v>
      </c>
      <c r="CM51" s="316">
        <f t="shared" si="92"/>
        <v>212</v>
      </c>
      <c r="CN51" s="316">
        <f t="shared" si="92"/>
        <v>122</v>
      </c>
      <c r="CO51" s="316">
        <f t="shared" si="92"/>
        <v>-161</v>
      </c>
      <c r="CP51" s="316">
        <f t="shared" si="92"/>
        <v>70</v>
      </c>
      <c r="CQ51" s="316">
        <f t="shared" si="92"/>
        <v>-210</v>
      </c>
      <c r="CR51" s="316">
        <f t="shared" si="92"/>
        <v>-495</v>
      </c>
      <c r="CS51" s="316">
        <f t="shared" si="92"/>
        <v>-196</v>
      </c>
      <c r="CT51" s="348"/>
      <c r="CU51" s="67">
        <f>'MONTHLY SUMMARIES'!H35</f>
        <v>382</v>
      </c>
    </row>
    <row r="52" spans="1:99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93">SUM(D43:D51)</f>
        <v>27778</v>
      </c>
      <c r="E52" s="141">
        <f t="shared" si="93"/>
        <v>29433</v>
      </c>
      <c r="F52" s="141">
        <f t="shared" si="93"/>
        <v>25379</v>
      </c>
      <c r="G52" s="141">
        <f t="shared" si="93"/>
        <v>21174</v>
      </c>
      <c r="H52" s="141">
        <f t="shared" si="93"/>
        <v>22792</v>
      </c>
      <c r="I52" s="141">
        <f t="shared" si="93"/>
        <v>17393</v>
      </c>
      <c r="J52" s="141">
        <f t="shared" si="93"/>
        <v>17734</v>
      </c>
      <c r="K52" s="141">
        <f t="shared" si="93"/>
        <v>18666</v>
      </c>
      <c r="L52" s="142">
        <f t="shared" si="93"/>
        <v>20612</v>
      </c>
      <c r="M52" s="141">
        <f t="shared" si="93"/>
        <v>19061</v>
      </c>
      <c r="N52" s="141">
        <f t="shared" si="93"/>
        <v>25376</v>
      </c>
      <c r="O52" s="141">
        <f t="shared" si="93"/>
        <v>24974</v>
      </c>
      <c r="P52" s="141">
        <f t="shared" si="93"/>
        <v>29460</v>
      </c>
      <c r="Q52" s="141">
        <f t="shared" si="93"/>
        <v>26121</v>
      </c>
      <c r="R52" s="141">
        <f t="shared" si="93"/>
        <v>20699</v>
      </c>
      <c r="S52" s="141">
        <f t="shared" si="93"/>
        <v>20401</v>
      </c>
      <c r="T52" s="141">
        <f t="shared" si="93"/>
        <v>16018</v>
      </c>
      <c r="U52" s="141">
        <f t="shared" si="93"/>
        <v>15936</v>
      </c>
      <c r="V52" s="141">
        <f t="shared" si="93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/>
      <c r="BA52" s="294"/>
      <c r="BB52" s="294"/>
      <c r="BC52" s="294"/>
      <c r="BD52" s="294"/>
      <c r="BE52" s="294"/>
      <c r="BF52" s="294"/>
      <c r="BG52" s="294"/>
      <c r="BH52" s="294"/>
      <c r="BI52" s="88">
        <f>SUM(BI43:BI51)</f>
        <v>1176</v>
      </c>
      <c r="BJ52" s="143">
        <f t="shared" ref="BJ52" si="94">SUM(BJ43:BJ51)</f>
        <v>1682</v>
      </c>
      <c r="BK52" s="143">
        <f t="shared" ref="BK52:BP52" si="95">SUM(BK43:BK51)</f>
        <v>-3312</v>
      </c>
      <c r="BL52" s="143">
        <f t="shared" si="95"/>
        <v>-4680</v>
      </c>
      <c r="BM52" s="143">
        <f t="shared" si="95"/>
        <v>-773</v>
      </c>
      <c r="BN52" s="143">
        <f t="shared" si="95"/>
        <v>-6774</v>
      </c>
      <c r="BO52" s="143">
        <f t="shared" si="95"/>
        <v>-1457</v>
      </c>
      <c r="BP52" s="143">
        <f t="shared" si="95"/>
        <v>-764</v>
      </c>
      <c r="BQ52" s="143">
        <f t="shared" ref="BQ52:BR52" si="96">SUM(BQ43:BQ51)</f>
        <v>-428</v>
      </c>
      <c r="BR52" s="143">
        <f t="shared" si="96"/>
        <v>-3736</v>
      </c>
      <c r="BS52" s="143">
        <f t="shared" ref="BS52:BT52" si="97">SUM(BS43:BS51)</f>
        <v>-3830</v>
      </c>
      <c r="BT52" s="143">
        <f t="shared" si="97"/>
        <v>-7861</v>
      </c>
      <c r="BU52" s="143">
        <f t="shared" ref="BU52:BV52" si="98">SUM(BU43:BU51)</f>
        <v>-5917</v>
      </c>
      <c r="BV52" s="143">
        <f t="shared" si="98"/>
        <v>-5353</v>
      </c>
      <c r="BW52" s="143">
        <f t="shared" ref="BW52:BX52" si="99">SUM(BW43:BW51)</f>
        <v>-4781</v>
      </c>
      <c r="BX52" s="143">
        <f t="shared" si="99"/>
        <v>-517</v>
      </c>
      <c r="BY52" s="143">
        <f t="shared" ref="BY52:BZ52" si="100">SUM(BY43:BY51)</f>
        <v>-1360</v>
      </c>
      <c r="BZ52" s="143">
        <f t="shared" si="100"/>
        <v>1447</v>
      </c>
      <c r="CA52" s="268">
        <f t="shared" ref="CA52:CB52" si="101">SUM(CA43:CA51)</f>
        <v>2145</v>
      </c>
      <c r="CB52" s="268">
        <f t="shared" si="101"/>
        <v>4012</v>
      </c>
      <c r="CC52" s="268">
        <f t="shared" ref="CC52:CE52" si="102">SUM(CC43:CC51)</f>
        <v>4081</v>
      </c>
      <c r="CD52" s="334">
        <f t="shared" si="102"/>
        <v>642</v>
      </c>
      <c r="CE52" s="317">
        <f t="shared" si="102"/>
        <v>2826</v>
      </c>
      <c r="CF52" s="317">
        <f t="shared" ref="CF52:CG52" si="103">SUM(CF43:CF51)</f>
        <v>5880</v>
      </c>
      <c r="CG52" s="317">
        <f t="shared" si="103"/>
        <v>3767</v>
      </c>
      <c r="CH52" s="317">
        <f t="shared" ref="CH52:CI52" si="104">SUM(CH43:CH51)</f>
        <v>1604</v>
      </c>
      <c r="CI52" s="317">
        <f t="shared" si="104"/>
        <v>3688</v>
      </c>
      <c r="CJ52" s="317">
        <f t="shared" ref="CJ52" si="105">SUM(CJ43:CJ51)</f>
        <v>3290</v>
      </c>
      <c r="CK52" s="317">
        <f t="shared" ref="CK52" si="106">SUM(CK43:CK51)</f>
        <v>364</v>
      </c>
      <c r="CL52" s="317">
        <f t="shared" ref="CL52" si="107">SUM(CL43:CL51)</f>
        <v>1088</v>
      </c>
      <c r="CM52" s="317">
        <f t="shared" ref="CM52" si="108">SUM(CM43:CM51)</f>
        <v>260</v>
      </c>
      <c r="CN52" s="317">
        <f t="shared" ref="CN52" si="109">SUM(CN43:CN51)</f>
        <v>-2370</v>
      </c>
      <c r="CO52" s="317">
        <f t="shared" ref="CO52" si="110">SUM(CO43:CO51)</f>
        <v>-4284</v>
      </c>
      <c r="CP52" s="317">
        <f t="shared" ref="CP52" si="111">SUM(CP43:CP51)</f>
        <v>3000</v>
      </c>
      <c r="CQ52" s="317">
        <f t="shared" ref="CQ52:CS52" si="112">SUM(CQ43:CQ51)</f>
        <v>206</v>
      </c>
      <c r="CR52" s="317">
        <f t="shared" ref="CR52:CS52" si="113">SUM(CR43:CR51)</f>
        <v>376</v>
      </c>
      <c r="CS52" s="317">
        <f t="shared" si="113"/>
        <v>626</v>
      </c>
      <c r="CT52" s="349"/>
      <c r="CU52" s="262">
        <f>CU43+CU46+CU49+CU50+CU51</f>
        <v>23450</v>
      </c>
    </row>
    <row r="53" spans="1:9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48"/>
      <c r="CU53" s="93"/>
    </row>
    <row r="54" spans="1:99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/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S54" si="114">O54-C54</f>
        <v>411</v>
      </c>
      <c r="BJ54" s="87">
        <f t="shared" si="114"/>
        <v>5418</v>
      </c>
      <c r="BK54" s="87">
        <f t="shared" si="114"/>
        <v>9936</v>
      </c>
      <c r="BL54" s="87">
        <f t="shared" si="114"/>
        <v>9737</v>
      </c>
      <c r="BM54" s="87">
        <f t="shared" si="114"/>
        <v>9238</v>
      </c>
      <c r="BN54" s="87">
        <f t="shared" si="114"/>
        <v>9119</v>
      </c>
      <c r="BO54" s="87">
        <f t="shared" si="114"/>
        <v>7955</v>
      </c>
      <c r="BP54" s="87">
        <f t="shared" si="114"/>
        <v>9937</v>
      </c>
      <c r="BQ54" s="87">
        <f t="shared" si="114"/>
        <v>9502</v>
      </c>
      <c r="BR54" s="87">
        <f t="shared" si="114"/>
        <v>9550</v>
      </c>
      <c r="BS54" s="87">
        <f t="shared" si="114"/>
        <v>8154</v>
      </c>
      <c r="BT54" s="87">
        <f t="shared" si="114"/>
        <v>7544</v>
      </c>
      <c r="BU54" s="87">
        <f t="shared" si="114"/>
        <v>2192</v>
      </c>
      <c r="BV54" s="87">
        <f t="shared" si="114"/>
        <v>-1555</v>
      </c>
      <c r="BW54" s="87">
        <f t="shared" si="114"/>
        <v>-6684</v>
      </c>
      <c r="BX54" s="87">
        <f t="shared" si="114"/>
        <v>-9280</v>
      </c>
      <c r="BY54" s="87">
        <f t="shared" si="114"/>
        <v>-11940</v>
      </c>
      <c r="BZ54" s="87">
        <f t="shared" si="114"/>
        <v>-13154</v>
      </c>
      <c r="CA54" s="267">
        <f t="shared" si="114"/>
        <v>-12357</v>
      </c>
      <c r="CB54" s="267">
        <f t="shared" si="114"/>
        <v>-10864</v>
      </c>
      <c r="CC54" s="267">
        <f t="shared" si="114"/>
        <v>-10177</v>
      </c>
      <c r="CD54" s="333">
        <f t="shared" si="114"/>
        <v>-10077</v>
      </c>
      <c r="CE54" s="316">
        <f t="shared" si="114"/>
        <v>-8767</v>
      </c>
      <c r="CF54" s="316">
        <f t="shared" si="114"/>
        <v>-7085</v>
      </c>
      <c r="CG54" s="316">
        <f t="shared" si="114"/>
        <v>-4025</v>
      </c>
      <c r="CH54" s="316">
        <f t="shared" si="114"/>
        <v>-2724</v>
      </c>
      <c r="CI54" s="316">
        <f t="shared" si="114"/>
        <v>-4335</v>
      </c>
      <c r="CJ54" s="316">
        <f t="shared" si="114"/>
        <v>-3089</v>
      </c>
      <c r="CK54" s="316">
        <f t="shared" si="114"/>
        <v>-673</v>
      </c>
      <c r="CL54" s="316">
        <f t="shared" si="114"/>
        <v>7</v>
      </c>
      <c r="CM54" s="316">
        <f t="shared" si="114"/>
        <v>1583</v>
      </c>
      <c r="CN54" s="316">
        <f t="shared" si="114"/>
        <v>-1043</v>
      </c>
      <c r="CO54" s="316">
        <f t="shared" si="114"/>
        <v>-1042</v>
      </c>
      <c r="CP54" s="316">
        <f t="shared" si="114"/>
        <v>-390</v>
      </c>
      <c r="CQ54" s="316">
        <f t="shared" si="114"/>
        <v>-469</v>
      </c>
      <c r="CR54" s="316">
        <f t="shared" si="114"/>
        <v>260</v>
      </c>
      <c r="CS54" s="316">
        <f t="shared" si="114"/>
        <v>260</v>
      </c>
      <c r="CT54" s="348"/>
      <c r="CU54" s="67">
        <f>'MONTHLY SUMMARIES'!H38</f>
        <v>42246</v>
      </c>
    </row>
    <row r="55" spans="1:99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/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48"/>
      <c r="CU55" s="81">
        <f>CU54-CU56</f>
        <v>41810</v>
      </c>
    </row>
    <row r="56" spans="1:99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/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48"/>
      <c r="CU56" s="67">
        <f>GETPIVOTDATA("VALUE",'CRS ESCO pvt'!$I$2,"DATE_FILE",$CU$8,"COMPANY",$CU$6,"TRIM_CAT","Resdiential-ESCO","TRIM_LINE",A53)</f>
        <v>436</v>
      </c>
    </row>
    <row r="57" spans="1:99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/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S57" si="115">O57-C57</f>
        <v>594</v>
      </c>
      <c r="BJ57" s="87">
        <f t="shared" si="115"/>
        <v>1176</v>
      </c>
      <c r="BK57" s="87">
        <f t="shared" si="115"/>
        <v>1326</v>
      </c>
      <c r="BL57" s="87">
        <f t="shared" si="115"/>
        <v>1141</v>
      </c>
      <c r="BM57" s="87">
        <f t="shared" si="115"/>
        <v>2079</v>
      </c>
      <c r="BN57" s="87">
        <f t="shared" si="115"/>
        <v>1793</v>
      </c>
      <c r="BO57" s="87">
        <f t="shared" si="115"/>
        <v>1959</v>
      </c>
      <c r="BP57" s="87">
        <f t="shared" si="115"/>
        <v>2537</v>
      </c>
      <c r="BQ57" s="87">
        <f t="shared" si="115"/>
        <v>3192</v>
      </c>
      <c r="BR57" s="87">
        <f t="shared" si="115"/>
        <v>3441</v>
      </c>
      <c r="BS57" s="87">
        <f t="shared" si="115"/>
        <v>3190</v>
      </c>
      <c r="BT57" s="87">
        <f t="shared" si="115"/>
        <v>3506</v>
      </c>
      <c r="BU57" s="87">
        <f t="shared" si="115"/>
        <v>2751</v>
      </c>
      <c r="BV57" s="87">
        <f t="shared" si="115"/>
        <v>2653</v>
      </c>
      <c r="BW57" s="87">
        <f t="shared" si="115"/>
        <v>2312</v>
      </c>
      <c r="BX57" s="87">
        <f t="shared" si="115"/>
        <v>2186</v>
      </c>
      <c r="BY57" s="87">
        <f t="shared" si="115"/>
        <v>410</v>
      </c>
      <c r="BZ57" s="87">
        <f t="shared" si="115"/>
        <v>-47</v>
      </c>
      <c r="CA57" s="267">
        <f t="shared" si="115"/>
        <v>-475</v>
      </c>
      <c r="CB57" s="267">
        <f t="shared" si="115"/>
        <v>-524</v>
      </c>
      <c r="CC57" s="267">
        <f t="shared" si="115"/>
        <v>-2073</v>
      </c>
      <c r="CD57" s="333">
        <f t="shared" si="115"/>
        <v>-3523</v>
      </c>
      <c r="CE57" s="316">
        <f t="shared" si="115"/>
        <v>-2421</v>
      </c>
      <c r="CF57" s="316">
        <f t="shared" si="115"/>
        <v>-1592</v>
      </c>
      <c r="CG57" s="316">
        <f t="shared" si="115"/>
        <v>-535</v>
      </c>
      <c r="CH57" s="316">
        <f t="shared" si="115"/>
        <v>307</v>
      </c>
      <c r="CI57" s="316">
        <f t="shared" si="115"/>
        <v>471</v>
      </c>
      <c r="CJ57" s="316">
        <f t="shared" si="115"/>
        <v>762</v>
      </c>
      <c r="CK57" s="316">
        <f t="shared" si="115"/>
        <v>1156</v>
      </c>
      <c r="CL57" s="316">
        <f t="shared" si="115"/>
        <v>942</v>
      </c>
      <c r="CM57" s="316">
        <f t="shared" si="115"/>
        <v>1188</v>
      </c>
      <c r="CN57" s="316">
        <f t="shared" si="115"/>
        <v>827</v>
      </c>
      <c r="CO57" s="316">
        <f t="shared" si="115"/>
        <v>2157</v>
      </c>
      <c r="CP57" s="316">
        <f t="shared" si="115"/>
        <v>3827</v>
      </c>
      <c r="CQ57" s="316">
        <f t="shared" si="115"/>
        <v>3783</v>
      </c>
      <c r="CR57" s="316">
        <f t="shared" si="115"/>
        <v>3972</v>
      </c>
      <c r="CS57" s="316">
        <f t="shared" si="115"/>
        <v>4296</v>
      </c>
      <c r="CT57" s="348"/>
      <c r="CU57" s="67">
        <f>'MONTHLY SUMMARIES'!H39</f>
        <v>22089</v>
      </c>
    </row>
    <row r="58" spans="1:99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/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48"/>
      <c r="CU58" s="81">
        <f>CU57-CU59</f>
        <v>21833</v>
      </c>
    </row>
    <row r="59" spans="1:99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/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48"/>
      <c r="CU59" s="67">
        <f>GETPIVOTDATA("VALUE",'CRS ESCO pvt'!$I$2,"DATE_FILE",$CU$8,"COMPANY",$CU$6,"TRIM_CAT","Low Income Resdiential-ESCO","TRIM_LINE",A53)</f>
        <v>256</v>
      </c>
    </row>
    <row r="60" spans="1:99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/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16">O60-C60</f>
        <v>305</v>
      </c>
      <c r="BJ60" s="87">
        <f t="shared" si="116"/>
        <v>968</v>
      </c>
      <c r="BK60" s="87">
        <f t="shared" si="116"/>
        <v>1397</v>
      </c>
      <c r="BL60" s="87">
        <f t="shared" si="116"/>
        <v>1386</v>
      </c>
      <c r="BM60" s="87">
        <f t="shared" si="116"/>
        <v>1274</v>
      </c>
      <c r="BN60" s="87">
        <f t="shared" si="116"/>
        <v>1241</v>
      </c>
      <c r="BO60" s="87">
        <f t="shared" si="116"/>
        <v>1025</v>
      </c>
      <c r="BP60" s="87">
        <f t="shared" si="116"/>
        <v>1003</v>
      </c>
      <c r="BQ60" s="87">
        <f t="shared" si="116"/>
        <v>920</v>
      </c>
      <c r="BR60" s="87">
        <f t="shared" si="116"/>
        <v>849</v>
      </c>
      <c r="BS60" s="87">
        <f t="shared" ref="BS60:CB62" si="117">Y60-M60</f>
        <v>732</v>
      </c>
      <c r="BT60" s="87">
        <f t="shared" si="117"/>
        <v>573</v>
      </c>
      <c r="BU60" s="87">
        <f t="shared" si="117"/>
        <v>152</v>
      </c>
      <c r="BV60" s="87">
        <f t="shared" si="117"/>
        <v>-367</v>
      </c>
      <c r="BW60" s="87">
        <f t="shared" si="117"/>
        <v>-1033</v>
      </c>
      <c r="BX60" s="87">
        <f t="shared" si="117"/>
        <v>-1072</v>
      </c>
      <c r="BY60" s="87">
        <f t="shared" si="117"/>
        <v>-807</v>
      </c>
      <c r="BZ60" s="87">
        <f t="shared" si="117"/>
        <v>-784</v>
      </c>
      <c r="CA60" s="267">
        <f t="shared" si="117"/>
        <v>-678</v>
      </c>
      <c r="CB60" s="267">
        <f t="shared" si="117"/>
        <v>-608</v>
      </c>
      <c r="CC60" s="267">
        <f t="shared" ref="CC60:CL62" si="118">AI60-W60</f>
        <v>-453</v>
      </c>
      <c r="CD60" s="333">
        <f t="shared" si="118"/>
        <v>-327</v>
      </c>
      <c r="CE60" s="316">
        <f t="shared" si="118"/>
        <v>-133</v>
      </c>
      <c r="CF60" s="316">
        <f t="shared" si="118"/>
        <v>-93</v>
      </c>
      <c r="CG60" s="316">
        <f t="shared" si="118"/>
        <v>97</v>
      </c>
      <c r="CH60" s="316">
        <f t="shared" si="118"/>
        <v>-102</v>
      </c>
      <c r="CI60" s="316">
        <f t="shared" si="118"/>
        <v>-191</v>
      </c>
      <c r="CJ60" s="316">
        <f t="shared" si="118"/>
        <v>-298</v>
      </c>
      <c r="CK60" s="316">
        <f t="shared" si="118"/>
        <v>-252</v>
      </c>
      <c r="CL60" s="316">
        <f t="shared" si="118"/>
        <v>-125</v>
      </c>
      <c r="CM60" s="316">
        <f t="shared" ref="CM60:CS62" si="119">AS60-AG60</f>
        <v>53</v>
      </c>
      <c r="CN60" s="316">
        <f t="shared" si="119"/>
        <v>41</v>
      </c>
      <c r="CO60" s="316">
        <f t="shared" si="119"/>
        <v>-12</v>
      </c>
      <c r="CP60" s="316">
        <f t="shared" si="119"/>
        <v>-137</v>
      </c>
      <c r="CQ60" s="316">
        <f t="shared" si="119"/>
        <v>-264</v>
      </c>
      <c r="CR60" s="316">
        <f t="shared" si="119"/>
        <v>-269</v>
      </c>
      <c r="CS60" s="316">
        <f t="shared" si="119"/>
        <v>-270</v>
      </c>
      <c r="CT60" s="348"/>
      <c r="CU60" s="67">
        <f>'MONTHLY SUMMARIES'!H40</f>
        <v>2062</v>
      </c>
    </row>
    <row r="61" spans="1:99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/>
      <c r="BA61" s="293"/>
      <c r="BB61" s="293"/>
      <c r="BC61" s="293"/>
      <c r="BD61" s="293"/>
      <c r="BE61" s="293"/>
      <c r="BF61" s="293"/>
      <c r="BG61" s="293"/>
      <c r="BH61" s="293"/>
      <c r="BI61" s="86">
        <f t="shared" si="116"/>
        <v>40</v>
      </c>
      <c r="BJ61" s="87">
        <f t="shared" si="116"/>
        <v>250</v>
      </c>
      <c r="BK61" s="87">
        <f t="shared" si="116"/>
        <v>380</v>
      </c>
      <c r="BL61" s="87">
        <f t="shared" si="116"/>
        <v>498</v>
      </c>
      <c r="BM61" s="87">
        <f t="shared" si="116"/>
        <v>454</v>
      </c>
      <c r="BN61" s="87">
        <f t="shared" si="116"/>
        <v>444</v>
      </c>
      <c r="BO61" s="87">
        <f t="shared" si="116"/>
        <v>397</v>
      </c>
      <c r="BP61" s="87">
        <f t="shared" si="116"/>
        <v>386</v>
      </c>
      <c r="BQ61" s="87">
        <f t="shared" si="116"/>
        <v>359</v>
      </c>
      <c r="BR61" s="87">
        <f t="shared" si="116"/>
        <v>298</v>
      </c>
      <c r="BS61" s="87">
        <f t="shared" si="117"/>
        <v>264</v>
      </c>
      <c r="BT61" s="87">
        <f t="shared" si="117"/>
        <v>275</v>
      </c>
      <c r="BU61" s="87">
        <f t="shared" si="117"/>
        <v>135</v>
      </c>
      <c r="BV61" s="87">
        <f t="shared" si="117"/>
        <v>-66</v>
      </c>
      <c r="BW61" s="87">
        <f t="shared" si="117"/>
        <v>-206</v>
      </c>
      <c r="BX61" s="87">
        <f t="shared" si="117"/>
        <v>-316</v>
      </c>
      <c r="BY61" s="87">
        <f t="shared" si="117"/>
        <v>-329</v>
      </c>
      <c r="BZ61" s="87">
        <f t="shared" si="117"/>
        <v>-245</v>
      </c>
      <c r="CA61" s="267">
        <f t="shared" si="117"/>
        <v>-233</v>
      </c>
      <c r="CB61" s="267">
        <f t="shared" si="117"/>
        <v>-270</v>
      </c>
      <c r="CC61" s="267">
        <f t="shared" si="118"/>
        <v>-163</v>
      </c>
      <c r="CD61" s="333">
        <f t="shared" si="118"/>
        <v>-128</v>
      </c>
      <c r="CE61" s="316">
        <f t="shared" si="118"/>
        <v>-59</v>
      </c>
      <c r="CF61" s="316">
        <f t="shared" si="118"/>
        <v>-113</v>
      </c>
      <c r="CG61" s="316">
        <f t="shared" si="118"/>
        <v>3</v>
      </c>
      <c r="CH61" s="316">
        <f t="shared" si="118"/>
        <v>-35</v>
      </c>
      <c r="CI61" s="316">
        <f t="shared" si="118"/>
        <v>-30</v>
      </c>
      <c r="CJ61" s="316">
        <f t="shared" si="118"/>
        <v>-33</v>
      </c>
      <c r="CK61" s="316">
        <f t="shared" si="118"/>
        <v>48</v>
      </c>
      <c r="CL61" s="316">
        <f t="shared" si="118"/>
        <v>26</v>
      </c>
      <c r="CM61" s="316">
        <f t="shared" si="119"/>
        <v>117</v>
      </c>
      <c r="CN61" s="316">
        <f t="shared" si="119"/>
        <v>110</v>
      </c>
      <c r="CO61" s="316">
        <f t="shared" si="119"/>
        <v>-1</v>
      </c>
      <c r="CP61" s="316">
        <f t="shared" si="119"/>
        <v>-29</v>
      </c>
      <c r="CQ61" s="316">
        <f t="shared" si="119"/>
        <v>-127</v>
      </c>
      <c r="CR61" s="316">
        <f t="shared" si="119"/>
        <v>-84</v>
      </c>
      <c r="CS61" s="316">
        <f t="shared" si="119"/>
        <v>-127</v>
      </c>
      <c r="CT61" s="348"/>
      <c r="CU61" s="67">
        <f>'MONTHLY SUMMARIES'!H41</f>
        <v>485</v>
      </c>
    </row>
    <row r="62" spans="1:99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/>
      <c r="BA62" s="293"/>
      <c r="BB62" s="293"/>
      <c r="BC62" s="293"/>
      <c r="BD62" s="293"/>
      <c r="BE62" s="293"/>
      <c r="BF62" s="293"/>
      <c r="BG62" s="293"/>
      <c r="BH62" s="293"/>
      <c r="BI62" s="86">
        <f t="shared" si="116"/>
        <v>50</v>
      </c>
      <c r="BJ62" s="87">
        <f t="shared" si="116"/>
        <v>145</v>
      </c>
      <c r="BK62" s="87">
        <f t="shared" si="116"/>
        <v>342</v>
      </c>
      <c r="BL62" s="87">
        <f t="shared" si="116"/>
        <v>388</v>
      </c>
      <c r="BM62" s="87">
        <f t="shared" si="116"/>
        <v>360</v>
      </c>
      <c r="BN62" s="87">
        <f t="shared" si="116"/>
        <v>360</v>
      </c>
      <c r="BO62" s="87">
        <f t="shared" si="116"/>
        <v>300</v>
      </c>
      <c r="BP62" s="87">
        <f t="shared" si="116"/>
        <v>290</v>
      </c>
      <c r="BQ62" s="87">
        <f t="shared" si="116"/>
        <v>246</v>
      </c>
      <c r="BR62" s="87">
        <f t="shared" si="116"/>
        <v>205</v>
      </c>
      <c r="BS62" s="87">
        <f t="shared" si="117"/>
        <v>189</v>
      </c>
      <c r="BT62" s="87">
        <f t="shared" si="117"/>
        <v>154</v>
      </c>
      <c r="BU62" s="87">
        <f t="shared" si="117"/>
        <v>40</v>
      </c>
      <c r="BV62" s="87">
        <f t="shared" si="117"/>
        <v>-83</v>
      </c>
      <c r="BW62" s="87">
        <f t="shared" si="117"/>
        <v>-219</v>
      </c>
      <c r="BX62" s="87">
        <f t="shared" si="117"/>
        <v>-238</v>
      </c>
      <c r="BY62" s="87">
        <f t="shared" si="117"/>
        <v>-322</v>
      </c>
      <c r="BZ62" s="87">
        <f t="shared" si="117"/>
        <v>-214</v>
      </c>
      <c r="CA62" s="267">
        <f t="shared" si="117"/>
        <v>-170</v>
      </c>
      <c r="CB62" s="267">
        <f t="shared" si="117"/>
        <v>-198</v>
      </c>
      <c r="CC62" s="267">
        <f t="shared" si="118"/>
        <v>-169</v>
      </c>
      <c r="CD62" s="333">
        <f t="shared" si="118"/>
        <v>-27</v>
      </c>
      <c r="CE62" s="316">
        <f t="shared" si="118"/>
        <v>41</v>
      </c>
      <c r="CF62" s="316">
        <f t="shared" si="118"/>
        <v>-34</v>
      </c>
      <c r="CG62" s="316">
        <f t="shared" si="118"/>
        <v>78</v>
      </c>
      <c r="CH62" s="316">
        <f t="shared" si="118"/>
        <v>-15</v>
      </c>
      <c r="CI62" s="316">
        <f t="shared" si="118"/>
        <v>-2</v>
      </c>
      <c r="CJ62" s="316">
        <f t="shared" si="118"/>
        <v>-8</v>
      </c>
      <c r="CK62" s="316">
        <f t="shared" si="118"/>
        <v>133</v>
      </c>
      <c r="CL62" s="316">
        <f t="shared" si="118"/>
        <v>131</v>
      </c>
      <c r="CM62" s="316">
        <f t="shared" si="119"/>
        <v>177</v>
      </c>
      <c r="CN62" s="316">
        <f t="shared" si="119"/>
        <v>74</v>
      </c>
      <c r="CO62" s="316">
        <f t="shared" si="119"/>
        <v>-13</v>
      </c>
      <c r="CP62" s="316">
        <f t="shared" si="119"/>
        <v>-110</v>
      </c>
      <c r="CQ62" s="316">
        <f t="shared" si="119"/>
        <v>-169</v>
      </c>
      <c r="CR62" s="316">
        <f t="shared" si="119"/>
        <v>-130</v>
      </c>
      <c r="CS62" s="316">
        <f t="shared" si="119"/>
        <v>-180</v>
      </c>
      <c r="CT62" s="348"/>
      <c r="CU62" s="67">
        <f>'MONTHLY SUMMARIES'!H42</f>
        <v>308</v>
      </c>
    </row>
    <row r="63" spans="1:99" s="76" customFormat="1" ht="15" thickBot="1" x14ac:dyDescent="0.35">
      <c r="A63" s="151"/>
      <c r="B63" s="70" t="s">
        <v>42</v>
      </c>
      <c r="C63" s="71">
        <f t="shared" ref="C63:V63" si="120">SUM(C54:C62)</f>
        <v>60923</v>
      </c>
      <c r="D63" s="72">
        <f t="shared" si="120"/>
        <v>61443</v>
      </c>
      <c r="E63" s="72">
        <f t="shared" si="120"/>
        <v>64991</v>
      </c>
      <c r="F63" s="72">
        <f t="shared" si="120"/>
        <v>68661</v>
      </c>
      <c r="G63" s="72">
        <f t="shared" si="120"/>
        <v>71069</v>
      </c>
      <c r="H63" s="72">
        <f t="shared" si="120"/>
        <v>72253</v>
      </c>
      <c r="I63" s="72">
        <f t="shared" si="120"/>
        <v>70932</v>
      </c>
      <c r="J63" s="72">
        <f t="shared" si="120"/>
        <v>67087</v>
      </c>
      <c r="K63" s="72">
        <f t="shared" si="120"/>
        <v>66232</v>
      </c>
      <c r="L63" s="73">
        <f t="shared" si="120"/>
        <v>65046</v>
      </c>
      <c r="M63" s="72">
        <f t="shared" si="120"/>
        <v>62268</v>
      </c>
      <c r="N63" s="72">
        <f t="shared" si="120"/>
        <v>58216</v>
      </c>
      <c r="O63" s="72">
        <f t="shared" si="120"/>
        <v>62323</v>
      </c>
      <c r="P63" s="72">
        <f t="shared" si="120"/>
        <v>69400</v>
      </c>
      <c r="Q63" s="72">
        <f t="shared" si="120"/>
        <v>78372</v>
      </c>
      <c r="R63" s="72">
        <f t="shared" si="120"/>
        <v>81811</v>
      </c>
      <c r="S63" s="72">
        <f t="shared" si="120"/>
        <v>84474</v>
      </c>
      <c r="T63" s="72">
        <f t="shared" si="120"/>
        <v>85210</v>
      </c>
      <c r="U63" s="72">
        <f t="shared" si="120"/>
        <v>82568</v>
      </c>
      <c r="V63" s="72">
        <f t="shared" si="120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/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" si="121">SUM(BI54:BI62)</f>
        <v>1400</v>
      </c>
      <c r="BJ63" s="75">
        <f t="shared" ref="BJ63" si="122">SUM(BJ54:BJ62)</f>
        <v>7957</v>
      </c>
      <c r="BK63" s="75">
        <f t="shared" ref="BK63:BP63" si="123">SUM(BK54:BK62)</f>
        <v>13381</v>
      </c>
      <c r="BL63" s="75">
        <f t="shared" si="123"/>
        <v>13150</v>
      </c>
      <c r="BM63" s="75">
        <f t="shared" si="123"/>
        <v>13405</v>
      </c>
      <c r="BN63" s="75">
        <f t="shared" si="123"/>
        <v>12957</v>
      </c>
      <c r="BO63" s="75">
        <f t="shared" si="123"/>
        <v>11636</v>
      </c>
      <c r="BP63" s="75">
        <f t="shared" si="123"/>
        <v>14153</v>
      </c>
      <c r="BQ63" s="75">
        <f t="shared" ref="BQ63:BR63" si="124">SUM(BQ54:BQ62)</f>
        <v>14219</v>
      </c>
      <c r="BR63" s="75">
        <f t="shared" si="124"/>
        <v>14343</v>
      </c>
      <c r="BS63" s="75">
        <f t="shared" ref="BS63:BT63" si="125">SUM(BS54:BS62)</f>
        <v>12529</v>
      </c>
      <c r="BT63" s="75">
        <f t="shared" si="125"/>
        <v>12052</v>
      </c>
      <c r="BU63" s="75">
        <f t="shared" ref="BU63:BV63" si="126">SUM(BU54:BU62)</f>
        <v>5270</v>
      </c>
      <c r="BV63" s="75">
        <f t="shared" si="126"/>
        <v>582</v>
      </c>
      <c r="BW63" s="75">
        <f t="shared" ref="BW63:BX63" si="127">SUM(BW54:BW62)</f>
        <v>-5830</v>
      </c>
      <c r="BX63" s="75">
        <f t="shared" si="127"/>
        <v>-8720</v>
      </c>
      <c r="BY63" s="75">
        <f t="shared" ref="BY63:BZ63" si="128">SUM(BY54:BY62)</f>
        <v>-12988</v>
      </c>
      <c r="BZ63" s="75">
        <f t="shared" si="128"/>
        <v>-14444</v>
      </c>
      <c r="CA63" s="265">
        <f t="shared" ref="CA63:CB63" si="129">SUM(CA54:CA62)</f>
        <v>-13913</v>
      </c>
      <c r="CB63" s="265">
        <f t="shared" si="129"/>
        <v>-12464</v>
      </c>
      <c r="CC63" s="265">
        <f t="shared" ref="CC63:CE63" si="130">SUM(CC54:CC62)</f>
        <v>-13035</v>
      </c>
      <c r="CD63" s="331">
        <f t="shared" si="130"/>
        <v>-14082</v>
      </c>
      <c r="CE63" s="325">
        <f t="shared" si="130"/>
        <v>-11339</v>
      </c>
      <c r="CF63" s="325">
        <f t="shared" ref="CF63:CG63" si="131">SUM(CF54:CF62)</f>
        <v>-8917</v>
      </c>
      <c r="CG63" s="325">
        <f t="shared" si="131"/>
        <v>-4382</v>
      </c>
      <c r="CH63" s="325">
        <f t="shared" ref="CH63:CI63" si="132">SUM(CH54:CH62)</f>
        <v>-2569</v>
      </c>
      <c r="CI63" s="325">
        <f t="shared" si="132"/>
        <v>-4087</v>
      </c>
      <c r="CJ63" s="325">
        <f t="shared" ref="CJ63" si="133">SUM(CJ54:CJ62)</f>
        <v>-2666</v>
      </c>
      <c r="CK63" s="325">
        <f t="shared" ref="CK63" si="134">SUM(CK54:CK62)</f>
        <v>412</v>
      </c>
      <c r="CL63" s="325">
        <f t="shared" ref="CL63" si="135">SUM(CL54:CL62)</f>
        <v>981</v>
      </c>
      <c r="CM63" s="325">
        <f t="shared" ref="CM63" si="136">SUM(CM54:CM62)</f>
        <v>3118</v>
      </c>
      <c r="CN63" s="325">
        <f t="shared" ref="CN63" si="137">SUM(CN54:CN62)</f>
        <v>9</v>
      </c>
      <c r="CO63" s="325">
        <f t="shared" ref="CO63" si="138">SUM(CO54:CO62)</f>
        <v>1089</v>
      </c>
      <c r="CP63" s="368">
        <f t="shared" ref="CP63" si="139">SUM(CP54:CP62)</f>
        <v>3161</v>
      </c>
      <c r="CQ63" s="368">
        <f t="shared" ref="CQ63:CS63" si="140">SUM(CQ54:CQ62)</f>
        <v>2754</v>
      </c>
      <c r="CR63" s="368">
        <f t="shared" ref="CR63:CS63" si="141">SUM(CR54:CR62)</f>
        <v>3749</v>
      </c>
      <c r="CS63" s="368">
        <f t="shared" si="141"/>
        <v>3979</v>
      </c>
      <c r="CT63" s="349"/>
      <c r="CU63" s="74">
        <f>CU54+CU57+CU60+CU61+CU62</f>
        <v>67190</v>
      </c>
    </row>
    <row r="64" spans="1:9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50"/>
      <c r="CU64" s="98"/>
    </row>
    <row r="65" spans="1:99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/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S65" si="142">O65-C65</f>
        <v>-2747891.91</v>
      </c>
      <c r="BJ65" s="46">
        <f t="shared" si="142"/>
        <v>-5383781.9200000018</v>
      </c>
      <c r="BK65" s="46">
        <f t="shared" si="142"/>
        <v>-425788.55000000075</v>
      </c>
      <c r="BL65" s="46">
        <f t="shared" si="142"/>
        <v>2005408.25</v>
      </c>
      <c r="BM65" s="46">
        <f t="shared" si="142"/>
        <v>-1598731.6600000001</v>
      </c>
      <c r="BN65" s="46">
        <f t="shared" si="142"/>
        <v>-2596.5200000000186</v>
      </c>
      <c r="BO65" s="46">
        <f t="shared" si="142"/>
        <v>-368169.20999999996</v>
      </c>
      <c r="BP65" s="46">
        <f t="shared" si="142"/>
        <v>344111.99000000022</v>
      </c>
      <c r="BQ65" s="46">
        <f t="shared" si="142"/>
        <v>-39121.240000000224</v>
      </c>
      <c r="BR65" s="46">
        <f t="shared" si="142"/>
        <v>-648292.20000000019</v>
      </c>
      <c r="BS65" s="46">
        <f t="shared" si="142"/>
        <v>-929671.61999999918</v>
      </c>
      <c r="BT65" s="46">
        <f t="shared" si="142"/>
        <v>1277415.1899999995</v>
      </c>
      <c r="BU65" s="46">
        <f t="shared" si="142"/>
        <v>604824.35000000149</v>
      </c>
      <c r="BV65" s="46">
        <f t="shared" si="142"/>
        <v>614770</v>
      </c>
      <c r="BW65" s="46">
        <f t="shared" si="142"/>
        <v>-1142065</v>
      </c>
      <c r="BX65" s="46">
        <f t="shared" si="142"/>
        <v>-1932431</v>
      </c>
      <c r="BY65" s="46">
        <f t="shared" si="142"/>
        <v>-1394</v>
      </c>
      <c r="BZ65" s="46">
        <f t="shared" si="142"/>
        <v>-378769</v>
      </c>
      <c r="CA65" s="271">
        <f t="shared" si="142"/>
        <v>-232648</v>
      </c>
      <c r="CB65" s="271">
        <f t="shared" si="142"/>
        <v>-257978</v>
      </c>
      <c r="CC65" s="271">
        <f t="shared" si="142"/>
        <v>-382883</v>
      </c>
      <c r="CD65" s="337">
        <f t="shared" si="142"/>
        <v>-663579</v>
      </c>
      <c r="CE65" s="321">
        <f t="shared" si="142"/>
        <v>2697129</v>
      </c>
      <c r="CF65" s="321">
        <f t="shared" si="142"/>
        <v>1512834</v>
      </c>
      <c r="CG65" s="321">
        <f t="shared" si="142"/>
        <v>3482227</v>
      </c>
      <c r="CH65" s="321">
        <f t="shared" si="142"/>
        <v>3770147</v>
      </c>
      <c r="CI65" s="321">
        <f t="shared" si="142"/>
        <v>3279535</v>
      </c>
      <c r="CJ65" s="321">
        <f t="shared" si="142"/>
        <v>2073125</v>
      </c>
      <c r="CK65" s="321">
        <f t="shared" si="142"/>
        <v>1386922</v>
      </c>
      <c r="CL65" s="321">
        <f t="shared" si="142"/>
        <v>1269730</v>
      </c>
      <c r="CM65" s="321">
        <f t="shared" si="142"/>
        <v>1307294</v>
      </c>
      <c r="CN65" s="321">
        <f t="shared" si="142"/>
        <v>756221</v>
      </c>
      <c r="CO65" s="321">
        <f t="shared" si="142"/>
        <v>2070544</v>
      </c>
      <c r="CP65" s="321">
        <f t="shared" si="142"/>
        <v>4773253</v>
      </c>
      <c r="CQ65" s="321">
        <f t="shared" si="142"/>
        <v>3012061</v>
      </c>
      <c r="CR65" s="321">
        <f t="shared" si="142"/>
        <v>2884291</v>
      </c>
      <c r="CS65" s="321">
        <f t="shared" si="142"/>
        <v>986575</v>
      </c>
      <c r="CT65" s="350"/>
      <c r="CU65" s="67">
        <f>'MONTHLY SUMMARIES'!H45</f>
        <v>24206520</v>
      </c>
    </row>
    <row r="66" spans="1:99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/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50"/>
      <c r="CU66" s="81">
        <f>CU65-CU67</f>
        <v>23870753</v>
      </c>
    </row>
    <row r="67" spans="1:99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/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50"/>
      <c r="CU67" s="67">
        <f>GETPIVOTDATA("VALUE",'CRS ESCO pvt'!$I$2,"DATE_FILE",$CU$8,"COMPANY",$CU$6,"TRIM_CAT","Resdiential-ESCO","TRIM_LINE",A64)</f>
        <v>335767</v>
      </c>
    </row>
    <row r="68" spans="1:99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/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S68" si="143">O68-C68</f>
        <v>-897667.91000000015</v>
      </c>
      <c r="BJ68" s="46">
        <f t="shared" si="143"/>
        <v>-1151281.7999999998</v>
      </c>
      <c r="BK68" s="46">
        <f t="shared" si="143"/>
        <v>-612822.23</v>
      </c>
      <c r="BL68" s="46">
        <f t="shared" si="143"/>
        <v>-42672.280000000028</v>
      </c>
      <c r="BM68" s="46">
        <f t="shared" si="143"/>
        <v>-458966.68999999994</v>
      </c>
      <c r="BN68" s="46">
        <f t="shared" si="143"/>
        <v>-49942.079999999958</v>
      </c>
      <c r="BO68" s="46">
        <f t="shared" si="143"/>
        <v>-150713.71999999997</v>
      </c>
      <c r="BP68" s="46">
        <f t="shared" si="143"/>
        <v>-45741.75</v>
      </c>
      <c r="BQ68" s="46">
        <f t="shared" si="143"/>
        <v>1964.1300000000047</v>
      </c>
      <c r="BR68" s="46">
        <f t="shared" si="143"/>
        <v>-51947.949999999953</v>
      </c>
      <c r="BS68" s="46">
        <f t="shared" si="143"/>
        <v>-322846.33000000007</v>
      </c>
      <c r="BT68" s="46">
        <f t="shared" si="143"/>
        <v>878522.16000000015</v>
      </c>
      <c r="BU68" s="46">
        <f t="shared" si="143"/>
        <v>1100354.92</v>
      </c>
      <c r="BV68" s="46">
        <f t="shared" si="143"/>
        <v>827537</v>
      </c>
      <c r="BW68" s="46">
        <f t="shared" si="143"/>
        <v>523888</v>
      </c>
      <c r="BX68" s="46">
        <f t="shared" si="143"/>
        <v>428661</v>
      </c>
      <c r="BY68" s="46">
        <f t="shared" si="143"/>
        <v>384128</v>
      </c>
      <c r="BZ68" s="46">
        <f t="shared" si="143"/>
        <v>367026</v>
      </c>
      <c r="CA68" s="271">
        <f t="shared" si="143"/>
        <v>163271</v>
      </c>
      <c r="CB68" s="271">
        <f t="shared" si="143"/>
        <v>122382</v>
      </c>
      <c r="CC68" s="271">
        <f t="shared" si="143"/>
        <v>104303</v>
      </c>
      <c r="CD68" s="337">
        <f t="shared" si="143"/>
        <v>225163</v>
      </c>
      <c r="CE68" s="321">
        <f t="shared" si="143"/>
        <v>1022557</v>
      </c>
      <c r="CF68" s="321">
        <f t="shared" si="143"/>
        <v>543924</v>
      </c>
      <c r="CG68" s="321">
        <f t="shared" si="143"/>
        <v>1279778</v>
      </c>
      <c r="CH68" s="321">
        <f t="shared" si="143"/>
        <v>1279093</v>
      </c>
      <c r="CI68" s="321">
        <f t="shared" si="143"/>
        <v>1012765</v>
      </c>
      <c r="CJ68" s="321">
        <f t="shared" si="143"/>
        <v>729944</v>
      </c>
      <c r="CK68" s="321">
        <f t="shared" si="143"/>
        <v>442248</v>
      </c>
      <c r="CL68" s="321">
        <f t="shared" si="143"/>
        <v>471124</v>
      </c>
      <c r="CM68" s="321">
        <f t="shared" si="143"/>
        <v>631328</v>
      </c>
      <c r="CN68" s="321">
        <f t="shared" si="143"/>
        <v>269294</v>
      </c>
      <c r="CO68" s="321">
        <f t="shared" si="143"/>
        <v>729060</v>
      </c>
      <c r="CP68" s="321">
        <f t="shared" si="143"/>
        <v>1393732</v>
      </c>
      <c r="CQ68" s="321">
        <f t="shared" si="143"/>
        <v>1733651</v>
      </c>
      <c r="CR68" s="321">
        <f t="shared" si="143"/>
        <v>1992717</v>
      </c>
      <c r="CS68" s="321">
        <f t="shared" si="143"/>
        <v>1269975</v>
      </c>
      <c r="CT68" s="350"/>
      <c r="CU68" s="67">
        <f>'MONTHLY SUMMARIES'!H46</f>
        <v>7243832</v>
      </c>
    </row>
    <row r="69" spans="1:99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/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50"/>
      <c r="CU69" s="81">
        <f>CU68-CU70</f>
        <v>7148032</v>
      </c>
    </row>
    <row r="70" spans="1:99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/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50"/>
      <c r="CU70" s="67">
        <f>GETPIVOTDATA("VALUE",'CRS ESCO pvt'!$I$2,"DATE_FILE",$CU$8,"COMPANY",$CU$6,"TRIM_CAT","Low Income Resdiential-ESCO","TRIM_LINE",A64)</f>
        <v>95800</v>
      </c>
    </row>
    <row r="71" spans="1:99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/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4">O71-C71</f>
        <v>-168487.93999999994</v>
      </c>
      <c r="BJ71" s="46">
        <f t="shared" si="144"/>
        <v>-91445.379999999888</v>
      </c>
      <c r="BK71" s="46">
        <f t="shared" si="144"/>
        <v>253421.1399999999</v>
      </c>
      <c r="BL71" s="46">
        <f t="shared" si="144"/>
        <v>219398.51</v>
      </c>
      <c r="BM71" s="46">
        <f t="shared" si="144"/>
        <v>-231772.30000000005</v>
      </c>
      <c r="BN71" s="46">
        <f t="shared" si="144"/>
        <v>14867.080000000016</v>
      </c>
      <c r="BO71" s="46">
        <f t="shared" si="144"/>
        <v>-51054.489999999991</v>
      </c>
      <c r="BP71" s="46">
        <f t="shared" si="144"/>
        <v>34241.219999999972</v>
      </c>
      <c r="BQ71" s="46">
        <f t="shared" si="144"/>
        <v>2984.0899999999674</v>
      </c>
      <c r="BR71" s="46">
        <f t="shared" si="144"/>
        <v>-173654.57999999996</v>
      </c>
      <c r="BS71" s="46">
        <f t="shared" ref="BS71:CB73" si="145">Y71-M71</f>
        <v>163365.91999999993</v>
      </c>
      <c r="BT71" s="46">
        <f t="shared" si="145"/>
        <v>211390.93999999994</v>
      </c>
      <c r="BU71" s="46">
        <f t="shared" si="145"/>
        <v>-140895.33999999985</v>
      </c>
      <c r="BV71" s="46">
        <f t="shared" si="145"/>
        <v>-650382</v>
      </c>
      <c r="BW71" s="46">
        <f t="shared" si="145"/>
        <v>-447146</v>
      </c>
      <c r="BX71" s="46">
        <f t="shared" si="145"/>
        <v>-177119</v>
      </c>
      <c r="BY71" s="46">
        <f t="shared" si="145"/>
        <v>21474</v>
      </c>
      <c r="BZ71" s="46">
        <f t="shared" si="145"/>
        <v>-40023</v>
      </c>
      <c r="CA71" s="271">
        <f t="shared" si="145"/>
        <v>1611</v>
      </c>
      <c r="CB71" s="271">
        <f t="shared" si="145"/>
        <v>85730</v>
      </c>
      <c r="CC71" s="271">
        <f t="shared" ref="CC71:CL73" si="146">AI71-W71</f>
        <v>88160</v>
      </c>
      <c r="CD71" s="337">
        <f t="shared" si="146"/>
        <v>242196</v>
      </c>
      <c r="CE71" s="321">
        <f t="shared" si="146"/>
        <v>1380356</v>
      </c>
      <c r="CF71" s="321">
        <f t="shared" si="146"/>
        <v>1009637</v>
      </c>
      <c r="CG71" s="321">
        <f t="shared" si="146"/>
        <v>1066430</v>
      </c>
      <c r="CH71" s="321">
        <f t="shared" si="146"/>
        <v>693563</v>
      </c>
      <c r="CI71" s="321">
        <f t="shared" si="146"/>
        <v>528876</v>
      </c>
      <c r="CJ71" s="321">
        <f t="shared" si="146"/>
        <v>385091</v>
      </c>
      <c r="CK71" s="321">
        <f t="shared" si="146"/>
        <v>210541</v>
      </c>
      <c r="CL71" s="321">
        <f t="shared" si="146"/>
        <v>232080</v>
      </c>
      <c r="CM71" s="321">
        <f t="shared" ref="CM71:CS73" si="147">AS71-AG71</f>
        <v>218364</v>
      </c>
      <c r="CN71" s="321">
        <f t="shared" si="147"/>
        <v>24392</v>
      </c>
      <c r="CO71" s="321">
        <f t="shared" si="147"/>
        <v>190436</v>
      </c>
      <c r="CP71" s="321">
        <f t="shared" si="147"/>
        <v>299280</v>
      </c>
      <c r="CQ71" s="321">
        <f t="shared" si="147"/>
        <v>-767426</v>
      </c>
      <c r="CR71" s="321">
        <f t="shared" si="147"/>
        <v>-543205</v>
      </c>
      <c r="CS71" s="321">
        <f t="shared" si="147"/>
        <v>-498325</v>
      </c>
      <c r="CT71" s="350"/>
      <c r="CU71" s="67">
        <f>'MONTHLY SUMMARIES'!H47</f>
        <v>2595061</v>
      </c>
    </row>
    <row r="72" spans="1:99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/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4"/>
        <v>-283901.06000000006</v>
      </c>
      <c r="BJ72" s="46">
        <f t="shared" si="144"/>
        <v>29059.419999999925</v>
      </c>
      <c r="BK72" s="46">
        <f t="shared" si="144"/>
        <v>250544.59000000008</v>
      </c>
      <c r="BL72" s="46">
        <f t="shared" si="144"/>
        <v>174459.19999999995</v>
      </c>
      <c r="BM72" s="46">
        <f t="shared" si="144"/>
        <v>-155534.96999999997</v>
      </c>
      <c r="BN72" s="46">
        <f t="shared" si="144"/>
        <v>-64585.19</v>
      </c>
      <c r="BO72" s="46">
        <f t="shared" si="144"/>
        <v>-48346</v>
      </c>
      <c r="BP72" s="46">
        <f t="shared" si="144"/>
        <v>-624.77000000001863</v>
      </c>
      <c r="BQ72" s="46">
        <f t="shared" si="144"/>
        <v>24095.549999999988</v>
      </c>
      <c r="BR72" s="46">
        <f t="shared" si="144"/>
        <v>-89474.239999999991</v>
      </c>
      <c r="BS72" s="46">
        <f t="shared" si="145"/>
        <v>597081.62999999989</v>
      </c>
      <c r="BT72" s="46">
        <f t="shared" si="145"/>
        <v>615536.40999999992</v>
      </c>
      <c r="BU72" s="46">
        <f t="shared" si="145"/>
        <v>91207.830000000075</v>
      </c>
      <c r="BV72" s="46">
        <f t="shared" si="145"/>
        <v>-495109</v>
      </c>
      <c r="BW72" s="46">
        <f t="shared" si="145"/>
        <v>-371518</v>
      </c>
      <c r="BX72" s="46">
        <f t="shared" si="145"/>
        <v>-101662</v>
      </c>
      <c r="BY72" s="46">
        <f t="shared" si="145"/>
        <v>8613</v>
      </c>
      <c r="BZ72" s="46">
        <f t="shared" si="145"/>
        <v>27713</v>
      </c>
      <c r="CA72" s="271">
        <f t="shared" si="145"/>
        <v>25174</v>
      </c>
      <c r="CB72" s="271">
        <f t="shared" si="145"/>
        <v>75131</v>
      </c>
      <c r="CC72" s="271">
        <f t="shared" si="146"/>
        <v>234665</v>
      </c>
      <c r="CD72" s="337">
        <f t="shared" si="146"/>
        <v>375904</v>
      </c>
      <c r="CE72" s="321">
        <f t="shared" si="146"/>
        <v>1864064</v>
      </c>
      <c r="CF72" s="321">
        <f t="shared" si="146"/>
        <v>958853</v>
      </c>
      <c r="CG72" s="321">
        <f t="shared" si="146"/>
        <v>1440161</v>
      </c>
      <c r="CH72" s="321">
        <f t="shared" si="146"/>
        <v>578763</v>
      </c>
      <c r="CI72" s="321">
        <f t="shared" si="146"/>
        <v>671872</v>
      </c>
      <c r="CJ72" s="321">
        <f t="shared" si="146"/>
        <v>441334</v>
      </c>
      <c r="CK72" s="321">
        <f t="shared" si="146"/>
        <v>245890</v>
      </c>
      <c r="CL72" s="321">
        <f t="shared" si="146"/>
        <v>153866</v>
      </c>
      <c r="CM72" s="321">
        <f t="shared" si="147"/>
        <v>221118</v>
      </c>
      <c r="CN72" s="321">
        <f t="shared" si="147"/>
        <v>91019</v>
      </c>
      <c r="CO72" s="321">
        <f t="shared" si="147"/>
        <v>112777</v>
      </c>
      <c r="CP72" s="321">
        <f t="shared" si="147"/>
        <v>301075</v>
      </c>
      <c r="CQ72" s="321">
        <f t="shared" si="147"/>
        <v>-1429490</v>
      </c>
      <c r="CR72" s="321">
        <f t="shared" si="147"/>
        <v>-759331</v>
      </c>
      <c r="CS72" s="321">
        <f t="shared" si="147"/>
        <v>-628278</v>
      </c>
      <c r="CT72" s="350"/>
      <c r="CU72" s="67">
        <f>'MONTHLY SUMMARIES'!H48</f>
        <v>2566769</v>
      </c>
    </row>
    <row r="73" spans="1:99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/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4"/>
        <v>-201214.6099999994</v>
      </c>
      <c r="BJ73" s="46">
        <f t="shared" si="144"/>
        <v>2488867.16</v>
      </c>
      <c r="BK73" s="46">
        <f t="shared" si="144"/>
        <v>372193.76999999955</v>
      </c>
      <c r="BL73" s="46">
        <f t="shared" si="144"/>
        <v>1362593.73</v>
      </c>
      <c r="BM73" s="46">
        <f t="shared" si="144"/>
        <v>-460881.93999999994</v>
      </c>
      <c r="BN73" s="46">
        <f t="shared" si="144"/>
        <v>1125472.77</v>
      </c>
      <c r="BO73" s="46">
        <f t="shared" si="144"/>
        <v>342457.3899999999</v>
      </c>
      <c r="BP73" s="46">
        <f t="shared" si="144"/>
        <v>-263289.3899999999</v>
      </c>
      <c r="BQ73" s="46">
        <f t="shared" si="144"/>
        <v>202654.76</v>
      </c>
      <c r="BR73" s="46">
        <f t="shared" si="144"/>
        <v>-696417.31</v>
      </c>
      <c r="BS73" s="46">
        <f t="shared" si="145"/>
        <v>2578768.79</v>
      </c>
      <c r="BT73" s="46">
        <f t="shared" si="145"/>
        <v>661532.74000000022</v>
      </c>
      <c r="BU73" s="46">
        <f t="shared" si="145"/>
        <v>-242202.3200000003</v>
      </c>
      <c r="BV73" s="46">
        <f t="shared" si="145"/>
        <v>-3887363</v>
      </c>
      <c r="BW73" s="46">
        <f t="shared" si="145"/>
        <v>-1777408</v>
      </c>
      <c r="BX73" s="46">
        <f t="shared" si="145"/>
        <v>-929789</v>
      </c>
      <c r="BY73" s="46">
        <f t="shared" si="145"/>
        <v>-5086</v>
      </c>
      <c r="BZ73" s="46">
        <f t="shared" si="145"/>
        <v>-761777</v>
      </c>
      <c r="CA73" s="271">
        <f t="shared" si="145"/>
        <v>-500304</v>
      </c>
      <c r="CB73" s="271">
        <f t="shared" si="145"/>
        <v>546107</v>
      </c>
      <c r="CC73" s="271">
        <f t="shared" si="146"/>
        <v>408062</v>
      </c>
      <c r="CD73" s="337">
        <f t="shared" si="146"/>
        <v>1988262</v>
      </c>
      <c r="CE73" s="321">
        <f t="shared" si="146"/>
        <v>6666878</v>
      </c>
      <c r="CF73" s="321">
        <f t="shared" si="146"/>
        <v>4308215</v>
      </c>
      <c r="CG73" s="321">
        <f t="shared" si="146"/>
        <v>3797014</v>
      </c>
      <c r="CH73" s="321">
        <f t="shared" si="146"/>
        <v>3778635</v>
      </c>
      <c r="CI73" s="321">
        <f t="shared" si="146"/>
        <v>2431463</v>
      </c>
      <c r="CJ73" s="321">
        <f t="shared" si="146"/>
        <v>1949117</v>
      </c>
      <c r="CK73" s="321">
        <f t="shared" si="146"/>
        <v>815961</v>
      </c>
      <c r="CL73" s="321">
        <f t="shared" si="146"/>
        <v>1060847</v>
      </c>
      <c r="CM73" s="321">
        <f t="shared" si="147"/>
        <v>1561382</v>
      </c>
      <c r="CN73" s="321">
        <f t="shared" si="147"/>
        <v>41322</v>
      </c>
      <c r="CO73" s="321">
        <f t="shared" si="147"/>
        <v>1232066</v>
      </c>
      <c r="CP73" s="321">
        <f t="shared" si="147"/>
        <v>2666450</v>
      </c>
      <c r="CQ73" s="321">
        <f t="shared" si="147"/>
        <v>-5205390</v>
      </c>
      <c r="CR73" s="321">
        <f t="shared" si="147"/>
        <v>-3072486</v>
      </c>
      <c r="CS73" s="321">
        <f t="shared" si="147"/>
        <v>-1823832</v>
      </c>
      <c r="CT73" s="350"/>
      <c r="CU73" s="67">
        <f>'MONTHLY SUMMARIES'!H49</f>
        <v>8435200</v>
      </c>
    </row>
    <row r="74" spans="1:99" s="134" customFormat="1" x14ac:dyDescent="0.3">
      <c r="A74" s="151"/>
      <c r="B74" s="41" t="s">
        <v>42</v>
      </c>
      <c r="C74" s="144">
        <f t="shared" ref="C74:V74" si="148">SUM(C65:C73)</f>
        <v>37561530.989999995</v>
      </c>
      <c r="D74" s="145">
        <f t="shared" si="148"/>
        <v>36784862.519999996</v>
      </c>
      <c r="E74" s="145">
        <f t="shared" si="148"/>
        <v>24690900.280000001</v>
      </c>
      <c r="F74" s="145">
        <f t="shared" si="148"/>
        <v>14930190.59</v>
      </c>
      <c r="G74" s="145">
        <f t="shared" si="148"/>
        <v>11425488.559999999</v>
      </c>
      <c r="H74" s="145">
        <f t="shared" si="148"/>
        <v>6691491.9399999995</v>
      </c>
      <c r="I74" s="145">
        <f t="shared" si="148"/>
        <v>6984664.0300000003</v>
      </c>
      <c r="J74" s="145">
        <f t="shared" si="148"/>
        <v>6709410.7000000002</v>
      </c>
      <c r="K74" s="145">
        <f t="shared" si="148"/>
        <v>8349299.7100000009</v>
      </c>
      <c r="L74" s="146">
        <f t="shared" si="148"/>
        <v>14943358.280000001</v>
      </c>
      <c r="M74" s="145">
        <f t="shared" si="148"/>
        <v>24483763.610000003</v>
      </c>
      <c r="N74" s="145">
        <f t="shared" si="148"/>
        <v>30264855.559999995</v>
      </c>
      <c r="O74" s="145">
        <f t="shared" si="148"/>
        <v>33262367.559999995</v>
      </c>
      <c r="P74" s="145">
        <f t="shared" si="148"/>
        <v>32676280</v>
      </c>
      <c r="Q74" s="145">
        <f t="shared" si="148"/>
        <v>24528449</v>
      </c>
      <c r="R74" s="145">
        <f t="shared" si="148"/>
        <v>18649378</v>
      </c>
      <c r="S74" s="145">
        <f t="shared" si="148"/>
        <v>8519601</v>
      </c>
      <c r="T74" s="145">
        <f t="shared" si="148"/>
        <v>7714708</v>
      </c>
      <c r="U74" s="145">
        <f t="shared" si="148"/>
        <v>6708838</v>
      </c>
      <c r="V74" s="145">
        <f t="shared" si="148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/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-4299163.43</v>
      </c>
      <c r="BJ74" s="147">
        <f t="shared" ref="BJ74:BK74" si="149">SUM(BJ65:BJ73)</f>
        <v>-4108582.5200000014</v>
      </c>
      <c r="BK74" s="147">
        <f t="shared" si="149"/>
        <v>-162451.28000000119</v>
      </c>
      <c r="BL74" s="147">
        <f t="shared" ref="BL74:BM74" si="150">SUM(BL65:BL73)</f>
        <v>3719187.4099999997</v>
      </c>
      <c r="BM74" s="147">
        <f t="shared" si="150"/>
        <v>-2905887.56</v>
      </c>
      <c r="BN74" s="147">
        <f t="shared" ref="BN74:BO74" si="151">SUM(BN65:BN73)</f>
        <v>1023216.06</v>
      </c>
      <c r="BO74" s="147">
        <f t="shared" si="151"/>
        <v>-275826.03000000003</v>
      </c>
      <c r="BP74" s="147">
        <f t="shared" ref="BP74:BQ74" si="152">SUM(BP65:BP73)</f>
        <v>68697.300000000279</v>
      </c>
      <c r="BQ74" s="147">
        <f t="shared" si="152"/>
        <v>192577.28999999975</v>
      </c>
      <c r="BR74" s="147">
        <f t="shared" ref="BR74:BS74" si="153">SUM(BR65:BR73)</f>
        <v>-1659786.2800000003</v>
      </c>
      <c r="BS74" s="147">
        <f t="shared" si="153"/>
        <v>2086698.3900000006</v>
      </c>
      <c r="BT74" s="147">
        <f t="shared" ref="BT74:BU74" si="154">SUM(BT65:BT73)</f>
        <v>3644397.4399999995</v>
      </c>
      <c r="BU74" s="147">
        <f t="shared" si="154"/>
        <v>1413289.4400000013</v>
      </c>
      <c r="BV74" s="147">
        <f t="shared" ref="BV74:BW74" si="155">SUM(BV65:BV73)</f>
        <v>-3590547</v>
      </c>
      <c r="BW74" s="147">
        <f t="shared" si="155"/>
        <v>-3214249</v>
      </c>
      <c r="BX74" s="147">
        <f t="shared" ref="BX74:BY74" si="156">SUM(BX65:BX73)</f>
        <v>-2712340</v>
      </c>
      <c r="BY74" s="147">
        <f t="shared" si="156"/>
        <v>407735</v>
      </c>
      <c r="BZ74" s="147">
        <f t="shared" ref="BZ74:CA74" si="157">SUM(BZ65:BZ73)</f>
        <v>-785830</v>
      </c>
      <c r="CA74" s="272">
        <f t="shared" si="157"/>
        <v>-542896</v>
      </c>
      <c r="CB74" s="272">
        <f t="shared" ref="CB74:CC74" si="158">SUM(CB65:CB73)</f>
        <v>571372</v>
      </c>
      <c r="CC74" s="272">
        <f t="shared" si="158"/>
        <v>452307</v>
      </c>
      <c r="CD74" s="338">
        <f t="shared" ref="CD74:CE74" si="159">SUM(CD65:CD73)</f>
        <v>2167946</v>
      </c>
      <c r="CE74" s="322">
        <f t="shared" si="159"/>
        <v>13630984</v>
      </c>
      <c r="CF74" s="322">
        <f t="shared" ref="CF74:CG74" si="160">SUM(CF65:CF73)</f>
        <v>8333463</v>
      </c>
      <c r="CG74" s="322">
        <f t="shared" si="160"/>
        <v>11065610</v>
      </c>
      <c r="CH74" s="322">
        <f t="shared" ref="CH74:CI74" si="161">SUM(CH65:CH73)</f>
        <v>10100201</v>
      </c>
      <c r="CI74" s="322">
        <f t="shared" si="161"/>
        <v>7924511</v>
      </c>
      <c r="CJ74" s="322">
        <f t="shared" ref="CJ74" si="162">SUM(CJ65:CJ73)</f>
        <v>5578611</v>
      </c>
      <c r="CK74" s="322">
        <f t="shared" ref="CK74" si="163">SUM(CK65:CK73)</f>
        <v>3101562</v>
      </c>
      <c r="CL74" s="322">
        <f t="shared" ref="CL74" si="164">SUM(CL65:CL73)</f>
        <v>3187647</v>
      </c>
      <c r="CM74" s="322">
        <f t="shared" ref="CM74" si="165">SUM(CM65:CM73)</f>
        <v>3939486</v>
      </c>
      <c r="CN74" s="322">
        <f t="shared" ref="CN74" si="166">SUM(CN65:CN73)</f>
        <v>1182248</v>
      </c>
      <c r="CO74" s="322">
        <f t="shared" ref="CO74" si="167">SUM(CO65:CO73)</f>
        <v>4334883</v>
      </c>
      <c r="CP74" s="322">
        <f t="shared" ref="CP74" si="168">SUM(CP65:CP73)</f>
        <v>9433790</v>
      </c>
      <c r="CQ74" s="322">
        <f t="shared" ref="CQ74:CS74" si="169">SUM(CQ65:CQ73)</f>
        <v>-2656594</v>
      </c>
      <c r="CR74" s="322">
        <f t="shared" ref="CR74:CS74" si="170">SUM(CR65:CR73)</f>
        <v>501986</v>
      </c>
      <c r="CS74" s="322">
        <f t="shared" si="170"/>
        <v>-693885</v>
      </c>
      <c r="CT74" s="351"/>
      <c r="CU74" s="262">
        <f>CU65+CU68+CU71+CU72+CU73</f>
        <v>45047382</v>
      </c>
    </row>
    <row r="75" spans="1:9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50"/>
      <c r="CU75" s="52"/>
    </row>
    <row r="76" spans="1:99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/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S76" si="171">O76-C76</f>
        <v>-908876.93999999948</v>
      </c>
      <c r="BJ76" s="46">
        <f t="shared" si="171"/>
        <v>-1496458.2799999993</v>
      </c>
      <c r="BK76" s="46">
        <f t="shared" si="171"/>
        <v>-1920838.0600000005</v>
      </c>
      <c r="BL76" s="46">
        <f t="shared" si="171"/>
        <v>523314.55000000075</v>
      </c>
      <c r="BM76" s="46">
        <f t="shared" si="171"/>
        <v>789814.34999999963</v>
      </c>
      <c r="BN76" s="46">
        <f t="shared" si="171"/>
        <v>-424199.68000000017</v>
      </c>
      <c r="BO76" s="46">
        <f t="shared" si="171"/>
        <v>254128.29000000004</v>
      </c>
      <c r="BP76" s="46">
        <f t="shared" si="171"/>
        <v>235435.8600000001</v>
      </c>
      <c r="BQ76" s="46">
        <f t="shared" si="171"/>
        <v>412714.52</v>
      </c>
      <c r="BR76" s="46">
        <f t="shared" si="171"/>
        <v>155701.85000000009</v>
      </c>
      <c r="BS76" s="46">
        <f t="shared" si="171"/>
        <v>-9999.8499999996275</v>
      </c>
      <c r="BT76" s="46">
        <f t="shared" si="171"/>
        <v>-1481786.3399999999</v>
      </c>
      <c r="BU76" s="46">
        <f t="shared" si="171"/>
        <v>171251.24000000022</v>
      </c>
      <c r="BV76" s="46">
        <f t="shared" si="171"/>
        <v>932068</v>
      </c>
      <c r="BW76" s="46">
        <f t="shared" si="171"/>
        <v>329009</v>
      </c>
      <c r="BX76" s="46">
        <f t="shared" si="171"/>
        <v>-1350709</v>
      </c>
      <c r="BY76" s="46">
        <f t="shared" si="171"/>
        <v>-1565720</v>
      </c>
      <c r="BZ76" s="46">
        <f t="shared" si="171"/>
        <v>-385275</v>
      </c>
      <c r="CA76" s="271">
        <f t="shared" si="171"/>
        <v>-389604</v>
      </c>
      <c r="CB76" s="271">
        <f t="shared" si="171"/>
        <v>-369896</v>
      </c>
      <c r="CC76" s="271">
        <f t="shared" si="171"/>
        <v>-466407</v>
      </c>
      <c r="CD76" s="337">
        <f t="shared" si="171"/>
        <v>-637479</v>
      </c>
      <c r="CE76" s="321">
        <f t="shared" si="171"/>
        <v>-900960</v>
      </c>
      <c r="CF76" s="321">
        <f t="shared" si="171"/>
        <v>759163</v>
      </c>
      <c r="CG76" s="321">
        <f t="shared" si="171"/>
        <v>524458</v>
      </c>
      <c r="CH76" s="321">
        <f t="shared" si="171"/>
        <v>1014999</v>
      </c>
      <c r="CI76" s="321">
        <f t="shared" si="171"/>
        <v>1330885</v>
      </c>
      <c r="CJ76" s="321">
        <f t="shared" si="171"/>
        <v>1814501</v>
      </c>
      <c r="CK76" s="321">
        <f t="shared" si="171"/>
        <v>800830</v>
      </c>
      <c r="CL76" s="321">
        <f t="shared" si="171"/>
        <v>585466</v>
      </c>
      <c r="CM76" s="321">
        <f t="shared" si="171"/>
        <v>796512</v>
      </c>
      <c r="CN76" s="321">
        <f t="shared" si="171"/>
        <v>321020</v>
      </c>
      <c r="CO76" s="321">
        <f t="shared" si="171"/>
        <v>363283</v>
      </c>
      <c r="CP76" s="321">
        <f t="shared" si="171"/>
        <v>1746151</v>
      </c>
      <c r="CQ76" s="321">
        <f t="shared" si="171"/>
        <v>1475685</v>
      </c>
      <c r="CR76" s="321">
        <f t="shared" si="171"/>
        <v>2531072</v>
      </c>
      <c r="CS76" s="321">
        <f t="shared" si="171"/>
        <v>1791960</v>
      </c>
      <c r="CT76" s="350"/>
      <c r="CU76" s="67">
        <f>'MONTHLY SUMMARIES'!H52</f>
        <v>12509124</v>
      </c>
    </row>
    <row r="77" spans="1:99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/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50"/>
      <c r="CU77" s="81">
        <f>CU76-CU78</f>
        <v>12390329</v>
      </c>
    </row>
    <row r="78" spans="1:99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/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50"/>
      <c r="CU78" s="67">
        <f>GETPIVOTDATA("VALUE",'CRS ESCO pvt'!$I$2,"DATE_FILE",$CU$8,"COMPANY",$CU$6,"TRIM_CAT","Resdiential-ESCO","TRIM_LINE",A75)</f>
        <v>118795</v>
      </c>
    </row>
    <row r="79" spans="1:99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/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S79" si="172">O79-C79</f>
        <v>-280296.4299999997</v>
      </c>
      <c r="BJ79" s="46">
        <f t="shared" si="172"/>
        <v>-735009.5</v>
      </c>
      <c r="BK79" s="46">
        <f t="shared" si="172"/>
        <v>-752146.58999999985</v>
      </c>
      <c r="BL79" s="46">
        <f t="shared" si="172"/>
        <v>-372925.29999999981</v>
      </c>
      <c r="BM79" s="46">
        <f t="shared" si="172"/>
        <v>-300197.87000000011</v>
      </c>
      <c r="BN79" s="46">
        <f t="shared" si="172"/>
        <v>-234763.1399999999</v>
      </c>
      <c r="BO79" s="46">
        <f t="shared" si="172"/>
        <v>4086.890000000014</v>
      </c>
      <c r="BP79" s="46">
        <f t="shared" si="172"/>
        <v>-48882.229999999981</v>
      </c>
      <c r="BQ79" s="46">
        <f t="shared" si="172"/>
        <v>88952.920000000042</v>
      </c>
      <c r="BR79" s="46">
        <f t="shared" si="172"/>
        <v>93383.040000000037</v>
      </c>
      <c r="BS79" s="46">
        <f t="shared" si="172"/>
        <v>-91553.169999999925</v>
      </c>
      <c r="BT79" s="46">
        <f t="shared" si="172"/>
        <v>-482591.91999999993</v>
      </c>
      <c r="BU79" s="46">
        <f t="shared" si="172"/>
        <v>573442.37999999989</v>
      </c>
      <c r="BV79" s="46">
        <f t="shared" si="172"/>
        <v>962471</v>
      </c>
      <c r="BW79" s="46">
        <f t="shared" si="172"/>
        <v>721231</v>
      </c>
      <c r="BX79" s="46">
        <f t="shared" si="172"/>
        <v>547529</v>
      </c>
      <c r="BY79" s="46">
        <f t="shared" si="172"/>
        <v>141063</v>
      </c>
      <c r="BZ79" s="46">
        <f t="shared" si="172"/>
        <v>271904</v>
      </c>
      <c r="CA79" s="271">
        <f t="shared" si="172"/>
        <v>287960</v>
      </c>
      <c r="CB79" s="271">
        <f t="shared" si="172"/>
        <v>76060</v>
      </c>
      <c r="CC79" s="271">
        <f t="shared" si="172"/>
        <v>-62440</v>
      </c>
      <c r="CD79" s="337">
        <f t="shared" si="172"/>
        <v>-136652</v>
      </c>
      <c r="CE79" s="321">
        <f t="shared" si="172"/>
        <v>212945</v>
      </c>
      <c r="CF79" s="321">
        <f t="shared" si="172"/>
        <v>923424</v>
      </c>
      <c r="CG79" s="321">
        <f t="shared" si="172"/>
        <v>652909</v>
      </c>
      <c r="CH79" s="321">
        <f t="shared" si="172"/>
        <v>931410</v>
      </c>
      <c r="CI79" s="321">
        <f t="shared" si="172"/>
        <v>1166762</v>
      </c>
      <c r="CJ79" s="321">
        <f t="shared" si="172"/>
        <v>815405</v>
      </c>
      <c r="CK79" s="321">
        <f t="shared" si="172"/>
        <v>582045</v>
      </c>
      <c r="CL79" s="321">
        <f t="shared" si="172"/>
        <v>271193</v>
      </c>
      <c r="CM79" s="321">
        <f t="shared" si="172"/>
        <v>282522</v>
      </c>
      <c r="CN79" s="321">
        <f t="shared" si="172"/>
        <v>315260</v>
      </c>
      <c r="CO79" s="321">
        <f t="shared" si="172"/>
        <v>357608</v>
      </c>
      <c r="CP79" s="321">
        <f t="shared" si="172"/>
        <v>1073949</v>
      </c>
      <c r="CQ79" s="321">
        <f t="shared" si="172"/>
        <v>821770</v>
      </c>
      <c r="CR79" s="321">
        <f t="shared" si="172"/>
        <v>1439713</v>
      </c>
      <c r="CS79" s="321">
        <f t="shared" si="172"/>
        <v>1560994</v>
      </c>
      <c r="CT79" s="350"/>
      <c r="CU79" s="67">
        <f>'MONTHLY SUMMARIES'!H53</f>
        <v>5466460</v>
      </c>
    </row>
    <row r="80" spans="1:99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/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50"/>
      <c r="CU80" s="81">
        <f>CU79-CU81</f>
        <v>5404550</v>
      </c>
    </row>
    <row r="81" spans="1:99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/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50"/>
      <c r="CU81" s="67">
        <f>GETPIVOTDATA("VALUE",'CRS ESCO pvt'!$I$2,"DATE_FILE",$CU$8,"COMPANY",$CU$6,"TRIM_CAT","Low Income Resdiential-ESCO","TRIM_LINE",A75)</f>
        <v>61910</v>
      </c>
    </row>
    <row r="82" spans="1:99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/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73">O82-C82</f>
        <v>32060.429999999935</v>
      </c>
      <c r="BJ82" s="46">
        <f t="shared" si="173"/>
        <v>377174.88</v>
      </c>
      <c r="BK82" s="46">
        <f t="shared" si="173"/>
        <v>149476.1399999999</v>
      </c>
      <c r="BL82" s="46">
        <f t="shared" si="173"/>
        <v>126905.06999999995</v>
      </c>
      <c r="BM82" s="46">
        <f t="shared" si="173"/>
        <v>46698.119999999995</v>
      </c>
      <c r="BN82" s="46">
        <f t="shared" si="173"/>
        <v>-120008.28999999998</v>
      </c>
      <c r="BO82" s="46">
        <f t="shared" si="173"/>
        <v>43219.31</v>
      </c>
      <c r="BP82" s="46">
        <f t="shared" si="173"/>
        <v>14353.089999999997</v>
      </c>
      <c r="BQ82" s="46">
        <f t="shared" si="173"/>
        <v>36954.579999999987</v>
      </c>
      <c r="BR82" s="46">
        <f t="shared" si="173"/>
        <v>-6309.140000000014</v>
      </c>
      <c r="BS82" s="46">
        <f t="shared" ref="BS82:CB84" si="174">Y82-M82</f>
        <v>25290.840000000026</v>
      </c>
      <c r="BT82" s="46">
        <f t="shared" si="174"/>
        <v>-182055.66000000003</v>
      </c>
      <c r="BU82" s="46">
        <f t="shared" si="174"/>
        <v>-88836.239999999991</v>
      </c>
      <c r="BV82" s="46">
        <f t="shared" si="174"/>
        <v>-338892</v>
      </c>
      <c r="BW82" s="46">
        <f t="shared" si="174"/>
        <v>-278529</v>
      </c>
      <c r="BX82" s="46">
        <f t="shared" si="174"/>
        <v>-177328</v>
      </c>
      <c r="BY82" s="46">
        <f t="shared" si="174"/>
        <v>-101815</v>
      </c>
      <c r="BZ82" s="46">
        <f t="shared" si="174"/>
        <v>-29459</v>
      </c>
      <c r="CA82" s="271">
        <f t="shared" si="174"/>
        <v>-46460</v>
      </c>
      <c r="CB82" s="271">
        <f t="shared" si="174"/>
        <v>-33746</v>
      </c>
      <c r="CC82" s="271">
        <f t="shared" ref="CC82:CL84" si="175">AI82-W82</f>
        <v>-23492</v>
      </c>
      <c r="CD82" s="337">
        <f t="shared" si="175"/>
        <v>-26462</v>
      </c>
      <c r="CE82" s="321">
        <f t="shared" si="175"/>
        <v>188232</v>
      </c>
      <c r="CF82" s="321">
        <f t="shared" si="175"/>
        <v>330865</v>
      </c>
      <c r="CG82" s="321">
        <f t="shared" si="175"/>
        <v>452672</v>
      </c>
      <c r="CH82" s="321">
        <f t="shared" si="175"/>
        <v>225268</v>
      </c>
      <c r="CI82" s="321">
        <f t="shared" si="175"/>
        <v>185439</v>
      </c>
      <c r="CJ82" s="321">
        <f t="shared" si="175"/>
        <v>256341</v>
      </c>
      <c r="CK82" s="321">
        <f t="shared" si="175"/>
        <v>190653</v>
      </c>
      <c r="CL82" s="321">
        <f t="shared" si="175"/>
        <v>77574</v>
      </c>
      <c r="CM82" s="321">
        <f t="shared" ref="CM82:CS84" si="176">AS82-AG82</f>
        <v>158005</v>
      </c>
      <c r="CN82" s="321">
        <f t="shared" si="176"/>
        <v>93065</v>
      </c>
      <c r="CO82" s="321">
        <f t="shared" si="176"/>
        <v>60806</v>
      </c>
      <c r="CP82" s="321">
        <f t="shared" si="176"/>
        <v>217756</v>
      </c>
      <c r="CQ82" s="321">
        <f t="shared" si="176"/>
        <v>-28705</v>
      </c>
      <c r="CR82" s="321">
        <f t="shared" si="176"/>
        <v>12175</v>
      </c>
      <c r="CS82" s="321">
        <f t="shared" si="176"/>
        <v>-209496</v>
      </c>
      <c r="CT82" s="350"/>
      <c r="CU82" s="67">
        <f>'MONTHLY SUMMARIES'!H54</f>
        <v>1039457</v>
      </c>
    </row>
    <row r="83" spans="1:99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/>
      <c r="BA83" s="297"/>
      <c r="BB83" s="297"/>
      <c r="BC83" s="297"/>
      <c r="BD83" s="297"/>
      <c r="BE83" s="297"/>
      <c r="BF83" s="297"/>
      <c r="BG83" s="297"/>
      <c r="BH83" s="297"/>
      <c r="BI83" s="45">
        <f t="shared" si="173"/>
        <v>-53373.020000000019</v>
      </c>
      <c r="BJ83" s="46">
        <f t="shared" si="173"/>
        <v>139106.05000000005</v>
      </c>
      <c r="BK83" s="46">
        <f t="shared" si="173"/>
        <v>258210.79000000004</v>
      </c>
      <c r="BL83" s="46">
        <f t="shared" si="173"/>
        <v>149066.5</v>
      </c>
      <c r="BM83" s="46">
        <f t="shared" si="173"/>
        <v>24515.179999999993</v>
      </c>
      <c r="BN83" s="46">
        <f t="shared" si="173"/>
        <v>-30508.359999999986</v>
      </c>
      <c r="BO83" s="46">
        <f t="shared" si="173"/>
        <v>-17524.98000000001</v>
      </c>
      <c r="BP83" s="46">
        <f t="shared" si="173"/>
        <v>26873.149999999994</v>
      </c>
      <c r="BQ83" s="46">
        <f t="shared" si="173"/>
        <v>-26277.910000000003</v>
      </c>
      <c r="BR83" s="46">
        <f t="shared" si="173"/>
        <v>15987.5</v>
      </c>
      <c r="BS83" s="46">
        <f t="shared" si="174"/>
        <v>35864.210000000021</v>
      </c>
      <c r="BT83" s="46">
        <f t="shared" si="174"/>
        <v>80304.709999999963</v>
      </c>
      <c r="BU83" s="46">
        <f t="shared" si="174"/>
        <v>35295.680000000051</v>
      </c>
      <c r="BV83" s="46">
        <f t="shared" si="174"/>
        <v>-88718</v>
      </c>
      <c r="BW83" s="46">
        <f t="shared" si="174"/>
        <v>-279667</v>
      </c>
      <c r="BX83" s="46">
        <f t="shared" si="174"/>
        <v>-150030</v>
      </c>
      <c r="BY83" s="46">
        <f t="shared" si="174"/>
        <v>-129383</v>
      </c>
      <c r="BZ83" s="46">
        <f t="shared" si="174"/>
        <v>-63740</v>
      </c>
      <c r="CA83" s="271">
        <f t="shared" si="174"/>
        <v>1015</v>
      </c>
      <c r="CB83" s="271">
        <f t="shared" si="174"/>
        <v>-7199</v>
      </c>
      <c r="CC83" s="271">
        <f t="shared" si="175"/>
        <v>-33063</v>
      </c>
      <c r="CD83" s="337">
        <f t="shared" si="175"/>
        <v>874</v>
      </c>
      <c r="CE83" s="321">
        <f t="shared" si="175"/>
        <v>239556</v>
      </c>
      <c r="CF83" s="321">
        <f t="shared" si="175"/>
        <v>341340</v>
      </c>
      <c r="CG83" s="321">
        <f t="shared" si="175"/>
        <v>388987</v>
      </c>
      <c r="CH83" s="321">
        <f t="shared" si="175"/>
        <v>157640</v>
      </c>
      <c r="CI83" s="321">
        <f t="shared" si="175"/>
        <v>97781</v>
      </c>
      <c r="CJ83" s="321">
        <f t="shared" si="175"/>
        <v>186186</v>
      </c>
      <c r="CK83" s="321">
        <f t="shared" si="175"/>
        <v>189237</v>
      </c>
      <c r="CL83" s="321">
        <f t="shared" si="175"/>
        <v>114674</v>
      </c>
      <c r="CM83" s="321">
        <f t="shared" si="176"/>
        <v>114050</v>
      </c>
      <c r="CN83" s="321">
        <f t="shared" si="176"/>
        <v>53413</v>
      </c>
      <c r="CO83" s="321">
        <f t="shared" si="176"/>
        <v>48415</v>
      </c>
      <c r="CP83" s="321">
        <f t="shared" si="176"/>
        <v>140357</v>
      </c>
      <c r="CQ83" s="321">
        <f t="shared" si="176"/>
        <v>-88256</v>
      </c>
      <c r="CR83" s="321">
        <f t="shared" si="176"/>
        <v>-223083</v>
      </c>
      <c r="CS83" s="321">
        <f t="shared" si="176"/>
        <v>-254421</v>
      </c>
      <c r="CT83" s="350"/>
      <c r="CU83" s="67">
        <f>'MONTHLY SUMMARIES'!H55</f>
        <v>773802</v>
      </c>
    </row>
    <row r="84" spans="1:99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/>
      <c r="BA84" s="297"/>
      <c r="BB84" s="297"/>
      <c r="BC84" s="297"/>
      <c r="BD84" s="297"/>
      <c r="BE84" s="297"/>
      <c r="BF84" s="297"/>
      <c r="BG84" s="297"/>
      <c r="BH84" s="297"/>
      <c r="BI84" s="45">
        <f t="shared" si="173"/>
        <v>44906.010000000009</v>
      </c>
      <c r="BJ84" s="46">
        <f t="shared" si="173"/>
        <v>626265.60999999987</v>
      </c>
      <c r="BK84" s="46">
        <f t="shared" si="173"/>
        <v>741255.60000000009</v>
      </c>
      <c r="BL84" s="46">
        <f t="shared" si="173"/>
        <v>246847.39000000013</v>
      </c>
      <c r="BM84" s="46">
        <f t="shared" si="173"/>
        <v>560177.30000000005</v>
      </c>
      <c r="BN84" s="46">
        <f t="shared" si="173"/>
        <v>-410464.70999999996</v>
      </c>
      <c r="BO84" s="46">
        <f t="shared" si="173"/>
        <v>765638.14</v>
      </c>
      <c r="BP84" s="46">
        <f t="shared" si="173"/>
        <v>420494.94999999995</v>
      </c>
      <c r="BQ84" s="46">
        <f t="shared" si="173"/>
        <v>-133775.69999999995</v>
      </c>
      <c r="BR84" s="46">
        <f t="shared" si="173"/>
        <v>232052.51</v>
      </c>
      <c r="BS84" s="46">
        <f t="shared" si="174"/>
        <v>-117808.41999999993</v>
      </c>
      <c r="BT84" s="46">
        <f t="shared" si="174"/>
        <v>567404.27</v>
      </c>
      <c r="BU84" s="46">
        <f t="shared" si="174"/>
        <v>-104720.89999999991</v>
      </c>
      <c r="BV84" s="46">
        <f t="shared" si="174"/>
        <v>-401240</v>
      </c>
      <c r="BW84" s="46">
        <f t="shared" si="174"/>
        <v>-1141263</v>
      </c>
      <c r="BX84" s="46">
        <f t="shared" si="174"/>
        <v>-972121</v>
      </c>
      <c r="BY84" s="46">
        <f t="shared" si="174"/>
        <v>-979158</v>
      </c>
      <c r="BZ84" s="46">
        <f t="shared" si="174"/>
        <v>-17289</v>
      </c>
      <c r="CA84" s="271">
        <f t="shared" si="174"/>
        <v>-493180</v>
      </c>
      <c r="CB84" s="271">
        <f t="shared" si="174"/>
        <v>-386805</v>
      </c>
      <c r="CC84" s="271">
        <f t="shared" si="175"/>
        <v>255941</v>
      </c>
      <c r="CD84" s="337">
        <f t="shared" si="175"/>
        <v>4914</v>
      </c>
      <c r="CE84" s="321">
        <f t="shared" si="175"/>
        <v>1161358</v>
      </c>
      <c r="CF84" s="321">
        <f t="shared" si="175"/>
        <v>2038085</v>
      </c>
      <c r="CG84" s="321">
        <f t="shared" si="175"/>
        <v>1942211</v>
      </c>
      <c r="CH84" s="321">
        <f t="shared" si="175"/>
        <v>-42807</v>
      </c>
      <c r="CI84" s="321">
        <f t="shared" si="175"/>
        <v>800867</v>
      </c>
      <c r="CJ84" s="321">
        <f t="shared" si="175"/>
        <v>721222</v>
      </c>
      <c r="CK84" s="321">
        <f t="shared" si="175"/>
        <v>684580</v>
      </c>
      <c r="CL84" s="321">
        <f t="shared" si="175"/>
        <v>272844</v>
      </c>
      <c r="CM84" s="321">
        <f t="shared" si="176"/>
        <v>536380</v>
      </c>
      <c r="CN84" s="321">
        <f t="shared" si="176"/>
        <v>350330</v>
      </c>
      <c r="CO84" s="321">
        <f t="shared" si="176"/>
        <v>-41613</v>
      </c>
      <c r="CP84" s="321">
        <f t="shared" si="176"/>
        <v>579487</v>
      </c>
      <c r="CQ84" s="321">
        <f t="shared" si="176"/>
        <v>-508553</v>
      </c>
      <c r="CR84" s="321">
        <f t="shared" si="176"/>
        <v>-1752897</v>
      </c>
      <c r="CS84" s="321">
        <f t="shared" si="176"/>
        <v>-1554776</v>
      </c>
      <c r="CT84" s="350"/>
      <c r="CU84" s="67">
        <f>'MONTHLY SUMMARIES'!H56</f>
        <v>2086503</v>
      </c>
    </row>
    <row r="85" spans="1:99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77">SUM(D76:D84)</f>
        <v>21799000.240000002</v>
      </c>
      <c r="E85" s="145">
        <f t="shared" si="177"/>
        <v>20709964.120000001</v>
      </c>
      <c r="F85" s="145">
        <f t="shared" si="177"/>
        <v>15695488.789999999</v>
      </c>
      <c r="G85" s="145">
        <f t="shared" si="177"/>
        <v>10065126.92</v>
      </c>
      <c r="H85" s="145">
        <f t="shared" si="177"/>
        <v>6902320.1800000006</v>
      </c>
      <c r="I85" s="145">
        <f t="shared" si="177"/>
        <v>3954948.3499999996</v>
      </c>
      <c r="J85" s="145">
        <f t="shared" si="177"/>
        <v>3809661.1800000006</v>
      </c>
      <c r="K85" s="145">
        <f t="shared" si="177"/>
        <v>4060337.59</v>
      </c>
      <c r="L85" s="146">
        <f t="shared" si="177"/>
        <v>4341955.24</v>
      </c>
      <c r="M85" s="145">
        <f t="shared" si="177"/>
        <v>7908454.3899999997</v>
      </c>
      <c r="N85" s="145">
        <f t="shared" si="177"/>
        <v>14739438.940000001</v>
      </c>
      <c r="O85" s="145">
        <f t="shared" si="177"/>
        <v>15993415.84</v>
      </c>
      <c r="P85" s="145">
        <f t="shared" si="177"/>
        <v>20710079</v>
      </c>
      <c r="Q85" s="145">
        <f t="shared" ref="Q85:V85" si="178">SUM(Q76:Q84)</f>
        <v>19185922</v>
      </c>
      <c r="R85" s="145">
        <f t="shared" si="178"/>
        <v>16368697</v>
      </c>
      <c r="S85" s="145">
        <f t="shared" si="178"/>
        <v>11186134</v>
      </c>
      <c r="T85" s="145">
        <f t="shared" si="178"/>
        <v>5682376</v>
      </c>
      <c r="U85" s="145">
        <f t="shared" si="178"/>
        <v>5004496</v>
      </c>
      <c r="V85" s="145">
        <f t="shared" si="178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/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-1165579.9499999993</v>
      </c>
      <c r="BJ85" s="147">
        <f t="shared" ref="BJ85:BK85" si="179">SUM(BJ76:BJ84)</f>
        <v>-1088921.2399999995</v>
      </c>
      <c r="BK85" s="147">
        <f t="shared" si="179"/>
        <v>-1524042.1200000006</v>
      </c>
      <c r="BL85" s="147">
        <f t="shared" ref="BL85:BM85" si="180">SUM(BL76:BL84)</f>
        <v>673208.21000000101</v>
      </c>
      <c r="BM85" s="147">
        <f t="shared" si="180"/>
        <v>1121007.0799999996</v>
      </c>
      <c r="BN85" s="147">
        <f t="shared" ref="BN85:BO85" si="181">SUM(BN76:BN84)</f>
        <v>-1219944.1800000002</v>
      </c>
      <c r="BO85" s="147">
        <f t="shared" si="181"/>
        <v>1049547.6499999999</v>
      </c>
      <c r="BP85" s="147">
        <f t="shared" ref="BP85:BQ85" si="182">SUM(BP76:BP84)</f>
        <v>648274.82000000007</v>
      </c>
      <c r="BQ85" s="147">
        <f t="shared" si="182"/>
        <v>378568.41000000003</v>
      </c>
      <c r="BR85" s="147">
        <f t="shared" ref="BR85:BS85" si="183">SUM(BR76:BR84)</f>
        <v>490815.76000000013</v>
      </c>
      <c r="BS85" s="147">
        <f t="shared" si="183"/>
        <v>-158206.38999999943</v>
      </c>
      <c r="BT85" s="147">
        <f t="shared" ref="BT85:BU85" si="184">SUM(BT76:BT84)</f>
        <v>-1498724.94</v>
      </c>
      <c r="BU85" s="147">
        <f t="shared" si="184"/>
        <v>586432.16000000027</v>
      </c>
      <c r="BV85" s="147">
        <f t="shared" ref="BV85:BW85" si="185">SUM(BV76:BV84)</f>
        <v>1065689</v>
      </c>
      <c r="BW85" s="147">
        <f t="shared" si="185"/>
        <v>-649219</v>
      </c>
      <c r="BX85" s="147">
        <f t="shared" ref="BX85:BY85" si="186">SUM(BX76:BX84)</f>
        <v>-2102659</v>
      </c>
      <c r="BY85" s="147">
        <f t="shared" si="186"/>
        <v>-2635013</v>
      </c>
      <c r="BZ85" s="147">
        <f t="shared" ref="BZ85:CA85" si="187">SUM(BZ76:BZ84)</f>
        <v>-223859</v>
      </c>
      <c r="CA85" s="272">
        <f t="shared" si="187"/>
        <v>-640269</v>
      </c>
      <c r="CB85" s="272">
        <f t="shared" ref="CB85:CC85" si="188">SUM(CB76:CB84)</f>
        <v>-721586</v>
      </c>
      <c r="CC85" s="272">
        <f t="shared" si="188"/>
        <v>-329461</v>
      </c>
      <c r="CD85" s="338">
        <f t="shared" ref="CD85:CE85" si="189">SUM(CD76:CD84)</f>
        <v>-794805</v>
      </c>
      <c r="CE85" s="322">
        <f t="shared" si="189"/>
        <v>901131</v>
      </c>
      <c r="CF85" s="322">
        <f t="shared" ref="CF85:CG85" si="190">SUM(CF76:CF84)</f>
        <v>4392877</v>
      </c>
      <c r="CG85" s="322">
        <f t="shared" si="190"/>
        <v>3961237</v>
      </c>
      <c r="CH85" s="322">
        <f t="shared" ref="CH85:CI85" si="191">SUM(CH76:CH84)</f>
        <v>2286510</v>
      </c>
      <c r="CI85" s="322">
        <f t="shared" si="191"/>
        <v>3581734</v>
      </c>
      <c r="CJ85" s="322">
        <f t="shared" ref="CJ85" si="192">SUM(CJ76:CJ84)</f>
        <v>3793655</v>
      </c>
      <c r="CK85" s="322">
        <f t="shared" ref="CK85" si="193">SUM(CK76:CK84)</f>
        <v>2447345</v>
      </c>
      <c r="CL85" s="322">
        <f t="shared" ref="CL85" si="194">SUM(CL76:CL84)</f>
        <v>1321751</v>
      </c>
      <c r="CM85" s="322">
        <f t="shared" ref="CM85" si="195">SUM(CM76:CM84)</f>
        <v>1887469</v>
      </c>
      <c r="CN85" s="322">
        <f t="shared" ref="CN85" si="196">SUM(CN76:CN84)</f>
        <v>1133088</v>
      </c>
      <c r="CO85" s="322">
        <f t="shared" ref="CO85" si="197">SUM(CO76:CO84)</f>
        <v>788499</v>
      </c>
      <c r="CP85" s="322">
        <f t="shared" ref="CP85" si="198">SUM(CP76:CP84)</f>
        <v>3757700</v>
      </c>
      <c r="CQ85" s="322">
        <f t="shared" ref="CQ85:CS85" si="199">SUM(CQ76:CQ84)</f>
        <v>1671941</v>
      </c>
      <c r="CR85" s="322">
        <f t="shared" ref="CR85:CS85" si="200">SUM(CR76:CR84)</f>
        <v>2006980</v>
      </c>
      <c r="CS85" s="322">
        <f t="shared" si="200"/>
        <v>1334261</v>
      </c>
      <c r="CT85" s="351"/>
      <c r="CU85" s="262">
        <f>CU76+CU79+CU82+CU83+CU84</f>
        <v>21875346</v>
      </c>
    </row>
    <row r="86" spans="1:9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50"/>
      <c r="CU86" s="52"/>
    </row>
    <row r="87" spans="1:99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/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S87" si="201">O87-C87</f>
        <v>-844743.38000000268</v>
      </c>
      <c r="BJ87" s="46">
        <f t="shared" si="201"/>
        <v>1084856.8800000027</v>
      </c>
      <c r="BK87" s="46">
        <f t="shared" si="201"/>
        <v>4122406.6700000018</v>
      </c>
      <c r="BL87" s="46">
        <f t="shared" si="201"/>
        <v>5194700.2100000009</v>
      </c>
      <c r="BM87" s="46">
        <f t="shared" si="201"/>
        <v>7902571.2299999967</v>
      </c>
      <c r="BN87" s="46">
        <f t="shared" si="201"/>
        <v>11831808.18</v>
      </c>
      <c r="BO87" s="46">
        <f t="shared" si="201"/>
        <v>13979856.840000004</v>
      </c>
      <c r="BP87" s="46">
        <f t="shared" si="201"/>
        <v>16226394.960000001</v>
      </c>
      <c r="BQ87" s="46">
        <f t="shared" si="201"/>
        <v>16771818.780000001</v>
      </c>
      <c r="BR87" s="46">
        <f t="shared" si="201"/>
        <v>16613352.039999999</v>
      </c>
      <c r="BS87" s="46">
        <f t="shared" si="201"/>
        <v>16099539.770000003</v>
      </c>
      <c r="BT87" s="46">
        <f t="shared" si="201"/>
        <v>15641969.700000003</v>
      </c>
      <c r="BU87" s="46">
        <f t="shared" si="201"/>
        <v>13573280.5</v>
      </c>
      <c r="BV87" s="46">
        <f t="shared" si="201"/>
        <v>14098399</v>
      </c>
      <c r="BW87" s="46">
        <f t="shared" si="201"/>
        <v>11914548</v>
      </c>
      <c r="BX87" s="46">
        <f t="shared" si="201"/>
        <v>10554700</v>
      </c>
      <c r="BY87" s="46">
        <f t="shared" si="201"/>
        <v>5316286</v>
      </c>
      <c r="BZ87" s="46">
        <f t="shared" si="201"/>
        <v>1300065</v>
      </c>
      <c r="CA87" s="271">
        <f t="shared" si="201"/>
        <v>-359007</v>
      </c>
      <c r="CB87" s="271">
        <f t="shared" si="201"/>
        <v>-2602694</v>
      </c>
      <c r="CC87" s="271">
        <f t="shared" si="201"/>
        <v>-3868204</v>
      </c>
      <c r="CD87" s="337">
        <f t="shared" si="201"/>
        <v>-4478071</v>
      </c>
      <c r="CE87" s="321">
        <f t="shared" si="201"/>
        <v>-4321151</v>
      </c>
      <c r="CF87" s="321">
        <f t="shared" si="201"/>
        <v>-4200386</v>
      </c>
      <c r="CG87" s="321">
        <f t="shared" si="201"/>
        <v>-3013631</v>
      </c>
      <c r="CH87" s="321">
        <f t="shared" si="201"/>
        <v>-2895394</v>
      </c>
      <c r="CI87" s="321">
        <f t="shared" si="201"/>
        <v>-6005993</v>
      </c>
      <c r="CJ87" s="321">
        <f t="shared" si="201"/>
        <v>-6031209</v>
      </c>
      <c r="CK87" s="321">
        <f t="shared" si="201"/>
        <v>-2744130</v>
      </c>
      <c r="CL87" s="321">
        <f t="shared" si="201"/>
        <v>-1936610</v>
      </c>
      <c r="CM87" s="321">
        <f t="shared" si="201"/>
        <v>-708191</v>
      </c>
      <c r="CN87" s="321">
        <f t="shared" si="201"/>
        <v>-2384828</v>
      </c>
      <c r="CO87" s="321">
        <f t="shared" si="201"/>
        <v>-2502457</v>
      </c>
      <c r="CP87" s="321">
        <f t="shared" si="201"/>
        <v>-1789489</v>
      </c>
      <c r="CQ87" s="321">
        <f t="shared" si="201"/>
        <v>-912929</v>
      </c>
      <c r="CR87" s="321">
        <f t="shared" si="201"/>
        <v>216343</v>
      </c>
      <c r="CS87" s="321">
        <f t="shared" si="201"/>
        <v>323825</v>
      </c>
      <c r="CT87" s="350"/>
      <c r="CU87" s="67">
        <f>'MONTHLY SUMMARIES'!H59</f>
        <v>49032308</v>
      </c>
    </row>
    <row r="88" spans="1:99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/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50"/>
      <c r="CU88" s="81">
        <f>CU87-CU89</f>
        <v>48558925</v>
      </c>
    </row>
    <row r="89" spans="1:99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/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50"/>
      <c r="CU89" s="67">
        <f>GETPIVOTDATA("VALUE",'CRS ESCO pvt'!$I$2,"DATE_FILE",$CU$8,"COMPANY",$CU$6,"TRIM_CAT","Resdiential-ESCO","TRIM_LINE",A86)</f>
        <v>473383</v>
      </c>
    </row>
    <row r="90" spans="1:99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/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S90" si="202">O90-C90</f>
        <v>3238755.1900000013</v>
      </c>
      <c r="BJ90" s="46">
        <f t="shared" si="202"/>
        <v>3589117.9800000004</v>
      </c>
      <c r="BK90" s="46">
        <f t="shared" si="202"/>
        <v>4040354.1000000015</v>
      </c>
      <c r="BL90" s="46">
        <f t="shared" si="202"/>
        <v>4192972.1400000006</v>
      </c>
      <c r="BM90" s="46">
        <f t="shared" si="202"/>
        <v>5789420.1600000001</v>
      </c>
      <c r="BN90" s="46">
        <f t="shared" si="202"/>
        <v>6130958.1799999997</v>
      </c>
      <c r="BO90" s="46">
        <f t="shared" si="202"/>
        <v>6713118.1700000018</v>
      </c>
      <c r="BP90" s="46">
        <f t="shared" si="202"/>
        <v>7244499.8599999994</v>
      </c>
      <c r="BQ90" s="46">
        <f t="shared" si="202"/>
        <v>7208294.4499999993</v>
      </c>
      <c r="BR90" s="46">
        <f t="shared" si="202"/>
        <v>7070193.9699999988</v>
      </c>
      <c r="BS90" s="46">
        <f t="shared" si="202"/>
        <v>6844782.4699999988</v>
      </c>
      <c r="BT90" s="46">
        <f t="shared" si="202"/>
        <v>6693406.1000000015</v>
      </c>
      <c r="BU90" s="46">
        <f t="shared" si="202"/>
        <v>6179965.2199999988</v>
      </c>
      <c r="BV90" s="46">
        <f t="shared" si="202"/>
        <v>6849880</v>
      </c>
      <c r="BW90" s="46">
        <f t="shared" si="202"/>
        <v>6845736</v>
      </c>
      <c r="BX90" s="46">
        <f t="shared" si="202"/>
        <v>7161885</v>
      </c>
      <c r="BY90" s="46">
        <f t="shared" si="202"/>
        <v>5016063</v>
      </c>
      <c r="BZ90" s="46">
        <f t="shared" si="202"/>
        <v>3220722</v>
      </c>
      <c r="CA90" s="271">
        <f t="shared" si="202"/>
        <v>1692589</v>
      </c>
      <c r="CB90" s="271">
        <f t="shared" si="202"/>
        <v>634821</v>
      </c>
      <c r="CC90" s="271">
        <f t="shared" si="202"/>
        <v>211363</v>
      </c>
      <c r="CD90" s="337">
        <f t="shared" si="202"/>
        <v>-681070</v>
      </c>
      <c r="CE90" s="321">
        <f t="shared" si="202"/>
        <v>-759474</v>
      </c>
      <c r="CF90" s="321">
        <f t="shared" si="202"/>
        <v>-400872</v>
      </c>
      <c r="CG90" s="321">
        <f t="shared" si="202"/>
        <v>174450</v>
      </c>
      <c r="CH90" s="321">
        <f t="shared" si="202"/>
        <v>816036</v>
      </c>
      <c r="CI90" s="321">
        <f t="shared" si="202"/>
        <v>296513</v>
      </c>
      <c r="CJ90" s="321">
        <f t="shared" si="202"/>
        <v>118259</v>
      </c>
      <c r="CK90" s="321">
        <f t="shared" si="202"/>
        <v>492528</v>
      </c>
      <c r="CL90" s="321">
        <f t="shared" si="202"/>
        <v>2055059</v>
      </c>
      <c r="CM90" s="321">
        <f t="shared" si="202"/>
        <v>2327257</v>
      </c>
      <c r="CN90" s="321">
        <f t="shared" si="202"/>
        <v>1864770</v>
      </c>
      <c r="CO90" s="321">
        <f t="shared" si="202"/>
        <v>2190003</v>
      </c>
      <c r="CP90" s="321">
        <f t="shared" si="202"/>
        <v>3078599</v>
      </c>
      <c r="CQ90" s="321">
        <f t="shared" si="202"/>
        <v>3837108</v>
      </c>
      <c r="CR90" s="321">
        <f t="shared" si="202"/>
        <v>4280933</v>
      </c>
      <c r="CS90" s="321">
        <f t="shared" si="202"/>
        <v>5120899</v>
      </c>
      <c r="CT90" s="350"/>
      <c r="CU90" s="67">
        <f>'MONTHLY SUMMARIES'!H60</f>
        <v>39141434</v>
      </c>
    </row>
    <row r="91" spans="1:99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/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50"/>
      <c r="CU91" s="81">
        <f>CU90-CU92</f>
        <v>38715350</v>
      </c>
    </row>
    <row r="92" spans="1:99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/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50"/>
      <c r="CU92" s="67">
        <f>GETPIVOTDATA("VALUE",'CRS ESCO pvt'!$I$2,"DATE_FILE",$CU$8,"COMPANY",$CU$6,"TRIM_CAT","Low Income Resdiential-ESCO","TRIM_LINE",A86)</f>
        <v>426084</v>
      </c>
    </row>
    <row r="93" spans="1:99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/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203">O93-C93</f>
        <v>91339.989999999991</v>
      </c>
      <c r="BJ93" s="46">
        <f t="shared" si="203"/>
        <v>620145.05000000005</v>
      </c>
      <c r="BK93" s="46">
        <f t="shared" si="203"/>
        <v>1275413.98</v>
      </c>
      <c r="BL93" s="46">
        <f t="shared" si="203"/>
        <v>1443758.8</v>
      </c>
      <c r="BM93" s="46">
        <f t="shared" si="203"/>
        <v>1617077.85</v>
      </c>
      <c r="BN93" s="46">
        <f t="shared" si="203"/>
        <v>1759047.21</v>
      </c>
      <c r="BO93" s="46">
        <f t="shared" si="203"/>
        <v>1639413.78</v>
      </c>
      <c r="BP93" s="46">
        <f t="shared" si="203"/>
        <v>1608073.08</v>
      </c>
      <c r="BQ93" s="46">
        <f t="shared" si="203"/>
        <v>1644506.4</v>
      </c>
      <c r="BR93" s="46">
        <f t="shared" si="203"/>
        <v>1583279.51</v>
      </c>
      <c r="BS93" s="46">
        <f t="shared" ref="BS93:CB95" si="204">Y93-M93</f>
        <v>1473577.21</v>
      </c>
      <c r="BT93" s="46">
        <f t="shared" si="204"/>
        <v>1455697.5699999998</v>
      </c>
      <c r="BU93" s="46">
        <f t="shared" si="204"/>
        <v>1189533.78</v>
      </c>
      <c r="BV93" s="46">
        <f t="shared" si="204"/>
        <v>1020658</v>
      </c>
      <c r="BW93" s="46">
        <f t="shared" si="204"/>
        <v>494159</v>
      </c>
      <c r="BX93" s="46">
        <f t="shared" si="204"/>
        <v>426310</v>
      </c>
      <c r="BY93" s="46">
        <f t="shared" si="204"/>
        <v>362929</v>
      </c>
      <c r="BZ93" s="46">
        <f t="shared" si="204"/>
        <v>218741</v>
      </c>
      <c r="CA93" s="271">
        <f t="shared" si="204"/>
        <v>33741</v>
      </c>
      <c r="CB93" s="271">
        <f t="shared" si="204"/>
        <v>-151555</v>
      </c>
      <c r="CC93" s="271">
        <f t="shared" ref="CC93:CL95" si="205">AI93-W93</f>
        <v>-223040</v>
      </c>
      <c r="CD93" s="337">
        <f t="shared" si="205"/>
        <v>-198018</v>
      </c>
      <c r="CE93" s="321">
        <f t="shared" si="205"/>
        <v>-120793</v>
      </c>
      <c r="CF93" s="321">
        <f t="shared" si="205"/>
        <v>-52228</v>
      </c>
      <c r="CG93" s="321">
        <f t="shared" si="205"/>
        <v>86781</v>
      </c>
      <c r="CH93" s="321">
        <f t="shared" si="205"/>
        <v>-257494</v>
      </c>
      <c r="CI93" s="321">
        <f t="shared" si="205"/>
        <v>-580493</v>
      </c>
      <c r="CJ93" s="321">
        <f t="shared" si="205"/>
        <v>-776281</v>
      </c>
      <c r="CK93" s="321">
        <f t="shared" si="205"/>
        <v>-825443</v>
      </c>
      <c r="CL93" s="321">
        <f t="shared" si="205"/>
        <v>-767260</v>
      </c>
      <c r="CM93" s="321">
        <f t="shared" ref="CM93:CS95" si="206">AS93-AG93</f>
        <v>-555571</v>
      </c>
      <c r="CN93" s="321">
        <f t="shared" si="206"/>
        <v>-415040</v>
      </c>
      <c r="CO93" s="321">
        <f t="shared" si="206"/>
        <v>-354132</v>
      </c>
      <c r="CP93" s="321">
        <f t="shared" si="206"/>
        <v>-337808</v>
      </c>
      <c r="CQ93" s="321">
        <f t="shared" si="206"/>
        <v>-366478</v>
      </c>
      <c r="CR93" s="321">
        <f t="shared" si="206"/>
        <v>-437199</v>
      </c>
      <c r="CS93" s="321">
        <f t="shared" si="206"/>
        <v>-471792</v>
      </c>
      <c r="CT93" s="350"/>
      <c r="CU93" s="67">
        <f>'MONTHLY SUMMARIES'!H61</f>
        <v>1988755</v>
      </c>
    </row>
    <row r="94" spans="1:99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/>
      <c r="BA94" s="297"/>
      <c r="BB94" s="297"/>
      <c r="BC94" s="297"/>
      <c r="BD94" s="297"/>
      <c r="BE94" s="297"/>
      <c r="BF94" s="297"/>
      <c r="BG94" s="297"/>
      <c r="BH94" s="297"/>
      <c r="BI94" s="45">
        <f t="shared" si="203"/>
        <v>75239.189999999944</v>
      </c>
      <c r="BJ94" s="46">
        <f t="shared" si="203"/>
        <v>428279.35</v>
      </c>
      <c r="BK94" s="46">
        <f t="shared" si="203"/>
        <v>711424.62999999989</v>
      </c>
      <c r="BL94" s="46">
        <f t="shared" si="203"/>
        <v>885626.25</v>
      </c>
      <c r="BM94" s="46">
        <f t="shared" si="203"/>
        <v>876875.59000000008</v>
      </c>
      <c r="BN94" s="46">
        <f t="shared" si="203"/>
        <v>1043344.55</v>
      </c>
      <c r="BO94" s="46">
        <f t="shared" si="203"/>
        <v>1304893.27</v>
      </c>
      <c r="BP94" s="46">
        <f t="shared" si="203"/>
        <v>1197297.67</v>
      </c>
      <c r="BQ94" s="46">
        <f t="shared" si="203"/>
        <v>1174219.8799999999</v>
      </c>
      <c r="BR94" s="46">
        <f t="shared" si="203"/>
        <v>1023000.59</v>
      </c>
      <c r="BS94" s="46">
        <f t="shared" si="204"/>
        <v>996464.76</v>
      </c>
      <c r="BT94" s="46">
        <f t="shared" si="204"/>
        <v>1070661.3</v>
      </c>
      <c r="BU94" s="46">
        <f t="shared" si="204"/>
        <v>779644.75</v>
      </c>
      <c r="BV94" s="46">
        <f t="shared" si="204"/>
        <v>671061</v>
      </c>
      <c r="BW94" s="46">
        <f t="shared" si="204"/>
        <v>445427</v>
      </c>
      <c r="BX94" s="46">
        <f t="shared" si="204"/>
        <v>298214</v>
      </c>
      <c r="BY94" s="46">
        <f t="shared" si="204"/>
        <v>25519</v>
      </c>
      <c r="BZ94" s="46">
        <f t="shared" si="204"/>
        <v>-132313</v>
      </c>
      <c r="CA94" s="271">
        <f t="shared" si="204"/>
        <v>-204867</v>
      </c>
      <c r="CB94" s="271">
        <f t="shared" si="204"/>
        <v>-214356</v>
      </c>
      <c r="CC94" s="271">
        <f t="shared" si="205"/>
        <v>-142949</v>
      </c>
      <c r="CD94" s="337">
        <f t="shared" si="205"/>
        <v>-199778</v>
      </c>
      <c r="CE94" s="321">
        <f t="shared" si="205"/>
        <v>-123633</v>
      </c>
      <c r="CF94" s="321">
        <f t="shared" si="205"/>
        <v>-186105</v>
      </c>
      <c r="CG94" s="321">
        <f t="shared" si="205"/>
        <v>-15333</v>
      </c>
      <c r="CH94" s="321">
        <f t="shared" si="205"/>
        <v>-173233</v>
      </c>
      <c r="CI94" s="321">
        <f t="shared" si="205"/>
        <v>-342148</v>
      </c>
      <c r="CJ94" s="321">
        <f t="shared" si="205"/>
        <v>-572788</v>
      </c>
      <c r="CK94" s="321">
        <f t="shared" si="205"/>
        <v>-345889</v>
      </c>
      <c r="CL94" s="321">
        <f t="shared" si="205"/>
        <v>-250384</v>
      </c>
      <c r="CM94" s="321">
        <f t="shared" si="206"/>
        <v>-73106</v>
      </c>
      <c r="CN94" s="321">
        <f t="shared" si="206"/>
        <v>-79483</v>
      </c>
      <c r="CO94" s="321">
        <f t="shared" si="206"/>
        <v>-187476</v>
      </c>
      <c r="CP94" s="321">
        <f t="shared" si="206"/>
        <v>-92374</v>
      </c>
      <c r="CQ94" s="321">
        <f t="shared" si="206"/>
        <v>-142510</v>
      </c>
      <c r="CR94" s="321">
        <f t="shared" si="206"/>
        <v>-104691</v>
      </c>
      <c r="CS94" s="321">
        <f t="shared" si="206"/>
        <v>-139483</v>
      </c>
      <c r="CT94" s="350"/>
      <c r="CU94" s="67">
        <f>'MONTHLY SUMMARIES'!H62</f>
        <v>1535096</v>
      </c>
    </row>
    <row r="95" spans="1:99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/>
      <c r="BA95" s="297"/>
      <c r="BB95" s="297"/>
      <c r="BC95" s="297"/>
      <c r="BD95" s="297"/>
      <c r="BE95" s="297"/>
      <c r="BF95" s="297"/>
      <c r="BG95" s="297"/>
      <c r="BH95" s="297"/>
      <c r="BI95" s="45">
        <f t="shared" si="203"/>
        <v>410640.2099999995</v>
      </c>
      <c r="BJ95" s="46">
        <f t="shared" si="203"/>
        <v>1636888.33</v>
      </c>
      <c r="BK95" s="46">
        <f t="shared" si="203"/>
        <v>2185174.1399999997</v>
      </c>
      <c r="BL95" s="46">
        <f t="shared" si="203"/>
        <v>2178051.8200000003</v>
      </c>
      <c r="BM95" s="46">
        <f t="shared" si="203"/>
        <v>2866299.8499999996</v>
      </c>
      <c r="BN95" s="46">
        <f t="shared" si="203"/>
        <v>2216519.91</v>
      </c>
      <c r="BO95" s="46">
        <f t="shared" si="203"/>
        <v>4090111.54</v>
      </c>
      <c r="BP95" s="46">
        <f t="shared" si="203"/>
        <v>5990133.6699999999</v>
      </c>
      <c r="BQ95" s="46">
        <f t="shared" si="203"/>
        <v>5733823.9100000001</v>
      </c>
      <c r="BR95" s="46">
        <f t="shared" si="203"/>
        <v>4888478.18</v>
      </c>
      <c r="BS95" s="46">
        <f t="shared" si="204"/>
        <v>4561170.43</v>
      </c>
      <c r="BT95" s="46">
        <f t="shared" si="204"/>
        <v>4318754</v>
      </c>
      <c r="BU95" s="46">
        <f t="shared" si="204"/>
        <v>1660683.1100000003</v>
      </c>
      <c r="BV95" s="46">
        <f t="shared" si="204"/>
        <v>863517</v>
      </c>
      <c r="BW95" s="46">
        <f t="shared" si="204"/>
        <v>-218424</v>
      </c>
      <c r="BX95" s="46">
        <f t="shared" si="204"/>
        <v>-527177</v>
      </c>
      <c r="BY95" s="46">
        <f t="shared" si="204"/>
        <v>-3061898</v>
      </c>
      <c r="BZ95" s="46">
        <f t="shared" si="204"/>
        <v>-3754395</v>
      </c>
      <c r="CA95" s="271">
        <f t="shared" si="204"/>
        <v>-3327129</v>
      </c>
      <c r="CB95" s="271">
        <f t="shared" si="204"/>
        <v>-4115895</v>
      </c>
      <c r="CC95" s="271">
        <f t="shared" si="205"/>
        <v>-4149591</v>
      </c>
      <c r="CD95" s="337">
        <f t="shared" si="205"/>
        <v>-3920356</v>
      </c>
      <c r="CE95" s="321">
        <f t="shared" si="205"/>
        <v>-3486289</v>
      </c>
      <c r="CF95" s="321">
        <f t="shared" si="205"/>
        <v>-3562089</v>
      </c>
      <c r="CG95" s="321">
        <f t="shared" si="205"/>
        <v>-1026116</v>
      </c>
      <c r="CH95" s="321">
        <f t="shared" si="205"/>
        <v>-1148776</v>
      </c>
      <c r="CI95" s="321">
        <f t="shared" si="205"/>
        <v>-1564488</v>
      </c>
      <c r="CJ95" s="321">
        <f t="shared" si="205"/>
        <v>-2086358</v>
      </c>
      <c r="CK95" s="321">
        <f t="shared" si="205"/>
        <v>-196078</v>
      </c>
      <c r="CL95" s="321">
        <f t="shared" si="205"/>
        <v>797927</v>
      </c>
      <c r="CM95" s="321">
        <f t="shared" si="206"/>
        <v>832083</v>
      </c>
      <c r="CN95" s="321">
        <f t="shared" si="206"/>
        <v>58985</v>
      </c>
      <c r="CO95" s="321">
        <f t="shared" si="206"/>
        <v>-55071</v>
      </c>
      <c r="CP95" s="321">
        <f t="shared" si="206"/>
        <v>243367</v>
      </c>
      <c r="CQ95" s="321">
        <f t="shared" si="206"/>
        <v>147998</v>
      </c>
      <c r="CR95" s="321">
        <f t="shared" si="206"/>
        <v>-895174</v>
      </c>
      <c r="CS95" s="321">
        <f t="shared" si="206"/>
        <v>-1254334</v>
      </c>
      <c r="CT95" s="350"/>
      <c r="CU95" s="67">
        <f>'MONTHLY SUMMARIES'!H63</f>
        <v>3619234</v>
      </c>
    </row>
    <row r="96" spans="1:99" s="134" customFormat="1" x14ac:dyDescent="0.3">
      <c r="A96" s="151"/>
      <c r="B96" s="41" t="s">
        <v>42</v>
      </c>
      <c r="C96" s="144">
        <f t="shared" ref="C96:P96" si="207">SUM(C87:C95)</f>
        <v>69177222.439999998</v>
      </c>
      <c r="D96" s="145">
        <f t="shared" si="207"/>
        <v>73209192.410000011</v>
      </c>
      <c r="E96" s="145">
        <f t="shared" si="207"/>
        <v>80129591.479999989</v>
      </c>
      <c r="F96" s="145">
        <f t="shared" si="207"/>
        <v>85422903.780000001</v>
      </c>
      <c r="G96" s="145">
        <f t="shared" si="207"/>
        <v>86935041.320000008</v>
      </c>
      <c r="H96" s="145">
        <f t="shared" si="207"/>
        <v>84620861.970000014</v>
      </c>
      <c r="I96" s="145">
        <f t="shared" si="207"/>
        <v>77242351.399999991</v>
      </c>
      <c r="J96" s="145">
        <f t="shared" si="207"/>
        <v>70112075.760000005</v>
      </c>
      <c r="K96" s="145">
        <f t="shared" si="207"/>
        <v>67632059.579999998</v>
      </c>
      <c r="L96" s="146">
        <f t="shared" si="207"/>
        <v>67265363.709999993</v>
      </c>
      <c r="M96" s="145">
        <f t="shared" si="207"/>
        <v>65994892.359999999</v>
      </c>
      <c r="N96" s="145">
        <f t="shared" si="207"/>
        <v>66149496.329999998</v>
      </c>
      <c r="O96" s="145">
        <f t="shared" si="207"/>
        <v>72148453.640000001</v>
      </c>
      <c r="P96" s="145">
        <f t="shared" si="207"/>
        <v>80568480</v>
      </c>
      <c r="Q96" s="145">
        <f t="shared" ref="Q96:BI96" si="208">SUM(Q87:Q95)</f>
        <v>92464365</v>
      </c>
      <c r="R96" s="145">
        <f t="shared" si="208"/>
        <v>99318013</v>
      </c>
      <c r="S96" s="145">
        <f t="shared" si="208"/>
        <v>105987286</v>
      </c>
      <c r="T96" s="145">
        <f t="shared" si="208"/>
        <v>107602540</v>
      </c>
      <c r="U96" s="145">
        <f t="shared" si="208"/>
        <v>104969745</v>
      </c>
      <c r="V96" s="145">
        <f t="shared" si="208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/>
      <c r="BA96" s="298"/>
      <c r="BB96" s="298"/>
      <c r="BC96" s="298"/>
      <c r="BD96" s="298"/>
      <c r="BE96" s="298"/>
      <c r="BF96" s="298"/>
      <c r="BG96" s="298"/>
      <c r="BH96" s="298"/>
      <c r="BI96" s="47">
        <f t="shared" si="208"/>
        <v>2971231.1999999983</v>
      </c>
      <c r="BJ96" s="147">
        <f t="shared" ref="BJ96:BK96" si="209">SUM(BJ87:BJ95)</f>
        <v>7359287.5900000026</v>
      </c>
      <c r="BK96" s="147">
        <f t="shared" si="209"/>
        <v>12334773.520000003</v>
      </c>
      <c r="BL96" s="147">
        <f t="shared" ref="BL96:BM96" si="210">SUM(BL87:BL95)</f>
        <v>13895109.220000003</v>
      </c>
      <c r="BM96" s="147">
        <f t="shared" si="210"/>
        <v>19052244.679999996</v>
      </c>
      <c r="BN96" s="147">
        <f t="shared" ref="BN96:BO96" si="211">SUM(BN87:BN95)</f>
        <v>22981678.030000001</v>
      </c>
      <c r="BO96" s="147">
        <f t="shared" si="211"/>
        <v>27727393.600000005</v>
      </c>
      <c r="BP96" s="147">
        <f t="shared" ref="BP96:BQ96" si="212">SUM(BP87:BP95)</f>
        <v>32266399.240000002</v>
      </c>
      <c r="BQ96" s="147">
        <f t="shared" si="212"/>
        <v>32532663.419999998</v>
      </c>
      <c r="BR96" s="147">
        <f t="shared" ref="BR96:BS96" si="213">SUM(BR87:BR95)</f>
        <v>31178304.289999999</v>
      </c>
      <c r="BS96" s="147">
        <f t="shared" si="213"/>
        <v>29975534.640000004</v>
      </c>
      <c r="BT96" s="147">
        <f t="shared" ref="BT96:BU96" si="214">SUM(BT87:BT95)</f>
        <v>29180488.670000006</v>
      </c>
      <c r="BU96" s="147">
        <f t="shared" si="214"/>
        <v>23383107.359999999</v>
      </c>
      <c r="BV96" s="147">
        <f t="shared" ref="BV96:BW96" si="215">SUM(BV87:BV95)</f>
        <v>23503515</v>
      </c>
      <c r="BW96" s="147">
        <f t="shared" si="215"/>
        <v>19481446</v>
      </c>
      <c r="BX96" s="147">
        <f t="shared" ref="BX96:BY96" si="216">SUM(BX87:BX95)</f>
        <v>17913932</v>
      </c>
      <c r="BY96" s="147">
        <f t="shared" si="216"/>
        <v>7658899</v>
      </c>
      <c r="BZ96" s="147">
        <f t="shared" ref="BZ96:CA96" si="217">SUM(BZ87:BZ95)</f>
        <v>852820</v>
      </c>
      <c r="CA96" s="272">
        <f t="shared" si="217"/>
        <v>-2164673</v>
      </c>
      <c r="CB96" s="272">
        <f t="shared" ref="CB96:CC96" si="218">SUM(CB87:CB95)</f>
        <v>-6449679</v>
      </c>
      <c r="CC96" s="272">
        <f t="shared" si="218"/>
        <v>-8172421</v>
      </c>
      <c r="CD96" s="338">
        <f t="shared" ref="CD96:CE96" si="219">SUM(CD87:CD95)</f>
        <v>-9477293</v>
      </c>
      <c r="CE96" s="322">
        <f t="shared" si="219"/>
        <v>-8811340</v>
      </c>
      <c r="CF96" s="322">
        <f t="shared" ref="CF96:CG96" si="220">SUM(CF87:CF95)</f>
        <v>-8401680</v>
      </c>
      <c r="CG96" s="322">
        <f t="shared" si="220"/>
        <v>-3793849</v>
      </c>
      <c r="CH96" s="322">
        <f t="shared" ref="CH96:CI96" si="221">SUM(CH87:CH95)</f>
        <v>-3658861</v>
      </c>
      <c r="CI96" s="322">
        <f t="shared" si="221"/>
        <v>-8196609</v>
      </c>
      <c r="CJ96" s="322">
        <f t="shared" ref="CJ96" si="222">SUM(CJ87:CJ95)</f>
        <v>-9348377</v>
      </c>
      <c r="CK96" s="322">
        <f t="shared" ref="CK96" si="223">SUM(CK87:CK95)</f>
        <v>-3619012</v>
      </c>
      <c r="CL96" s="322">
        <f t="shared" ref="CL96" si="224">SUM(CL87:CL95)</f>
        <v>-101268</v>
      </c>
      <c r="CM96" s="322">
        <f t="shared" ref="CM96" si="225">SUM(CM87:CM95)</f>
        <v>1822472</v>
      </c>
      <c r="CN96" s="322">
        <f t="shared" ref="CN96" si="226">SUM(CN87:CN95)</f>
        <v>-955596</v>
      </c>
      <c r="CO96" s="322">
        <f t="shared" ref="CO96" si="227">SUM(CO87:CO95)</f>
        <v>-909133</v>
      </c>
      <c r="CP96" s="322">
        <f t="shared" ref="CP96" si="228">SUM(CP87:CP95)</f>
        <v>1102295</v>
      </c>
      <c r="CQ96" s="322">
        <f t="shared" ref="CQ96:CS96" si="229">SUM(CQ87:CQ95)</f>
        <v>2563189</v>
      </c>
      <c r="CR96" s="322">
        <f t="shared" ref="CR96:CS96" si="230">SUM(CR87:CR95)</f>
        <v>3060212</v>
      </c>
      <c r="CS96" s="322">
        <f t="shared" si="230"/>
        <v>3579115</v>
      </c>
      <c r="CT96" s="351"/>
      <c r="CU96" s="262">
        <f>CU87+CU90+CU93+CU94+CU95</f>
        <v>95316827</v>
      </c>
    </row>
    <row r="97" spans="1:10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50"/>
      <c r="CU97" s="52"/>
    </row>
    <row r="98" spans="1:100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/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S98" si="231">O98-C98</f>
        <v>-4501512.2300000042</v>
      </c>
      <c r="BJ98" s="46">
        <f t="shared" si="231"/>
        <v>-5795383.3199999928</v>
      </c>
      <c r="BK98" s="46">
        <f t="shared" si="231"/>
        <v>1775780.0600000024</v>
      </c>
      <c r="BL98" s="46">
        <f t="shared" si="231"/>
        <v>7723422.0099999979</v>
      </c>
      <c r="BM98" s="46">
        <f t="shared" si="231"/>
        <v>7093653.9200000018</v>
      </c>
      <c r="BN98" s="46">
        <f t="shared" si="231"/>
        <v>11405010.979999997</v>
      </c>
      <c r="BO98" s="46">
        <f t="shared" si="231"/>
        <v>13865815.920000002</v>
      </c>
      <c r="BP98" s="46">
        <f t="shared" si="231"/>
        <v>16805942.810000002</v>
      </c>
      <c r="BQ98" s="46">
        <f t="shared" si="231"/>
        <v>17145412.060000002</v>
      </c>
      <c r="BR98" s="46">
        <f t="shared" si="231"/>
        <v>16120761.689999998</v>
      </c>
      <c r="BS98" s="46">
        <f t="shared" si="231"/>
        <v>15159867.299999997</v>
      </c>
      <c r="BT98" s="46">
        <f t="shared" si="231"/>
        <v>15437598.549999997</v>
      </c>
      <c r="BU98" s="46">
        <f t="shared" si="231"/>
        <v>14349355.090000004</v>
      </c>
      <c r="BV98" s="46">
        <f t="shared" si="231"/>
        <v>15645237</v>
      </c>
      <c r="BW98" s="46">
        <f t="shared" si="231"/>
        <v>11101492</v>
      </c>
      <c r="BX98" s="46">
        <f t="shared" si="231"/>
        <v>7271561</v>
      </c>
      <c r="BY98" s="46">
        <f t="shared" si="231"/>
        <v>3749172</v>
      </c>
      <c r="BZ98" s="46">
        <f t="shared" si="231"/>
        <v>536023</v>
      </c>
      <c r="CA98" s="271">
        <f t="shared" si="231"/>
        <v>-981257</v>
      </c>
      <c r="CB98" s="271">
        <f t="shared" si="231"/>
        <v>-3230567</v>
      </c>
      <c r="CC98" s="271">
        <f t="shared" si="231"/>
        <v>-4717493</v>
      </c>
      <c r="CD98" s="337">
        <f t="shared" si="231"/>
        <v>-5779128</v>
      </c>
      <c r="CE98" s="321">
        <f t="shared" si="231"/>
        <v>-2524979</v>
      </c>
      <c r="CF98" s="321">
        <f t="shared" si="231"/>
        <v>-1928388</v>
      </c>
      <c r="CG98" s="321">
        <f t="shared" si="231"/>
        <v>993055</v>
      </c>
      <c r="CH98" s="321">
        <f t="shared" si="231"/>
        <v>1889753</v>
      </c>
      <c r="CI98" s="321">
        <f t="shared" si="231"/>
        <v>-1395572</v>
      </c>
      <c r="CJ98" s="321">
        <f t="shared" si="231"/>
        <v>-2143583</v>
      </c>
      <c r="CK98" s="321">
        <f t="shared" si="231"/>
        <v>-556376</v>
      </c>
      <c r="CL98" s="321">
        <f t="shared" si="231"/>
        <v>-81414</v>
      </c>
      <c r="CM98" s="321">
        <f t="shared" si="231"/>
        <v>1395614</v>
      </c>
      <c r="CN98" s="321">
        <f t="shared" si="231"/>
        <v>-1307588</v>
      </c>
      <c r="CO98" s="321">
        <f t="shared" si="231"/>
        <v>-68630</v>
      </c>
      <c r="CP98" s="321">
        <f t="shared" si="231"/>
        <v>4729915</v>
      </c>
      <c r="CQ98" s="321">
        <f t="shared" si="231"/>
        <v>3574816</v>
      </c>
      <c r="CR98" s="321">
        <f t="shared" si="231"/>
        <v>5631706</v>
      </c>
      <c r="CS98" s="321">
        <f t="shared" si="231"/>
        <v>3102361</v>
      </c>
      <c r="CT98" s="350"/>
      <c r="CU98" s="67">
        <f>'MONTHLY SUMMARIES'!H66</f>
        <v>85747953</v>
      </c>
    </row>
    <row r="99" spans="1:100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/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50"/>
      <c r="CU99" s="81">
        <f>CU98-CU100</f>
        <v>84820007</v>
      </c>
    </row>
    <row r="100" spans="1:100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50"/>
      <c r="CU100" s="67">
        <f>GETPIVOTDATA("VALUE",'CRS ESCO pvt'!$I$2,"DATE_FILE",$CU$8,"COMPANY",$CU$6,"TRIM_CAT","Resdiential-ESCO","TRIM_LINE",A97)</f>
        <v>927946</v>
      </c>
    </row>
    <row r="101" spans="1:100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S101" si="232">O101-C101</f>
        <v>2060790.8499999978</v>
      </c>
      <c r="BJ101" s="46">
        <f t="shared" si="232"/>
        <v>1702827.6799999997</v>
      </c>
      <c r="BK101" s="46">
        <f t="shared" si="232"/>
        <v>2675385.2800000012</v>
      </c>
      <c r="BL101" s="46">
        <f t="shared" si="232"/>
        <v>3777374.5599999987</v>
      </c>
      <c r="BM101" s="46">
        <f t="shared" si="232"/>
        <v>5030255.6000000015</v>
      </c>
      <c r="BN101" s="46">
        <f t="shared" si="232"/>
        <v>5846252.9600000009</v>
      </c>
      <c r="BO101" s="46">
        <f t="shared" si="232"/>
        <v>6566491.3399999999</v>
      </c>
      <c r="BP101" s="46">
        <f t="shared" si="232"/>
        <v>7149875.879999999</v>
      </c>
      <c r="BQ101" s="46">
        <f t="shared" si="232"/>
        <v>7299211.5</v>
      </c>
      <c r="BR101" s="46">
        <f t="shared" si="232"/>
        <v>7111629.0599999987</v>
      </c>
      <c r="BS101" s="46">
        <f t="shared" si="232"/>
        <v>6430382.9699999988</v>
      </c>
      <c r="BT101" s="46">
        <f t="shared" si="232"/>
        <v>7089337.3399999999</v>
      </c>
      <c r="BU101" s="46">
        <f t="shared" si="232"/>
        <v>7853763.5200000033</v>
      </c>
      <c r="BV101" s="46">
        <f t="shared" si="232"/>
        <v>8639887</v>
      </c>
      <c r="BW101" s="46">
        <f t="shared" si="232"/>
        <v>8090855</v>
      </c>
      <c r="BX101" s="46">
        <f t="shared" si="232"/>
        <v>8138075</v>
      </c>
      <c r="BY101" s="46">
        <f t="shared" si="232"/>
        <v>5541254</v>
      </c>
      <c r="BZ101" s="46">
        <f t="shared" si="232"/>
        <v>3859652</v>
      </c>
      <c r="CA101" s="271">
        <f t="shared" si="232"/>
        <v>2143821</v>
      </c>
      <c r="CB101" s="271">
        <f t="shared" si="232"/>
        <v>833265</v>
      </c>
      <c r="CC101" s="271">
        <f t="shared" si="232"/>
        <v>253227</v>
      </c>
      <c r="CD101" s="337">
        <f t="shared" si="232"/>
        <v>-592558</v>
      </c>
      <c r="CE101" s="321">
        <f t="shared" si="232"/>
        <v>476030</v>
      </c>
      <c r="CF101" s="321">
        <f t="shared" si="232"/>
        <v>1066477</v>
      </c>
      <c r="CG101" s="321">
        <f t="shared" si="232"/>
        <v>2107137</v>
      </c>
      <c r="CH101" s="321">
        <f t="shared" si="232"/>
        <v>3026540</v>
      </c>
      <c r="CI101" s="321">
        <f t="shared" si="232"/>
        <v>2476041</v>
      </c>
      <c r="CJ101" s="321">
        <f t="shared" si="232"/>
        <v>1663608</v>
      </c>
      <c r="CK101" s="321">
        <f t="shared" si="232"/>
        <v>1516823</v>
      </c>
      <c r="CL101" s="321">
        <f t="shared" si="232"/>
        <v>2797377</v>
      </c>
      <c r="CM101" s="321">
        <f t="shared" si="232"/>
        <v>3241106</v>
      </c>
      <c r="CN101" s="321">
        <f t="shared" si="232"/>
        <v>2449324</v>
      </c>
      <c r="CO101" s="321">
        <f t="shared" si="232"/>
        <v>3276670</v>
      </c>
      <c r="CP101" s="321">
        <f t="shared" si="232"/>
        <v>5546280</v>
      </c>
      <c r="CQ101" s="321">
        <f t="shared" si="232"/>
        <v>6392527</v>
      </c>
      <c r="CR101" s="321">
        <f t="shared" si="232"/>
        <v>7713362</v>
      </c>
      <c r="CS101" s="321">
        <f t="shared" si="232"/>
        <v>7951867</v>
      </c>
      <c r="CT101" s="350"/>
      <c r="CU101" s="67">
        <f>'MONTHLY SUMMARIES'!H67</f>
        <v>51851726</v>
      </c>
    </row>
    <row r="102" spans="1:100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50"/>
      <c r="CU102" s="81">
        <f>CU101-CU103</f>
        <v>51267931</v>
      </c>
    </row>
    <row r="103" spans="1:100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50"/>
      <c r="CU103" s="67">
        <f>GETPIVOTDATA("VALUE",'CRS ESCO pvt'!$I$2,"DATE_FILE",$CU$8,"COMPANY",$CU$6,"TRIM_CAT","Low Income Resdiential-ESCO","TRIM_LINE",A97)</f>
        <v>583795</v>
      </c>
    </row>
    <row r="104" spans="1:100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33">O104-C104</f>
        <v>-45087.520000000484</v>
      </c>
      <c r="BJ104" s="46">
        <f t="shared" si="233"/>
        <v>905875.54999999981</v>
      </c>
      <c r="BK104" s="46">
        <f t="shared" si="233"/>
        <v>1678311.2599999998</v>
      </c>
      <c r="BL104" s="46">
        <f t="shared" si="233"/>
        <v>1790061.38</v>
      </c>
      <c r="BM104" s="46">
        <f t="shared" si="233"/>
        <v>1432003.67</v>
      </c>
      <c r="BN104" s="46">
        <f t="shared" si="233"/>
        <v>1653906</v>
      </c>
      <c r="BO104" s="46">
        <f t="shared" si="233"/>
        <v>1631578.6</v>
      </c>
      <c r="BP104" s="46">
        <f t="shared" si="233"/>
        <v>1656667.39</v>
      </c>
      <c r="BQ104" s="46">
        <f t="shared" si="233"/>
        <v>1684444.07</v>
      </c>
      <c r="BR104" s="46">
        <f t="shared" si="233"/>
        <v>1403314.79</v>
      </c>
      <c r="BS104" s="46">
        <f t="shared" ref="BS104:CB106" si="234">Y104-M104</f>
        <v>1662234.9700000002</v>
      </c>
      <c r="BT104" s="46">
        <f t="shared" si="234"/>
        <v>1485032.85</v>
      </c>
      <c r="BU104" s="46">
        <f t="shared" si="234"/>
        <v>959801.20000000019</v>
      </c>
      <c r="BV104" s="46">
        <f t="shared" si="234"/>
        <v>31383</v>
      </c>
      <c r="BW104" s="46">
        <f t="shared" si="234"/>
        <v>-231516</v>
      </c>
      <c r="BX104" s="46">
        <f t="shared" si="234"/>
        <v>71864</v>
      </c>
      <c r="BY104" s="46">
        <f t="shared" si="234"/>
        <v>282588</v>
      </c>
      <c r="BZ104" s="46">
        <f t="shared" si="234"/>
        <v>149260</v>
      </c>
      <c r="CA104" s="271">
        <f t="shared" si="234"/>
        <v>-11107</v>
      </c>
      <c r="CB104" s="271">
        <f t="shared" si="234"/>
        <v>-99571</v>
      </c>
      <c r="CC104" s="271">
        <f t="shared" ref="CC104:CL106" si="235">AI104-W104</f>
        <v>-158371</v>
      </c>
      <c r="CD104" s="337">
        <f t="shared" si="235"/>
        <v>17718</v>
      </c>
      <c r="CE104" s="321">
        <f t="shared" si="235"/>
        <v>1447796</v>
      </c>
      <c r="CF104" s="321">
        <f t="shared" si="235"/>
        <v>1288275</v>
      </c>
      <c r="CG104" s="321">
        <f t="shared" si="235"/>
        <v>1605885</v>
      </c>
      <c r="CH104" s="321">
        <f t="shared" si="235"/>
        <v>661339</v>
      </c>
      <c r="CI104" s="321">
        <f t="shared" si="235"/>
        <v>133824</v>
      </c>
      <c r="CJ104" s="321">
        <f t="shared" si="235"/>
        <v>-134848</v>
      </c>
      <c r="CK104" s="321">
        <f t="shared" si="235"/>
        <v>-424248</v>
      </c>
      <c r="CL104" s="321">
        <f t="shared" si="235"/>
        <v>-457606</v>
      </c>
      <c r="CM104" s="321">
        <f t="shared" ref="CM104:CS106" si="236">AS104-AG104</f>
        <v>-179203</v>
      </c>
      <c r="CN104" s="321">
        <f t="shared" si="236"/>
        <v>-297583</v>
      </c>
      <c r="CO104" s="321">
        <f t="shared" si="236"/>
        <v>-102889</v>
      </c>
      <c r="CP104" s="321">
        <f t="shared" si="236"/>
        <v>179228</v>
      </c>
      <c r="CQ104" s="321">
        <f t="shared" si="236"/>
        <v>-1162610</v>
      </c>
      <c r="CR104" s="321">
        <f t="shared" si="236"/>
        <v>-968229</v>
      </c>
      <c r="CS104" s="321">
        <f t="shared" si="236"/>
        <v>-1179614</v>
      </c>
      <c r="CT104" s="350"/>
      <c r="CU104" s="67">
        <f>'MONTHLY SUMMARIES'!H68</f>
        <v>5623273</v>
      </c>
    </row>
    <row r="105" spans="1:100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33"/>
        <v>-262034.88999999966</v>
      </c>
      <c r="BJ105" s="46">
        <f t="shared" si="233"/>
        <v>596446.81999999983</v>
      </c>
      <c r="BK105" s="46">
        <f t="shared" si="233"/>
        <v>1220179.0099999998</v>
      </c>
      <c r="BL105" s="46">
        <f t="shared" si="233"/>
        <v>1209151.9500000002</v>
      </c>
      <c r="BM105" s="46">
        <f t="shared" si="233"/>
        <v>745855.79999999981</v>
      </c>
      <c r="BN105" s="46">
        <f t="shared" si="233"/>
        <v>948252</v>
      </c>
      <c r="BO105" s="46">
        <f t="shared" si="233"/>
        <v>1239021.29</v>
      </c>
      <c r="BP105" s="46">
        <f t="shared" si="233"/>
        <v>1223546.05</v>
      </c>
      <c r="BQ105" s="46">
        <f t="shared" si="233"/>
        <v>1172037.52</v>
      </c>
      <c r="BR105" s="46">
        <f t="shared" si="233"/>
        <v>949513.85000000009</v>
      </c>
      <c r="BS105" s="46">
        <f t="shared" si="234"/>
        <v>1629410.6</v>
      </c>
      <c r="BT105" s="46">
        <f t="shared" si="234"/>
        <v>1766501.42</v>
      </c>
      <c r="BU105" s="46">
        <f t="shared" si="234"/>
        <v>906148.25999999978</v>
      </c>
      <c r="BV105" s="46">
        <f t="shared" si="234"/>
        <v>87233</v>
      </c>
      <c r="BW105" s="46">
        <f t="shared" si="234"/>
        <v>-205756</v>
      </c>
      <c r="BX105" s="46">
        <f t="shared" si="234"/>
        <v>46522</v>
      </c>
      <c r="BY105" s="46">
        <f t="shared" si="234"/>
        <v>-95251</v>
      </c>
      <c r="BZ105" s="46">
        <f t="shared" si="234"/>
        <v>-168341</v>
      </c>
      <c r="CA105" s="271">
        <f t="shared" si="234"/>
        <v>-178676</v>
      </c>
      <c r="CB105" s="271">
        <f t="shared" si="234"/>
        <v>-146424</v>
      </c>
      <c r="CC105" s="271">
        <f t="shared" si="235"/>
        <v>58654</v>
      </c>
      <c r="CD105" s="337">
        <f t="shared" si="235"/>
        <v>177001</v>
      </c>
      <c r="CE105" s="321">
        <f t="shared" si="235"/>
        <v>1979988</v>
      </c>
      <c r="CF105" s="321">
        <f t="shared" si="235"/>
        <v>1114090</v>
      </c>
      <c r="CG105" s="321">
        <f t="shared" si="235"/>
        <v>1813815</v>
      </c>
      <c r="CH105" s="321">
        <f t="shared" si="235"/>
        <v>563170</v>
      </c>
      <c r="CI105" s="321">
        <f t="shared" si="235"/>
        <v>427505</v>
      </c>
      <c r="CJ105" s="321">
        <f t="shared" si="235"/>
        <v>54733</v>
      </c>
      <c r="CK105" s="321">
        <f t="shared" si="235"/>
        <v>89238</v>
      </c>
      <c r="CL105" s="321">
        <f t="shared" si="235"/>
        <v>18157</v>
      </c>
      <c r="CM105" s="321">
        <f t="shared" si="236"/>
        <v>262062</v>
      </c>
      <c r="CN105" s="321">
        <f t="shared" si="236"/>
        <v>64950</v>
      </c>
      <c r="CO105" s="321">
        <f t="shared" si="236"/>
        <v>-26285</v>
      </c>
      <c r="CP105" s="321">
        <f t="shared" si="236"/>
        <v>349058</v>
      </c>
      <c r="CQ105" s="321">
        <f t="shared" si="236"/>
        <v>-1660255</v>
      </c>
      <c r="CR105" s="321">
        <f t="shared" si="236"/>
        <v>-1087105</v>
      </c>
      <c r="CS105" s="321">
        <f t="shared" si="236"/>
        <v>-1022181</v>
      </c>
      <c r="CT105" s="350"/>
      <c r="CU105" s="67">
        <f>'MONTHLY SUMMARIES'!H69</f>
        <v>4875668</v>
      </c>
    </row>
    <row r="106" spans="1:100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33"/>
        <v>254331.6099999994</v>
      </c>
      <c r="BJ106" s="46">
        <f t="shared" si="233"/>
        <v>4752022.0999999996</v>
      </c>
      <c r="BK106" s="46">
        <f t="shared" si="233"/>
        <v>3298623.51</v>
      </c>
      <c r="BL106" s="46">
        <f t="shared" si="233"/>
        <v>3787492.9399999995</v>
      </c>
      <c r="BM106" s="46">
        <f t="shared" si="233"/>
        <v>2965595.2100000009</v>
      </c>
      <c r="BN106" s="46">
        <f t="shared" si="233"/>
        <v>2931528.9700000007</v>
      </c>
      <c r="BO106" s="46">
        <f t="shared" si="233"/>
        <v>5198207.07</v>
      </c>
      <c r="BP106" s="46">
        <f t="shared" si="233"/>
        <v>6147339.2300000004</v>
      </c>
      <c r="BQ106" s="46">
        <f t="shared" si="233"/>
        <v>5802701.9699999997</v>
      </c>
      <c r="BR106" s="46">
        <f t="shared" si="233"/>
        <v>4424113.38</v>
      </c>
      <c r="BS106" s="46">
        <f t="shared" si="234"/>
        <v>7022131.8000000007</v>
      </c>
      <c r="BT106" s="46">
        <f t="shared" si="234"/>
        <v>5547690.0099999998</v>
      </c>
      <c r="BU106" s="46">
        <f t="shared" si="234"/>
        <v>1313760.8900000006</v>
      </c>
      <c r="BV106" s="46">
        <f t="shared" si="234"/>
        <v>-3425087</v>
      </c>
      <c r="BW106" s="46">
        <f t="shared" si="234"/>
        <v>-3137094</v>
      </c>
      <c r="BX106" s="46">
        <f t="shared" si="234"/>
        <v>-2429087</v>
      </c>
      <c r="BY106" s="46">
        <f t="shared" si="234"/>
        <v>-4046142</v>
      </c>
      <c r="BZ106" s="46">
        <f t="shared" si="234"/>
        <v>-4533461</v>
      </c>
      <c r="CA106" s="271">
        <f t="shared" si="234"/>
        <v>-4320612</v>
      </c>
      <c r="CB106" s="271">
        <f t="shared" si="234"/>
        <v>-3956593</v>
      </c>
      <c r="CC106" s="271">
        <f t="shared" si="235"/>
        <v>-3485586</v>
      </c>
      <c r="CD106" s="337">
        <f t="shared" si="235"/>
        <v>-1927180</v>
      </c>
      <c r="CE106" s="321">
        <f t="shared" si="235"/>
        <v>4341947</v>
      </c>
      <c r="CF106" s="321">
        <f t="shared" si="235"/>
        <v>2784214</v>
      </c>
      <c r="CG106" s="321">
        <f t="shared" si="235"/>
        <v>4713109</v>
      </c>
      <c r="CH106" s="321">
        <f t="shared" si="235"/>
        <v>2587053</v>
      </c>
      <c r="CI106" s="321">
        <f t="shared" si="235"/>
        <v>1667842</v>
      </c>
      <c r="CJ106" s="321">
        <f t="shared" si="235"/>
        <v>583982</v>
      </c>
      <c r="CK106" s="321">
        <f t="shared" si="235"/>
        <v>1304464</v>
      </c>
      <c r="CL106" s="321">
        <f t="shared" si="235"/>
        <v>2131618</v>
      </c>
      <c r="CM106" s="321">
        <f t="shared" si="236"/>
        <v>2929846</v>
      </c>
      <c r="CN106" s="321">
        <f t="shared" si="236"/>
        <v>450637</v>
      </c>
      <c r="CO106" s="321">
        <f t="shared" si="236"/>
        <v>1135382</v>
      </c>
      <c r="CP106" s="321">
        <f t="shared" si="236"/>
        <v>3489306</v>
      </c>
      <c r="CQ106" s="321">
        <f t="shared" si="236"/>
        <v>-5565945</v>
      </c>
      <c r="CR106" s="321">
        <f t="shared" si="236"/>
        <v>-5720557</v>
      </c>
      <c r="CS106" s="321">
        <f t="shared" si="236"/>
        <v>-4632943</v>
      </c>
      <c r="CT106" s="350"/>
      <c r="CU106" s="67">
        <f>'MONTHLY SUMMARIES'!H70</f>
        <v>14140937</v>
      </c>
    </row>
    <row r="107" spans="1:100" s="134" customFormat="1" ht="15" thickBot="1" x14ac:dyDescent="0.35">
      <c r="A107" s="151"/>
      <c r="B107" s="54" t="s">
        <v>42</v>
      </c>
      <c r="C107" s="130">
        <f t="shared" ref="C107:V107" si="237">SUM(C98:C106)</f>
        <v>123897749.22</v>
      </c>
      <c r="D107" s="131">
        <f t="shared" si="237"/>
        <v>131793055.17</v>
      </c>
      <c r="E107" s="131">
        <f t="shared" si="237"/>
        <v>125530455.87999998</v>
      </c>
      <c r="F107" s="131">
        <f t="shared" si="237"/>
        <v>116048583.16000001</v>
      </c>
      <c r="G107" s="131">
        <f t="shared" si="237"/>
        <v>108425656.79999998</v>
      </c>
      <c r="H107" s="131">
        <f t="shared" si="237"/>
        <v>98214674.090000004</v>
      </c>
      <c r="I107" s="131">
        <f t="shared" si="237"/>
        <v>88181963.780000001</v>
      </c>
      <c r="J107" s="131">
        <f t="shared" si="237"/>
        <v>80631147.640000001</v>
      </c>
      <c r="K107" s="131">
        <f t="shared" si="237"/>
        <v>80041696.88000001</v>
      </c>
      <c r="L107" s="132">
        <f t="shared" si="237"/>
        <v>86550677.230000004</v>
      </c>
      <c r="M107" s="131">
        <f t="shared" si="237"/>
        <v>98387110.360000014</v>
      </c>
      <c r="N107" s="131">
        <f t="shared" si="237"/>
        <v>111153790.83</v>
      </c>
      <c r="O107" s="131">
        <f t="shared" si="237"/>
        <v>121404237.03999998</v>
      </c>
      <c r="P107" s="131">
        <f t="shared" si="237"/>
        <v>133954844</v>
      </c>
      <c r="Q107" s="131">
        <f t="shared" si="237"/>
        <v>136178735</v>
      </c>
      <c r="R107" s="131">
        <f t="shared" si="237"/>
        <v>134336086</v>
      </c>
      <c r="S107" s="131">
        <f t="shared" si="237"/>
        <v>125693021</v>
      </c>
      <c r="T107" s="131">
        <f t="shared" si="237"/>
        <v>120999625</v>
      </c>
      <c r="U107" s="131">
        <f t="shared" si="237"/>
        <v>116683078</v>
      </c>
      <c r="V107" s="131">
        <f t="shared" si="237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-2493512.1800000072</v>
      </c>
      <c r="BJ107" s="133">
        <f t="shared" ref="BJ107:BK107" si="238">SUM(BJ98:BJ106)</f>
        <v>2161788.8300000061</v>
      </c>
      <c r="BK107" s="133">
        <f t="shared" si="238"/>
        <v>10648279.120000003</v>
      </c>
      <c r="BL107" s="133">
        <f t="shared" ref="BL107:BM107" si="239">SUM(BL98:BL106)</f>
        <v>18287502.839999996</v>
      </c>
      <c r="BM107" s="133">
        <f t="shared" si="239"/>
        <v>17267364.200000003</v>
      </c>
      <c r="BN107" s="133">
        <f t="shared" ref="BN107:BO107" si="240">SUM(BN98:BN106)</f>
        <v>22784950.909999996</v>
      </c>
      <c r="BO107" s="133">
        <f t="shared" si="240"/>
        <v>28501114.220000003</v>
      </c>
      <c r="BP107" s="133">
        <f t="shared" ref="BP107:BQ107" si="241">SUM(BP98:BP106)</f>
        <v>32983371.360000003</v>
      </c>
      <c r="BQ107" s="133">
        <f t="shared" si="241"/>
        <v>33103807.120000001</v>
      </c>
      <c r="BR107" s="133">
        <f t="shared" ref="BR107:BS107" si="242">SUM(BR98:BR106)</f>
        <v>30009332.769999996</v>
      </c>
      <c r="BS107" s="133">
        <f t="shared" si="242"/>
        <v>31904027.639999997</v>
      </c>
      <c r="BT107" s="133">
        <f t="shared" ref="BT107:BU107" si="243">SUM(BT98:BT106)</f>
        <v>31326160.169999994</v>
      </c>
      <c r="BU107" s="133">
        <f t="shared" si="243"/>
        <v>25382828.960000008</v>
      </c>
      <c r="BV107" s="133">
        <f t="shared" ref="BV107:BW107" si="244">SUM(BV98:BV106)</f>
        <v>20978653</v>
      </c>
      <c r="BW107" s="133">
        <f t="shared" si="244"/>
        <v>15617981</v>
      </c>
      <c r="BX107" s="133">
        <f t="shared" ref="BX107:BY107" si="245">SUM(BX98:BX106)</f>
        <v>13098935</v>
      </c>
      <c r="BY107" s="133">
        <f t="shared" si="245"/>
        <v>5431621</v>
      </c>
      <c r="BZ107" s="133">
        <f t="shared" ref="BZ107:CA107" si="246">SUM(BZ98:BZ106)</f>
        <v>-156867</v>
      </c>
      <c r="CA107" s="274">
        <f t="shared" si="246"/>
        <v>-3347831</v>
      </c>
      <c r="CB107" s="274">
        <f t="shared" ref="CB107:CC107" si="247">SUM(CB98:CB106)</f>
        <v>-6599890</v>
      </c>
      <c r="CC107" s="274">
        <f t="shared" si="247"/>
        <v>-8049569</v>
      </c>
      <c r="CD107" s="340">
        <f t="shared" ref="CD107:CE107" si="248">SUM(CD98:CD106)</f>
        <v>-8104147</v>
      </c>
      <c r="CE107" s="327">
        <f t="shared" si="248"/>
        <v>5720782</v>
      </c>
      <c r="CF107" s="327">
        <f t="shared" ref="CF107:CG107" si="249">SUM(CF98:CF106)</f>
        <v>4324668</v>
      </c>
      <c r="CG107" s="327">
        <f t="shared" si="249"/>
        <v>11233001</v>
      </c>
      <c r="CH107" s="327">
        <f t="shared" ref="CH107:CI107" si="250">SUM(CH98:CH106)</f>
        <v>8727855</v>
      </c>
      <c r="CI107" s="327">
        <f t="shared" si="250"/>
        <v>3309640</v>
      </c>
      <c r="CJ107" s="327">
        <f t="shared" ref="CJ107" si="251">SUM(CJ98:CJ106)</f>
        <v>23892</v>
      </c>
      <c r="CK107" s="327">
        <f t="shared" ref="CK107" si="252">SUM(CK98:CK106)</f>
        <v>1929901</v>
      </c>
      <c r="CL107" s="327">
        <f t="shared" ref="CL107" si="253">SUM(CL98:CL106)</f>
        <v>4408132</v>
      </c>
      <c r="CM107" s="327">
        <f t="shared" ref="CM107" si="254">SUM(CM98:CM106)</f>
        <v>7649425</v>
      </c>
      <c r="CN107" s="327">
        <f t="shared" ref="CN107" si="255">SUM(CN98:CN106)</f>
        <v>1359740</v>
      </c>
      <c r="CO107" s="327">
        <f t="shared" ref="CO107" si="256">SUM(CO98:CO106)</f>
        <v>4214248</v>
      </c>
      <c r="CP107" s="369">
        <f t="shared" ref="CP107" si="257">SUM(CP98:CP106)</f>
        <v>14293787</v>
      </c>
      <c r="CQ107" s="369">
        <f t="shared" ref="CQ107:CS107" si="258">SUM(CQ98:CQ106)</f>
        <v>1578533</v>
      </c>
      <c r="CR107" s="369">
        <f t="shared" ref="CR107:CS107" si="259">SUM(CR98:CR106)</f>
        <v>5569177</v>
      </c>
      <c r="CS107" s="369">
        <f t="shared" si="259"/>
        <v>4219490</v>
      </c>
      <c r="CT107" s="351"/>
      <c r="CU107" s="38">
        <f>CU98+CU101+CU104+CU105+CU106</f>
        <v>162239557</v>
      </c>
    </row>
    <row r="108" spans="1:10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48"/>
      <c r="CU108" s="81"/>
    </row>
    <row r="109" spans="1:100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86">
        <f t="shared" ref="BI109:BR113" si="260">O109-C109</f>
        <v>-9097569</v>
      </c>
      <c r="BJ109" s="87">
        <f t="shared" si="260"/>
        <v>4979584</v>
      </c>
      <c r="BK109" s="87">
        <f t="shared" si="260"/>
        <v>9959640</v>
      </c>
      <c r="BL109" s="87">
        <f t="shared" si="260"/>
        <v>1177378</v>
      </c>
      <c r="BM109" s="87">
        <f t="shared" si="260"/>
        <v>1712656</v>
      </c>
      <c r="BN109" s="87">
        <f t="shared" si="260"/>
        <v>131743</v>
      </c>
      <c r="BO109" s="87">
        <f t="shared" si="260"/>
        <v>1765430</v>
      </c>
      <c r="BP109" s="87">
        <f t="shared" si="260"/>
        <v>-1224380</v>
      </c>
      <c r="BQ109" s="87">
        <f t="shared" si="260"/>
        <v>-857340</v>
      </c>
      <c r="BR109" s="87">
        <f t="shared" si="260"/>
        <v>-13326602</v>
      </c>
      <c r="BS109" s="87">
        <f t="shared" ref="BS109:CB113" si="261">Y109-M109</f>
        <v>-3869374</v>
      </c>
      <c r="BT109" s="87">
        <f t="shared" si="261"/>
        <v>11989171</v>
      </c>
      <c r="BU109" s="87">
        <f t="shared" si="261"/>
        <v>14211642</v>
      </c>
      <c r="BV109" s="87">
        <f t="shared" si="261"/>
        <v>-3468114</v>
      </c>
      <c r="BW109" s="87">
        <f t="shared" si="261"/>
        <v>-12745643</v>
      </c>
      <c r="BX109" s="87">
        <f t="shared" si="261"/>
        <v>-417356</v>
      </c>
      <c r="BY109" s="87">
        <f t="shared" si="261"/>
        <v>-947390</v>
      </c>
      <c r="BZ109" s="87">
        <f t="shared" si="261"/>
        <v>567432</v>
      </c>
      <c r="CA109" s="267">
        <f t="shared" si="261"/>
        <v>-986983</v>
      </c>
      <c r="CB109" s="267">
        <f t="shared" si="261"/>
        <v>-3619653</v>
      </c>
      <c r="CC109" s="267">
        <f t="shared" ref="CC109:CL113" si="262">AI109-W109</f>
        <v>-2224908</v>
      </c>
      <c r="CD109" s="333">
        <f t="shared" si="262"/>
        <v>129780</v>
      </c>
      <c r="CE109" s="316">
        <f t="shared" si="262"/>
        <v>3064976</v>
      </c>
      <c r="CF109" s="316">
        <f t="shared" si="262"/>
        <v>-1753406</v>
      </c>
      <c r="CG109" s="316">
        <f t="shared" si="262"/>
        <v>-1176828</v>
      </c>
      <c r="CH109" s="316">
        <f t="shared" si="262"/>
        <v>-2419252</v>
      </c>
      <c r="CI109" s="316">
        <f t="shared" si="262"/>
        <v>1516528</v>
      </c>
      <c r="CJ109" s="316">
        <f t="shared" si="262"/>
        <v>-1712395</v>
      </c>
      <c r="CK109" s="316">
        <f t="shared" si="262"/>
        <v>-566773</v>
      </c>
      <c r="CL109" s="316">
        <f t="shared" si="262"/>
        <v>-619321</v>
      </c>
      <c r="CM109" s="316">
        <f t="shared" ref="CM109:CS113" si="263">AS109-AG109</f>
        <v>-110261</v>
      </c>
      <c r="CN109" s="316">
        <f t="shared" si="263"/>
        <v>2197238</v>
      </c>
      <c r="CO109" s="316">
        <f t="shared" si="263"/>
        <v>-5372110</v>
      </c>
      <c r="CP109" s="316">
        <f t="shared" si="263"/>
        <v>-1675610</v>
      </c>
      <c r="CQ109" s="316">
        <f t="shared" si="263"/>
        <v>-12061771</v>
      </c>
      <c r="CR109" s="316">
        <f t="shared" si="263"/>
        <v>-14894699</v>
      </c>
      <c r="CS109" s="316">
        <f t="shared" si="263"/>
        <v>-7226161</v>
      </c>
      <c r="CT109" s="348"/>
      <c r="CU109" s="67">
        <f>'MONTHLY SUMMARIES'!H73</f>
        <v>70786773</v>
      </c>
      <c r="CV109" s="134"/>
    </row>
    <row r="110" spans="1:100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86">
        <f t="shared" si="260"/>
        <v>-1388164</v>
      </c>
      <c r="BJ110" s="87">
        <f t="shared" si="260"/>
        <v>-104901</v>
      </c>
      <c r="BK110" s="87">
        <f t="shared" si="260"/>
        <v>83266</v>
      </c>
      <c r="BL110" s="87">
        <f t="shared" si="260"/>
        <v>89633</v>
      </c>
      <c r="BM110" s="87">
        <f t="shared" si="260"/>
        <v>314484</v>
      </c>
      <c r="BN110" s="87">
        <f t="shared" si="260"/>
        <v>-11448</v>
      </c>
      <c r="BO110" s="87">
        <f t="shared" si="260"/>
        <v>171544</v>
      </c>
      <c r="BP110" s="87">
        <f t="shared" si="260"/>
        <v>-102326</v>
      </c>
      <c r="BQ110" s="87">
        <f t="shared" si="260"/>
        <v>220022</v>
      </c>
      <c r="BR110" s="87">
        <f t="shared" si="260"/>
        <v>-719154</v>
      </c>
      <c r="BS110" s="87">
        <f t="shared" si="261"/>
        <v>1160146</v>
      </c>
      <c r="BT110" s="87">
        <f t="shared" si="261"/>
        <v>1741407</v>
      </c>
      <c r="BU110" s="87">
        <f t="shared" si="261"/>
        <v>2238951</v>
      </c>
      <c r="BV110" s="87">
        <f t="shared" si="261"/>
        <v>921328</v>
      </c>
      <c r="BW110" s="87">
        <f t="shared" si="261"/>
        <v>-328822</v>
      </c>
      <c r="BX110" s="87">
        <f t="shared" si="261"/>
        <v>516375</v>
      </c>
      <c r="BY110" s="87">
        <f t="shared" si="261"/>
        <v>429810</v>
      </c>
      <c r="BZ110" s="87">
        <f t="shared" si="261"/>
        <v>248329</v>
      </c>
      <c r="CA110" s="267">
        <f t="shared" si="261"/>
        <v>57359</v>
      </c>
      <c r="CB110" s="267">
        <f t="shared" si="261"/>
        <v>-111635</v>
      </c>
      <c r="CC110" s="267">
        <f t="shared" si="262"/>
        <v>65835</v>
      </c>
      <c r="CD110" s="333">
        <f t="shared" si="262"/>
        <v>1004041</v>
      </c>
      <c r="CE110" s="316">
        <f t="shared" si="262"/>
        <v>297856</v>
      </c>
      <c r="CF110" s="316">
        <f t="shared" si="262"/>
        <v>872789</v>
      </c>
      <c r="CG110" s="316">
        <f t="shared" si="262"/>
        <v>855216</v>
      </c>
      <c r="CH110" s="316">
        <f t="shared" si="262"/>
        <v>94147</v>
      </c>
      <c r="CI110" s="316">
        <f t="shared" si="262"/>
        <v>886598</v>
      </c>
      <c r="CJ110" s="316">
        <f t="shared" si="262"/>
        <v>74917</v>
      </c>
      <c r="CK110" s="316">
        <f t="shared" si="262"/>
        <v>-187521</v>
      </c>
      <c r="CL110" s="316">
        <f t="shared" si="262"/>
        <v>27132</v>
      </c>
      <c r="CM110" s="316">
        <f t="shared" si="263"/>
        <v>54141</v>
      </c>
      <c r="CN110" s="316">
        <f t="shared" si="263"/>
        <v>366085</v>
      </c>
      <c r="CO110" s="316">
        <f t="shared" si="263"/>
        <v>60572</v>
      </c>
      <c r="CP110" s="316">
        <f t="shared" si="263"/>
        <v>810361</v>
      </c>
      <c r="CQ110" s="316">
        <f t="shared" si="263"/>
        <v>-71139</v>
      </c>
      <c r="CR110" s="316">
        <f t="shared" si="263"/>
        <v>-607273</v>
      </c>
      <c r="CS110" s="316">
        <f t="shared" si="263"/>
        <v>-26168</v>
      </c>
      <c r="CT110" s="348"/>
      <c r="CU110" s="67">
        <f>'MONTHLY SUMMARIES'!H74</f>
        <v>8841196</v>
      </c>
      <c r="CV110" s="134"/>
    </row>
    <row r="111" spans="1:100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86">
        <f t="shared" si="260"/>
        <v>-1798403</v>
      </c>
      <c r="BJ111" s="87">
        <f t="shared" si="260"/>
        <v>-875204</v>
      </c>
      <c r="BK111" s="87">
        <f t="shared" si="260"/>
        <v>-7948</v>
      </c>
      <c r="BL111" s="87">
        <f t="shared" si="260"/>
        <v>-562059</v>
      </c>
      <c r="BM111" s="87">
        <f t="shared" si="260"/>
        <v>-125664</v>
      </c>
      <c r="BN111" s="87">
        <f t="shared" si="260"/>
        <v>-276326</v>
      </c>
      <c r="BO111" s="87">
        <f t="shared" si="260"/>
        <v>4614</v>
      </c>
      <c r="BP111" s="87">
        <f t="shared" si="260"/>
        <v>-237595</v>
      </c>
      <c r="BQ111" s="87">
        <f t="shared" si="260"/>
        <v>-203044</v>
      </c>
      <c r="BR111" s="87">
        <f t="shared" si="260"/>
        <v>-1541847</v>
      </c>
      <c r="BS111" s="87">
        <f t="shared" si="261"/>
        <v>-791066</v>
      </c>
      <c r="BT111" s="87">
        <f t="shared" si="261"/>
        <v>1351407</v>
      </c>
      <c r="BU111" s="87">
        <f t="shared" si="261"/>
        <v>2421203</v>
      </c>
      <c r="BV111" s="87">
        <f t="shared" si="261"/>
        <v>437709</v>
      </c>
      <c r="BW111" s="87">
        <f t="shared" si="261"/>
        <v>-669803</v>
      </c>
      <c r="BX111" s="87">
        <f t="shared" si="261"/>
        <v>430247</v>
      </c>
      <c r="BY111" s="87">
        <f t="shared" si="261"/>
        <v>64955</v>
      </c>
      <c r="BZ111" s="87">
        <f t="shared" si="261"/>
        <v>206871</v>
      </c>
      <c r="CA111" s="267">
        <f t="shared" si="261"/>
        <v>59729</v>
      </c>
      <c r="CB111" s="267">
        <f t="shared" si="261"/>
        <v>-370935</v>
      </c>
      <c r="CC111" s="267">
        <f t="shared" si="262"/>
        <v>-39684</v>
      </c>
      <c r="CD111" s="333">
        <f t="shared" si="262"/>
        <v>-388684</v>
      </c>
      <c r="CE111" s="316">
        <f t="shared" si="262"/>
        <v>587477</v>
      </c>
      <c r="CF111" s="316">
        <f t="shared" si="262"/>
        <v>561636</v>
      </c>
      <c r="CG111" s="316">
        <f t="shared" si="262"/>
        <v>-458467</v>
      </c>
      <c r="CH111" s="316">
        <f t="shared" si="262"/>
        <v>-163287</v>
      </c>
      <c r="CI111" s="316">
        <f t="shared" si="262"/>
        <v>154868</v>
      </c>
      <c r="CJ111" s="316">
        <f t="shared" si="262"/>
        <v>-156763</v>
      </c>
      <c r="CK111" s="316">
        <f t="shared" si="262"/>
        <v>-1331</v>
      </c>
      <c r="CL111" s="316">
        <f t="shared" si="262"/>
        <v>45539</v>
      </c>
      <c r="CM111" s="316">
        <f t="shared" si="263"/>
        <v>13222</v>
      </c>
      <c r="CN111" s="316">
        <f t="shared" si="263"/>
        <v>205150</v>
      </c>
      <c r="CO111" s="316">
        <f t="shared" si="263"/>
        <v>-479467</v>
      </c>
      <c r="CP111" s="316">
        <f t="shared" si="263"/>
        <v>47646</v>
      </c>
      <c r="CQ111" s="316">
        <f t="shared" si="263"/>
        <v>-1473143</v>
      </c>
      <c r="CR111" s="316">
        <f t="shared" si="263"/>
        <v>-1908812</v>
      </c>
      <c r="CS111" s="316">
        <f t="shared" si="263"/>
        <v>-843315</v>
      </c>
      <c r="CT111" s="348"/>
      <c r="CU111" s="67">
        <f>'MONTHLY SUMMARIES'!H75</f>
        <v>9896872</v>
      </c>
      <c r="CV111" s="134"/>
    </row>
    <row r="112" spans="1:100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86">
        <f t="shared" si="260"/>
        <v>-2290283</v>
      </c>
      <c r="BJ112" s="87">
        <f t="shared" si="260"/>
        <v>-1518276</v>
      </c>
      <c r="BK112" s="87">
        <f t="shared" si="260"/>
        <v>-340587</v>
      </c>
      <c r="BL112" s="87">
        <f t="shared" si="260"/>
        <v>-616672</v>
      </c>
      <c r="BM112" s="87">
        <f t="shared" si="260"/>
        <v>-543864</v>
      </c>
      <c r="BN112" s="87">
        <f t="shared" si="260"/>
        <v>-453997</v>
      </c>
      <c r="BO112" s="87">
        <f t="shared" si="260"/>
        <v>-87174</v>
      </c>
      <c r="BP112" s="87">
        <f t="shared" si="260"/>
        <v>-419414</v>
      </c>
      <c r="BQ112" s="87">
        <f t="shared" si="260"/>
        <v>-888867</v>
      </c>
      <c r="BR112" s="87">
        <f t="shared" si="260"/>
        <v>-1550926</v>
      </c>
      <c r="BS112" s="87">
        <f t="shared" si="261"/>
        <v>-598807</v>
      </c>
      <c r="BT112" s="87">
        <f t="shared" si="261"/>
        <v>1776520</v>
      </c>
      <c r="BU112" s="87">
        <f t="shared" si="261"/>
        <v>2566586</v>
      </c>
      <c r="BV112" s="87">
        <f t="shared" si="261"/>
        <v>626368</v>
      </c>
      <c r="BW112" s="87">
        <f t="shared" si="261"/>
        <v>-952822</v>
      </c>
      <c r="BX112" s="87">
        <f t="shared" si="261"/>
        <v>248743</v>
      </c>
      <c r="BY112" s="87">
        <f t="shared" si="261"/>
        <v>69740</v>
      </c>
      <c r="BZ112" s="87">
        <f t="shared" si="261"/>
        <v>480559</v>
      </c>
      <c r="CA112" s="267">
        <f t="shared" si="261"/>
        <v>37159</v>
      </c>
      <c r="CB112" s="267">
        <f t="shared" si="261"/>
        <v>-475776</v>
      </c>
      <c r="CC112" s="267">
        <f t="shared" si="262"/>
        <v>108493</v>
      </c>
      <c r="CD112" s="333">
        <f t="shared" si="262"/>
        <v>-505376</v>
      </c>
      <c r="CE112" s="316">
        <f t="shared" si="262"/>
        <v>7850</v>
      </c>
      <c r="CF112" s="316">
        <f t="shared" si="262"/>
        <v>109334</v>
      </c>
      <c r="CG112" s="316">
        <f t="shared" si="262"/>
        <v>-705202</v>
      </c>
      <c r="CH112" s="316">
        <f t="shared" si="262"/>
        <v>-235094</v>
      </c>
      <c r="CI112" s="316">
        <f t="shared" si="262"/>
        <v>376712</v>
      </c>
      <c r="CJ112" s="316">
        <f t="shared" si="262"/>
        <v>139632</v>
      </c>
      <c r="CK112" s="316">
        <f t="shared" si="262"/>
        <v>72140</v>
      </c>
      <c r="CL112" s="316">
        <f t="shared" si="262"/>
        <v>-325020</v>
      </c>
      <c r="CM112" s="316">
        <f t="shared" si="263"/>
        <v>58730</v>
      </c>
      <c r="CN112" s="316">
        <f t="shared" si="263"/>
        <v>222542</v>
      </c>
      <c r="CO112" s="316">
        <f t="shared" si="263"/>
        <v>-474882</v>
      </c>
      <c r="CP112" s="316">
        <f t="shared" si="263"/>
        <v>53359</v>
      </c>
      <c r="CQ112" s="316">
        <f t="shared" si="263"/>
        <v>-1014206</v>
      </c>
      <c r="CR112" s="316">
        <f t="shared" si="263"/>
        <v>-2044926</v>
      </c>
      <c r="CS112" s="316">
        <f t="shared" si="263"/>
        <v>-890014</v>
      </c>
      <c r="CT112" s="348"/>
      <c r="CU112" s="67">
        <f>'MONTHLY SUMMARIES'!H76</f>
        <v>11581528</v>
      </c>
      <c r="CV112" s="134"/>
    </row>
    <row r="113" spans="1:100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86">
        <f t="shared" si="260"/>
        <v>-5791203</v>
      </c>
      <c r="BJ113" s="87">
        <f t="shared" si="260"/>
        <v>-12587884</v>
      </c>
      <c r="BK113" s="87">
        <f t="shared" si="260"/>
        <v>-4542176</v>
      </c>
      <c r="BL113" s="87">
        <f t="shared" si="260"/>
        <v>-3408874</v>
      </c>
      <c r="BM113" s="87">
        <f t="shared" si="260"/>
        <v>-1101579</v>
      </c>
      <c r="BN113" s="87">
        <f t="shared" si="260"/>
        <v>-1529690</v>
      </c>
      <c r="BO113" s="87">
        <f t="shared" si="260"/>
        <v>-6730435</v>
      </c>
      <c r="BP113" s="87">
        <f t="shared" si="260"/>
        <v>-4198993</v>
      </c>
      <c r="BQ113" s="87">
        <f t="shared" si="260"/>
        <v>-1414684</v>
      </c>
      <c r="BR113" s="87">
        <f t="shared" si="260"/>
        <v>-9663669</v>
      </c>
      <c r="BS113" s="87">
        <f t="shared" si="261"/>
        <v>435696</v>
      </c>
      <c r="BT113" s="87">
        <f t="shared" si="261"/>
        <v>8330188</v>
      </c>
      <c r="BU113" s="87">
        <f t="shared" si="261"/>
        <v>4449710</v>
      </c>
      <c r="BV113" s="87">
        <f t="shared" si="261"/>
        <v>-1454542</v>
      </c>
      <c r="BW113" s="87">
        <f t="shared" si="261"/>
        <v>-1209376</v>
      </c>
      <c r="BX113" s="87">
        <f t="shared" si="261"/>
        <v>35562493</v>
      </c>
      <c r="BY113" s="87">
        <f t="shared" si="261"/>
        <v>-801928</v>
      </c>
      <c r="BZ113" s="87">
        <f t="shared" si="261"/>
        <v>4513641</v>
      </c>
      <c r="CA113" s="267">
        <f t="shared" si="261"/>
        <v>1692984</v>
      </c>
      <c r="CB113" s="267">
        <f t="shared" si="261"/>
        <v>27717768</v>
      </c>
      <c r="CC113" s="267">
        <f t="shared" si="262"/>
        <v>51671</v>
      </c>
      <c r="CD113" s="333">
        <f t="shared" si="262"/>
        <v>2282860</v>
      </c>
      <c r="CE113" s="316">
        <f t="shared" si="262"/>
        <v>-3762548</v>
      </c>
      <c r="CF113" s="316">
        <f t="shared" si="262"/>
        <v>-3779193</v>
      </c>
      <c r="CG113" s="316">
        <f t="shared" si="262"/>
        <v>-2259511</v>
      </c>
      <c r="CH113" s="316">
        <f t="shared" si="262"/>
        <v>-1453722</v>
      </c>
      <c r="CI113" s="316">
        <f t="shared" si="262"/>
        <v>-1185124</v>
      </c>
      <c r="CJ113" s="316">
        <f t="shared" si="262"/>
        <v>-35372787</v>
      </c>
      <c r="CK113" s="316">
        <f t="shared" si="262"/>
        <v>1077532</v>
      </c>
      <c r="CL113" s="316">
        <f t="shared" si="262"/>
        <v>-9797145</v>
      </c>
      <c r="CM113" s="316">
        <f t="shared" si="263"/>
        <v>-1747840</v>
      </c>
      <c r="CN113" s="316">
        <f t="shared" si="263"/>
        <v>-28899787</v>
      </c>
      <c r="CO113" s="316">
        <f t="shared" si="263"/>
        <v>-1384888</v>
      </c>
      <c r="CP113" s="316">
        <f t="shared" si="263"/>
        <v>-1414305</v>
      </c>
      <c r="CQ113" s="316">
        <f t="shared" si="263"/>
        <v>-5840693</v>
      </c>
      <c r="CR113" s="316">
        <f t="shared" si="263"/>
        <v>-3768729</v>
      </c>
      <c r="CS113" s="316">
        <f t="shared" si="263"/>
        <v>-3516986</v>
      </c>
      <c r="CT113" s="348"/>
      <c r="CU113" s="67">
        <f>'MONTHLY SUMMARIES'!H77</f>
        <v>51520163</v>
      </c>
      <c r="CV113" s="134"/>
    </row>
    <row r="114" spans="1:100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64">SUM(D109:D113)</f>
        <v>124651563</v>
      </c>
      <c r="E114" s="141">
        <f t="shared" si="264"/>
        <v>80908111</v>
      </c>
      <c r="F114" s="141">
        <f t="shared" si="264"/>
        <v>50000486</v>
      </c>
      <c r="G114" s="141">
        <f t="shared" si="264"/>
        <v>35302791</v>
      </c>
      <c r="H114" s="141">
        <f t="shared" si="264"/>
        <v>37498441</v>
      </c>
      <c r="I114" s="141">
        <f t="shared" si="264"/>
        <v>38643498</v>
      </c>
      <c r="J114" s="141">
        <f t="shared" si="264"/>
        <v>50611245</v>
      </c>
      <c r="K114" s="141">
        <f t="shared" si="264"/>
        <v>76041526</v>
      </c>
      <c r="L114" s="142">
        <f t="shared" si="264"/>
        <v>157800688</v>
      </c>
      <c r="M114" s="141">
        <f t="shared" si="264"/>
        <v>171897196</v>
      </c>
      <c r="N114" s="141">
        <f t="shared" si="264"/>
        <v>153091965</v>
      </c>
      <c r="O114" s="141">
        <f t="shared" si="264"/>
        <v>142985876</v>
      </c>
      <c r="P114" s="141">
        <f t="shared" si="264"/>
        <v>114544882</v>
      </c>
      <c r="Q114" s="141">
        <f t="shared" si="264"/>
        <v>86060306</v>
      </c>
      <c r="R114" s="141">
        <f t="shared" si="264"/>
        <v>46679892</v>
      </c>
      <c r="S114" s="141">
        <f t="shared" si="264"/>
        <v>35558824</v>
      </c>
      <c r="T114" s="141">
        <f t="shared" si="264"/>
        <v>35358723</v>
      </c>
      <c r="U114" s="141">
        <f t="shared" si="264"/>
        <v>33767477</v>
      </c>
      <c r="V114" s="141">
        <f t="shared" si="264"/>
        <v>44428537</v>
      </c>
      <c r="W114" s="141">
        <f t="shared" si="264"/>
        <v>72897613</v>
      </c>
      <c r="X114" s="142">
        <f t="shared" si="264"/>
        <v>130998490</v>
      </c>
      <c r="Y114" s="141">
        <v>168233791</v>
      </c>
      <c r="Z114" s="193">
        <v>178280658</v>
      </c>
      <c r="AA114" s="141">
        <f t="shared" ref="AA114" si="265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66">SUM(BI109:BI113)</f>
        <v>-20365622</v>
      </c>
      <c r="BJ114" s="143">
        <f t="shared" ref="BJ114:BK114" si="267">SUM(BJ109:BJ113)</f>
        <v>-10106681</v>
      </c>
      <c r="BK114" s="143">
        <f t="shared" si="267"/>
        <v>5152195</v>
      </c>
      <c r="BL114" s="143">
        <f t="shared" ref="BL114:BM114" si="268">SUM(BL109:BL113)</f>
        <v>-3320594</v>
      </c>
      <c r="BM114" s="143">
        <f t="shared" si="268"/>
        <v>256033</v>
      </c>
      <c r="BN114" s="143">
        <f t="shared" ref="BN114:BO114" si="269">SUM(BN109:BN113)</f>
        <v>-2139718</v>
      </c>
      <c r="BO114" s="143">
        <f t="shared" si="269"/>
        <v>-4876021</v>
      </c>
      <c r="BP114" s="143">
        <f t="shared" ref="BP114:BQ114" si="270">SUM(BP109:BP113)</f>
        <v>-6182708</v>
      </c>
      <c r="BQ114" s="143">
        <f t="shared" si="270"/>
        <v>-3143913</v>
      </c>
      <c r="BR114" s="143">
        <f t="shared" ref="BR114:BS114" si="271">SUM(BR109:BR113)</f>
        <v>-26802198</v>
      </c>
      <c r="BS114" s="143">
        <f t="shared" si="271"/>
        <v>-3663405</v>
      </c>
      <c r="BT114" s="143">
        <f t="shared" ref="BT114:BU114" si="272">SUM(BT109:BT113)</f>
        <v>25188693</v>
      </c>
      <c r="BU114" s="143">
        <f t="shared" si="272"/>
        <v>25888092</v>
      </c>
      <c r="BV114" s="143">
        <f t="shared" ref="BV114:BW114" si="273">SUM(BV109:BV113)</f>
        <v>-2937251</v>
      </c>
      <c r="BW114" s="143">
        <f t="shared" si="273"/>
        <v>-15906466</v>
      </c>
      <c r="BX114" s="143">
        <f t="shared" ref="BX114:BY114" si="274">SUM(BX109:BX113)</f>
        <v>36340502</v>
      </c>
      <c r="BY114" s="143">
        <f t="shared" si="274"/>
        <v>-1184813</v>
      </c>
      <c r="BZ114" s="143">
        <f t="shared" ref="BZ114:CA114" si="275">SUM(BZ109:BZ113)</f>
        <v>6016832</v>
      </c>
      <c r="CA114" s="268">
        <f t="shared" si="275"/>
        <v>860248</v>
      </c>
      <c r="CB114" s="268">
        <f t="shared" ref="CB114:CC114" si="276">SUM(CB109:CB113)</f>
        <v>23139769</v>
      </c>
      <c r="CC114" s="268">
        <f t="shared" si="276"/>
        <v>-2038593</v>
      </c>
      <c r="CD114" s="334">
        <f t="shared" ref="CD114:CE114" si="277">SUM(CD109:CD113)</f>
        <v>2522621</v>
      </c>
      <c r="CE114" s="317">
        <f t="shared" si="277"/>
        <v>195611</v>
      </c>
      <c r="CF114" s="317">
        <f t="shared" ref="CF114:CG114" si="278">SUM(CF109:CF113)</f>
        <v>-3988840</v>
      </c>
      <c r="CG114" s="317">
        <f t="shared" si="278"/>
        <v>-3744792</v>
      </c>
      <c r="CH114" s="317">
        <f t="shared" ref="CH114:CI114" si="279">SUM(CH109:CH113)</f>
        <v>-4177208</v>
      </c>
      <c r="CI114" s="317">
        <f t="shared" si="279"/>
        <v>1749582</v>
      </c>
      <c r="CJ114" s="317">
        <f t="shared" ref="CJ114" si="280">SUM(CJ109:CJ113)</f>
        <v>-37027396</v>
      </c>
      <c r="CK114" s="317">
        <f t="shared" ref="CK114" si="281">SUM(CK109:CK113)</f>
        <v>394047</v>
      </c>
      <c r="CL114" s="317">
        <f t="shared" ref="CL114" si="282">SUM(CL109:CL113)</f>
        <v>-10668815</v>
      </c>
      <c r="CM114" s="317">
        <f t="shared" ref="CM114" si="283">SUM(CM109:CM113)</f>
        <v>-1732008</v>
      </c>
      <c r="CN114" s="317">
        <f t="shared" ref="CN114" si="284">SUM(CN109:CN113)</f>
        <v>-25908772</v>
      </c>
      <c r="CO114" s="317">
        <f t="shared" ref="CO114" si="285">SUM(CO109:CO113)</f>
        <v>-7650775</v>
      </c>
      <c r="CP114" s="317">
        <f t="shared" ref="CP114" si="286">SUM(CP109:CP113)</f>
        <v>-2178549</v>
      </c>
      <c r="CQ114" s="317">
        <f t="shared" ref="CQ114:CS114" si="287">SUM(CQ109:CQ113)</f>
        <v>-20460952</v>
      </c>
      <c r="CR114" s="317">
        <f t="shared" ref="CR114:CS114" si="288">SUM(CR109:CR113)</f>
        <v>-23224439</v>
      </c>
      <c r="CS114" s="317">
        <f t="shared" si="288"/>
        <v>-12502644</v>
      </c>
      <c r="CT114" s="349"/>
      <c r="CU114" s="88">
        <f t="shared" ref="CU114" si="289">SUM(CU109:CU113)</f>
        <v>152626532</v>
      </c>
      <c r="CV114" s="134"/>
    </row>
    <row r="115" spans="1:10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50"/>
      <c r="CU115" s="52"/>
      <c r="CV115" s="134"/>
    </row>
    <row r="116" spans="1:100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7">
        <f t="shared" ref="BI116:BR120" si="290">O116-C116</f>
        <v>-19671755.13000001</v>
      </c>
      <c r="BJ116" s="103">
        <f t="shared" si="290"/>
        <v>2847286.9400000125</v>
      </c>
      <c r="BK116" s="103">
        <f t="shared" si="290"/>
        <v>10297466.109999999</v>
      </c>
      <c r="BL116" s="103">
        <f t="shared" si="290"/>
        <v>-100894.91000000015</v>
      </c>
      <c r="BM116" s="103">
        <f t="shared" si="290"/>
        <v>1634488.7999999989</v>
      </c>
      <c r="BN116" s="103">
        <f t="shared" si="290"/>
        <v>-951094.69999999925</v>
      </c>
      <c r="BO116" s="103">
        <f t="shared" si="290"/>
        <v>1358083.1799999997</v>
      </c>
      <c r="BP116" s="103">
        <f t="shared" si="290"/>
        <v>-3445180.75</v>
      </c>
      <c r="BQ116" s="103">
        <f t="shared" si="290"/>
        <v>-1296979.0700000003</v>
      </c>
      <c r="BR116" s="103">
        <f t="shared" si="290"/>
        <v>-11565377.289999992</v>
      </c>
      <c r="BS116" s="103">
        <f t="shared" ref="BS116:CB120" si="291">Y116-M116</f>
        <v>2554037.3799999952</v>
      </c>
      <c r="BT116" s="103">
        <f t="shared" si="291"/>
        <v>25712798.280000001</v>
      </c>
      <c r="BU116" s="103">
        <f t="shared" si="291"/>
        <v>28359687.100000009</v>
      </c>
      <c r="BV116" s="103">
        <f t="shared" si="291"/>
        <v>785758.75999999046</v>
      </c>
      <c r="BW116" s="103">
        <f t="shared" si="291"/>
        <v>-13428313.130000003</v>
      </c>
      <c r="BX116" s="103">
        <f t="shared" si="291"/>
        <v>2319058.5800000019</v>
      </c>
      <c r="BY116" s="103">
        <f t="shared" si="291"/>
        <v>278921.3900000006</v>
      </c>
      <c r="BZ116" s="103">
        <f t="shared" si="291"/>
        <v>2602018.0500000007</v>
      </c>
      <c r="CA116" s="277">
        <f t="shared" si="291"/>
        <v>1482692.1500000004</v>
      </c>
      <c r="CB116" s="277">
        <f t="shared" si="291"/>
        <v>161669</v>
      </c>
      <c r="CC116" s="277">
        <f t="shared" ref="CC116:CL120" si="292">AI116-W116</f>
        <v>6915902.1300000027</v>
      </c>
      <c r="CD116" s="341">
        <f t="shared" si="292"/>
        <v>21127152.939999998</v>
      </c>
      <c r="CE116" s="321">
        <f t="shared" si="292"/>
        <v>31535066</v>
      </c>
      <c r="CF116" s="321">
        <f t="shared" si="292"/>
        <v>21422517</v>
      </c>
      <c r="CG116" s="321">
        <f t="shared" si="292"/>
        <v>28809896.379999995</v>
      </c>
      <c r="CH116" s="321">
        <f t="shared" si="292"/>
        <v>18294442.840000004</v>
      </c>
      <c r="CI116" s="321">
        <f t="shared" si="292"/>
        <v>15935829</v>
      </c>
      <c r="CJ116" s="321">
        <f t="shared" si="292"/>
        <v>6737872.4699999988</v>
      </c>
      <c r="CK116" s="321">
        <f t="shared" si="292"/>
        <v>6691569</v>
      </c>
      <c r="CL116" s="321">
        <f t="shared" si="292"/>
        <v>4799003.2899999991</v>
      </c>
      <c r="CM116" s="321">
        <f t="shared" ref="CM116:CS120" si="293">AS116-AG116</f>
        <v>5201656</v>
      </c>
      <c r="CN116" s="321">
        <f t="shared" si="293"/>
        <v>12543753</v>
      </c>
      <c r="CO116" s="321">
        <f t="shared" si="293"/>
        <v>5730846</v>
      </c>
      <c r="CP116" s="321">
        <f t="shared" si="293"/>
        <v>24071159</v>
      </c>
      <c r="CQ116" s="321">
        <f t="shared" si="293"/>
        <v>6563290</v>
      </c>
      <c r="CR116" s="321">
        <f t="shared" si="293"/>
        <v>1232097</v>
      </c>
      <c r="CS116" s="321">
        <f t="shared" si="293"/>
        <v>-1781977</v>
      </c>
      <c r="CT116" s="350"/>
      <c r="CU116" s="67">
        <f>'MONTHLY SUMMARIES'!H80</f>
        <v>152231894</v>
      </c>
      <c r="CV116" s="134"/>
    </row>
    <row r="117" spans="1:100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7">
        <f t="shared" si="290"/>
        <v>-2569156.2000000011</v>
      </c>
      <c r="BJ117" s="103">
        <f t="shared" si="290"/>
        <v>-607698.91999999993</v>
      </c>
      <c r="BK117" s="103">
        <f t="shared" si="290"/>
        <v>-278850.79999999981</v>
      </c>
      <c r="BL117" s="103">
        <f t="shared" si="290"/>
        <v>-58469.419999999925</v>
      </c>
      <c r="BM117" s="103">
        <f t="shared" si="290"/>
        <v>361974.8600000001</v>
      </c>
      <c r="BN117" s="103">
        <f t="shared" si="290"/>
        <v>-119174.60999999987</v>
      </c>
      <c r="BO117" s="103">
        <f t="shared" si="290"/>
        <v>134567.44999999995</v>
      </c>
      <c r="BP117" s="103">
        <f t="shared" si="290"/>
        <v>-267625.01</v>
      </c>
      <c r="BQ117" s="103">
        <f t="shared" si="290"/>
        <v>327623.39000000013</v>
      </c>
      <c r="BR117" s="103">
        <f t="shared" si="290"/>
        <v>-231052.30000000075</v>
      </c>
      <c r="BS117" s="103">
        <f t="shared" si="291"/>
        <v>2586840.67</v>
      </c>
      <c r="BT117" s="103">
        <f t="shared" si="291"/>
        <v>3392579.9700000007</v>
      </c>
      <c r="BU117" s="103">
        <f t="shared" si="291"/>
        <v>4086571.5500000007</v>
      </c>
      <c r="BV117" s="103">
        <f t="shared" si="291"/>
        <v>2119230.5799999991</v>
      </c>
      <c r="BW117" s="103">
        <f t="shared" si="291"/>
        <v>19878.290000000037</v>
      </c>
      <c r="BX117" s="103">
        <f t="shared" si="291"/>
        <v>1093607.83</v>
      </c>
      <c r="BY117" s="103">
        <f t="shared" si="291"/>
        <v>895392.1399999999</v>
      </c>
      <c r="BZ117" s="103">
        <f t="shared" si="291"/>
        <v>572912.7899999998</v>
      </c>
      <c r="CA117" s="277">
        <f t="shared" si="291"/>
        <v>410058.02</v>
      </c>
      <c r="CB117" s="277">
        <f t="shared" si="291"/>
        <v>346860</v>
      </c>
      <c r="CC117" s="277">
        <f t="shared" si="292"/>
        <v>1101248.96</v>
      </c>
      <c r="CD117" s="341">
        <f t="shared" si="292"/>
        <v>3796069.3900000006</v>
      </c>
      <c r="CE117" s="321">
        <f t="shared" si="292"/>
        <v>3230389</v>
      </c>
      <c r="CF117" s="321">
        <f t="shared" si="292"/>
        <v>3994301</v>
      </c>
      <c r="CG117" s="321">
        <f t="shared" si="292"/>
        <v>4782843.91</v>
      </c>
      <c r="CH117" s="321">
        <f t="shared" si="292"/>
        <v>2888015.7300000004</v>
      </c>
      <c r="CI117" s="321">
        <f t="shared" si="292"/>
        <v>3270746.25</v>
      </c>
      <c r="CJ117" s="321">
        <f t="shared" si="292"/>
        <v>1445904.63</v>
      </c>
      <c r="CK117" s="321">
        <f t="shared" si="292"/>
        <v>766631</v>
      </c>
      <c r="CL117" s="321">
        <f t="shared" si="292"/>
        <v>777815.3600000001</v>
      </c>
      <c r="CM117" s="321">
        <f t="shared" si="293"/>
        <v>715345</v>
      </c>
      <c r="CN117" s="321">
        <f t="shared" si="293"/>
        <v>1669735</v>
      </c>
      <c r="CO117" s="321">
        <f t="shared" si="293"/>
        <v>2036853</v>
      </c>
      <c r="CP117" s="321">
        <f t="shared" si="293"/>
        <v>4963196</v>
      </c>
      <c r="CQ117" s="321">
        <f t="shared" si="293"/>
        <v>3408062</v>
      </c>
      <c r="CR117" s="321">
        <f t="shared" si="293"/>
        <v>2454433</v>
      </c>
      <c r="CS117" s="321">
        <f t="shared" si="293"/>
        <v>1705014</v>
      </c>
      <c r="CT117" s="350"/>
      <c r="CU117" s="67">
        <f>'MONTHLY SUMMARIES'!H81</f>
        <v>19103190</v>
      </c>
      <c r="CV117" s="134"/>
    </row>
    <row r="118" spans="1:100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7">
        <f t="shared" si="290"/>
        <v>-2901003.0700000003</v>
      </c>
      <c r="BJ118" s="103">
        <f t="shared" si="290"/>
        <v>-1460074.2899999991</v>
      </c>
      <c r="BK118" s="103">
        <f t="shared" si="290"/>
        <v>-352846.04000000004</v>
      </c>
      <c r="BL118" s="103">
        <f t="shared" si="290"/>
        <v>-704461.23999999976</v>
      </c>
      <c r="BM118" s="103">
        <f t="shared" si="290"/>
        <v>-194526.62000000011</v>
      </c>
      <c r="BN118" s="103">
        <f t="shared" si="290"/>
        <v>-444884.08999999985</v>
      </c>
      <c r="BO118" s="103">
        <f t="shared" si="290"/>
        <v>-67498.180000000168</v>
      </c>
      <c r="BP118" s="103">
        <f t="shared" si="290"/>
        <v>-530771.68000000017</v>
      </c>
      <c r="BQ118" s="103">
        <f t="shared" si="290"/>
        <v>-323342.43999999948</v>
      </c>
      <c r="BR118" s="103">
        <f t="shared" si="290"/>
        <v>-1594171.629999999</v>
      </c>
      <c r="BS118" s="103">
        <f t="shared" si="291"/>
        <v>-508593.16999999993</v>
      </c>
      <c r="BT118" s="103">
        <f t="shared" si="291"/>
        <v>1858062.2799999993</v>
      </c>
      <c r="BU118" s="103">
        <f t="shared" si="291"/>
        <v>3017405.8800000008</v>
      </c>
      <c r="BV118" s="103">
        <f t="shared" si="291"/>
        <v>746974.29</v>
      </c>
      <c r="BW118" s="103">
        <f t="shared" si="291"/>
        <v>-632035.29</v>
      </c>
      <c r="BX118" s="103">
        <f t="shared" si="291"/>
        <v>531432.89999999991</v>
      </c>
      <c r="BY118" s="103">
        <f t="shared" si="291"/>
        <v>110524.12000000011</v>
      </c>
      <c r="BZ118" s="103">
        <f t="shared" si="291"/>
        <v>365027.14999999991</v>
      </c>
      <c r="CA118" s="277">
        <f t="shared" si="291"/>
        <v>301493.93000000017</v>
      </c>
      <c r="CB118" s="277">
        <f t="shared" si="291"/>
        <v>30741</v>
      </c>
      <c r="CC118" s="277">
        <f t="shared" si="292"/>
        <v>879937.76999999955</v>
      </c>
      <c r="CD118" s="341">
        <f t="shared" si="292"/>
        <v>2005433.7599999998</v>
      </c>
      <c r="CE118" s="321">
        <f t="shared" si="292"/>
        <v>3644126</v>
      </c>
      <c r="CF118" s="321">
        <f t="shared" si="292"/>
        <v>3460817</v>
      </c>
      <c r="CG118" s="321">
        <f t="shared" si="292"/>
        <v>3030929.42</v>
      </c>
      <c r="CH118" s="321">
        <f t="shared" si="292"/>
        <v>2250608.7199999997</v>
      </c>
      <c r="CI118" s="321">
        <f t="shared" si="292"/>
        <v>1699715.9100000001</v>
      </c>
      <c r="CJ118" s="321">
        <f t="shared" si="292"/>
        <v>932085.25</v>
      </c>
      <c r="CK118" s="321">
        <f t="shared" si="292"/>
        <v>955837</v>
      </c>
      <c r="CL118" s="321">
        <f t="shared" si="292"/>
        <v>804408.25</v>
      </c>
      <c r="CM118" s="321">
        <f t="shared" si="293"/>
        <v>673560</v>
      </c>
      <c r="CN118" s="321">
        <f t="shared" si="293"/>
        <v>1385380</v>
      </c>
      <c r="CO118" s="321">
        <f t="shared" si="293"/>
        <v>1157901</v>
      </c>
      <c r="CP118" s="321">
        <f t="shared" si="293"/>
        <v>2940114</v>
      </c>
      <c r="CQ118" s="321">
        <f t="shared" si="293"/>
        <v>1013859</v>
      </c>
      <c r="CR118" s="321">
        <f t="shared" si="293"/>
        <v>378468</v>
      </c>
      <c r="CS118" s="321">
        <f t="shared" si="293"/>
        <v>-281477</v>
      </c>
      <c r="CT118" s="350"/>
      <c r="CU118" s="67">
        <f>'MONTHLY SUMMARIES'!H82</f>
        <v>16087108</v>
      </c>
      <c r="CV118" s="134"/>
    </row>
    <row r="119" spans="1:100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7">
        <f t="shared" si="290"/>
        <v>-3292308.66</v>
      </c>
      <c r="BJ119" s="103">
        <f t="shared" si="290"/>
        <v>-1942931.2000000011</v>
      </c>
      <c r="BK119" s="103">
        <f t="shared" si="290"/>
        <v>-672657.56000000052</v>
      </c>
      <c r="BL119" s="103">
        <f t="shared" si="290"/>
        <v>-728412.5</v>
      </c>
      <c r="BM119" s="103">
        <f t="shared" si="290"/>
        <v>-637463.48999999976</v>
      </c>
      <c r="BN119" s="103">
        <f t="shared" si="290"/>
        <v>-685529.3200000003</v>
      </c>
      <c r="BO119" s="103">
        <f t="shared" si="290"/>
        <v>-282884.29999999981</v>
      </c>
      <c r="BP119" s="103">
        <f t="shared" si="290"/>
        <v>-667590.29</v>
      </c>
      <c r="BQ119" s="103">
        <f t="shared" si="290"/>
        <v>-1140617.7299999995</v>
      </c>
      <c r="BR119" s="103">
        <f t="shared" si="290"/>
        <v>-1424248.3500000015</v>
      </c>
      <c r="BS119" s="103">
        <f t="shared" si="291"/>
        <v>-317284.1400000006</v>
      </c>
      <c r="BT119" s="103">
        <f t="shared" si="291"/>
        <v>2039621.7699999996</v>
      </c>
      <c r="BU119" s="103">
        <f t="shared" si="291"/>
        <v>2805965.2699999996</v>
      </c>
      <c r="BV119" s="103">
        <f t="shared" si="291"/>
        <v>969502.95000000112</v>
      </c>
      <c r="BW119" s="103">
        <f t="shared" si="291"/>
        <v>-787325.8599999994</v>
      </c>
      <c r="BX119" s="103">
        <f t="shared" si="291"/>
        <v>332194.52</v>
      </c>
      <c r="BY119" s="103">
        <f t="shared" si="291"/>
        <v>235677.75999999978</v>
      </c>
      <c r="BZ119" s="103">
        <f t="shared" si="291"/>
        <v>690057.18000000017</v>
      </c>
      <c r="CA119" s="277">
        <f t="shared" si="291"/>
        <v>308124.06999999983</v>
      </c>
      <c r="CB119" s="277">
        <f t="shared" si="291"/>
        <v>92146</v>
      </c>
      <c r="CC119" s="277">
        <f t="shared" si="292"/>
        <v>1014847.5199999996</v>
      </c>
      <c r="CD119" s="341">
        <f t="shared" si="292"/>
        <v>1893624.2100000009</v>
      </c>
      <c r="CE119" s="321">
        <f t="shared" si="292"/>
        <v>3122886</v>
      </c>
      <c r="CF119" s="321">
        <f t="shared" si="292"/>
        <v>2916426</v>
      </c>
      <c r="CG119" s="321">
        <f t="shared" si="292"/>
        <v>2774087.4600000009</v>
      </c>
      <c r="CH119" s="321">
        <f t="shared" si="292"/>
        <v>2259378.0399999991</v>
      </c>
      <c r="CI119" s="321">
        <f t="shared" si="292"/>
        <v>2079188.5999999996</v>
      </c>
      <c r="CJ119" s="321">
        <f t="shared" si="292"/>
        <v>1436923.81</v>
      </c>
      <c r="CK119" s="321">
        <f t="shared" si="292"/>
        <v>1424666</v>
      </c>
      <c r="CL119" s="321">
        <f t="shared" si="292"/>
        <v>583559.96</v>
      </c>
      <c r="CM119" s="321">
        <f t="shared" si="293"/>
        <v>832671</v>
      </c>
      <c r="CN119" s="321">
        <f t="shared" si="293"/>
        <v>1645667</v>
      </c>
      <c r="CO119" s="321">
        <f t="shared" si="293"/>
        <v>1485704</v>
      </c>
      <c r="CP119" s="321">
        <f t="shared" si="293"/>
        <v>2928336</v>
      </c>
      <c r="CQ119" s="321">
        <f t="shared" si="293"/>
        <v>1765690</v>
      </c>
      <c r="CR119" s="321">
        <f t="shared" si="293"/>
        <v>439920</v>
      </c>
      <c r="CS119" s="321">
        <f t="shared" si="293"/>
        <v>28676</v>
      </c>
      <c r="CT119" s="350"/>
      <c r="CU119" s="67">
        <f>'MONTHLY SUMMARIES'!H83</f>
        <v>16144006</v>
      </c>
      <c r="CV119" s="134"/>
    </row>
    <row r="120" spans="1:100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7">
        <f t="shared" si="290"/>
        <v>-7484443.3999999985</v>
      </c>
      <c r="BJ120" s="103">
        <f t="shared" si="290"/>
        <v>-15166014.619999997</v>
      </c>
      <c r="BK120" s="103">
        <f t="shared" si="290"/>
        <v>-3077382.1799999997</v>
      </c>
      <c r="BL120" s="103">
        <f t="shared" si="290"/>
        <v>-2495201.9399999995</v>
      </c>
      <c r="BM120" s="103">
        <f t="shared" si="290"/>
        <v>-293489.4299999997</v>
      </c>
      <c r="BN120" s="103">
        <f t="shared" si="290"/>
        <v>-1294601.4399999995</v>
      </c>
      <c r="BO120" s="103">
        <f t="shared" si="290"/>
        <v>-3292636.4499999993</v>
      </c>
      <c r="BP120" s="103">
        <f t="shared" si="290"/>
        <v>-3898804.08</v>
      </c>
      <c r="BQ120" s="103">
        <f t="shared" si="290"/>
        <v>-1161997.3299999982</v>
      </c>
      <c r="BR120" s="103">
        <f t="shared" si="290"/>
        <v>-5665846.200000003</v>
      </c>
      <c r="BS120" s="103">
        <f t="shared" si="291"/>
        <v>-855959.8200000003</v>
      </c>
      <c r="BT120" s="103">
        <f t="shared" si="291"/>
        <v>5065222.8299999982</v>
      </c>
      <c r="BU120" s="103">
        <f t="shared" si="291"/>
        <v>2837052.7100000009</v>
      </c>
      <c r="BV120" s="103">
        <f t="shared" si="291"/>
        <v>95497.339999999851</v>
      </c>
      <c r="BW120" s="103">
        <f t="shared" si="291"/>
        <v>-2931107.7600000016</v>
      </c>
      <c r="BX120" s="103">
        <f t="shared" si="291"/>
        <v>15866149.220000001</v>
      </c>
      <c r="BY120" s="103">
        <f t="shared" si="291"/>
        <v>-486736.41000000015</v>
      </c>
      <c r="BZ120" s="103">
        <f t="shared" si="291"/>
        <v>2304181.1400000006</v>
      </c>
      <c r="CA120" s="277">
        <f t="shared" si="291"/>
        <v>2250248.2599999998</v>
      </c>
      <c r="CB120" s="277">
        <f t="shared" si="291"/>
        <v>6738637</v>
      </c>
      <c r="CC120" s="277">
        <f t="shared" si="292"/>
        <v>1998878</v>
      </c>
      <c r="CD120" s="341">
        <f t="shared" si="292"/>
        <v>7576133.3599999994</v>
      </c>
      <c r="CE120" s="321">
        <f t="shared" si="292"/>
        <v>8484336</v>
      </c>
      <c r="CF120" s="321">
        <f t="shared" si="292"/>
        <v>4606870</v>
      </c>
      <c r="CG120" s="321">
        <f t="shared" si="292"/>
        <v>9439751.6400000006</v>
      </c>
      <c r="CH120" s="321">
        <f t="shared" si="292"/>
        <v>6933932.870000001</v>
      </c>
      <c r="CI120" s="321">
        <f t="shared" si="292"/>
        <v>6019196.8200000003</v>
      </c>
      <c r="CJ120" s="321">
        <f t="shared" si="292"/>
        <v>-11833056.460000001</v>
      </c>
      <c r="CK120" s="321">
        <f t="shared" si="292"/>
        <v>4097019</v>
      </c>
      <c r="CL120" s="321">
        <f t="shared" si="292"/>
        <v>-1324897.8800000008</v>
      </c>
      <c r="CM120" s="321">
        <f t="shared" si="293"/>
        <v>1346582</v>
      </c>
      <c r="CN120" s="321">
        <f t="shared" si="293"/>
        <v>-2427286</v>
      </c>
      <c r="CO120" s="321">
        <f t="shared" si="293"/>
        <v>6101003</v>
      </c>
      <c r="CP120" s="321">
        <f t="shared" si="293"/>
        <v>8855001</v>
      </c>
      <c r="CQ120" s="321">
        <f t="shared" si="293"/>
        <v>4602727</v>
      </c>
      <c r="CR120" s="321">
        <f t="shared" si="293"/>
        <v>6160003</v>
      </c>
      <c r="CS120" s="321">
        <f t="shared" si="293"/>
        <v>3307983</v>
      </c>
      <c r="CT120" s="350"/>
      <c r="CU120" s="67">
        <f>'MONTHLY SUMMARIES'!H84</f>
        <v>50461158</v>
      </c>
      <c r="CV120" s="134"/>
    </row>
    <row r="121" spans="1:100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94">SUM(D116:D120)</f>
        <v>145905938.97</v>
      </c>
      <c r="E121" s="136">
        <f t="shared" si="294"/>
        <v>86326392.640000001</v>
      </c>
      <c r="F121" s="136">
        <f t="shared" si="294"/>
        <v>46376852.259999998</v>
      </c>
      <c r="G121" s="136">
        <f t="shared" si="294"/>
        <v>33738288.880000003</v>
      </c>
      <c r="H121" s="136">
        <f t="shared" si="294"/>
        <v>34565149.870000005</v>
      </c>
      <c r="I121" s="136">
        <f t="shared" si="294"/>
        <v>33164286.869999997</v>
      </c>
      <c r="J121" s="136">
        <f t="shared" si="294"/>
        <v>47392016.810000002</v>
      </c>
      <c r="K121" s="136">
        <f t="shared" si="294"/>
        <v>76922660.799999997</v>
      </c>
      <c r="L121" s="138">
        <f t="shared" si="294"/>
        <v>181801823.10999998</v>
      </c>
      <c r="M121" s="136">
        <f t="shared" si="294"/>
        <v>195418013.07999998</v>
      </c>
      <c r="N121" s="145">
        <f t="shared" si="294"/>
        <v>172806956.87</v>
      </c>
      <c r="O121" s="145">
        <f t="shared" si="294"/>
        <v>161104945.68000001</v>
      </c>
      <c r="P121" s="145">
        <f t="shared" si="294"/>
        <v>129576506.88</v>
      </c>
      <c r="Q121" s="145">
        <f t="shared" si="294"/>
        <v>92242122.170000002</v>
      </c>
      <c r="R121" s="145">
        <f t="shared" si="294"/>
        <v>42289412.25</v>
      </c>
      <c r="S121" s="145">
        <f t="shared" si="294"/>
        <v>34609273</v>
      </c>
      <c r="T121" s="145">
        <f t="shared" si="294"/>
        <v>31069865.710000001</v>
      </c>
      <c r="U121" s="145">
        <f t="shared" si="294"/>
        <v>31013918.57</v>
      </c>
      <c r="V121" s="145">
        <f t="shared" si="294"/>
        <v>38582045</v>
      </c>
      <c r="W121" s="145">
        <f t="shared" si="294"/>
        <v>73327347.620000005</v>
      </c>
      <c r="X121" s="138">
        <f t="shared" si="294"/>
        <v>161321127.33999997</v>
      </c>
      <c r="Y121" s="145">
        <v>198877054</v>
      </c>
      <c r="Z121" s="242">
        <v>210875242</v>
      </c>
      <c r="AA121" s="145">
        <f t="shared" ref="AA121" si="29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66"/>
        <v>-35918666.460000008</v>
      </c>
      <c r="BJ121" s="139">
        <f t="shared" ref="BJ121:BK121" si="296">SUM(BJ116:BJ120)</f>
        <v>-16329432.089999985</v>
      </c>
      <c r="BK121" s="139">
        <f t="shared" si="296"/>
        <v>5915729.5299999993</v>
      </c>
      <c r="BL121" s="139">
        <f t="shared" ref="BL121:BM121" si="297">SUM(BL116:BL120)</f>
        <v>-4087440.0099999993</v>
      </c>
      <c r="BM121" s="139">
        <f t="shared" si="297"/>
        <v>870984.11999999941</v>
      </c>
      <c r="BN121" s="139">
        <f t="shared" ref="BN121:BO121" si="298">SUM(BN116:BN120)</f>
        <v>-3495284.1599999988</v>
      </c>
      <c r="BO121" s="139">
        <f t="shared" si="298"/>
        <v>-2150368.2999999998</v>
      </c>
      <c r="BP121" s="139">
        <f t="shared" ref="BP121:BQ121" si="299">SUM(BP116:BP120)</f>
        <v>-8809971.8099999987</v>
      </c>
      <c r="BQ121" s="139">
        <f t="shared" si="299"/>
        <v>-3595313.1799999974</v>
      </c>
      <c r="BR121" s="139">
        <f t="shared" ref="BR121:BS121" si="300">SUM(BR116:BR120)</f>
        <v>-20480695.769999996</v>
      </c>
      <c r="BS121" s="139">
        <f t="shared" si="300"/>
        <v>3459040.9199999943</v>
      </c>
      <c r="BT121" s="139">
        <f t="shared" ref="BT121:BU121" si="301">SUM(BT116:BT120)</f>
        <v>38068285.129999995</v>
      </c>
      <c r="BU121" s="139">
        <f t="shared" si="301"/>
        <v>41106682.510000013</v>
      </c>
      <c r="BV121" s="139">
        <f t="shared" ref="BV121:BW121" si="302">SUM(BV116:BV120)</f>
        <v>4716963.9199999906</v>
      </c>
      <c r="BW121" s="139">
        <f t="shared" si="302"/>
        <v>-17758903.750000004</v>
      </c>
      <c r="BX121" s="139">
        <f t="shared" ref="BX121:BY121" si="303">SUM(BX116:BX120)</f>
        <v>20142443.050000004</v>
      </c>
      <c r="BY121" s="139">
        <f t="shared" si="303"/>
        <v>1033779.0000000002</v>
      </c>
      <c r="BZ121" s="139">
        <f t="shared" ref="BZ121:CA121" si="304">SUM(BZ116:BZ120)</f>
        <v>6534196.3100000015</v>
      </c>
      <c r="CA121" s="278">
        <f t="shared" si="304"/>
        <v>4752616.43</v>
      </c>
      <c r="CB121" s="278">
        <f t="shared" ref="CB121:CC121" si="305">SUM(CB116:CB120)</f>
        <v>7370053</v>
      </c>
      <c r="CC121" s="278">
        <f t="shared" si="305"/>
        <v>11910814.380000003</v>
      </c>
      <c r="CD121" s="342">
        <f t="shared" ref="CD121:CE121" si="306">SUM(CD116:CD120)</f>
        <v>36398413.659999996</v>
      </c>
      <c r="CE121" s="322">
        <f t="shared" si="306"/>
        <v>50016803</v>
      </c>
      <c r="CF121" s="322">
        <f t="shared" ref="CF121:CG121" si="307">SUM(CF116:CF120)</f>
        <v>36400931</v>
      </c>
      <c r="CG121" s="322">
        <f t="shared" si="307"/>
        <v>48837508.809999995</v>
      </c>
      <c r="CH121" s="322">
        <f t="shared" ref="CH121:CI121" si="308">SUM(CH116:CH120)</f>
        <v>32626378.200000003</v>
      </c>
      <c r="CI121" s="322">
        <f t="shared" si="308"/>
        <v>29004676.579999998</v>
      </c>
      <c r="CJ121" s="322">
        <f t="shared" ref="CJ121" si="309">SUM(CJ116:CJ120)</f>
        <v>-1280270.3000000026</v>
      </c>
      <c r="CK121" s="322">
        <f t="shared" ref="CK121" si="310">SUM(CK116:CK120)</f>
        <v>13935722</v>
      </c>
      <c r="CL121" s="322">
        <f t="shared" ref="CL121" si="311">SUM(CL116:CL120)</f>
        <v>5639888.9799999986</v>
      </c>
      <c r="CM121" s="322">
        <f t="shared" ref="CM121" si="312">SUM(CM116:CM120)</f>
        <v>8769814</v>
      </c>
      <c r="CN121" s="322">
        <f t="shared" ref="CN121" si="313">SUM(CN116:CN120)</f>
        <v>14817249</v>
      </c>
      <c r="CO121" s="322">
        <f t="shared" ref="CO121" si="314">SUM(CO116:CO120)</f>
        <v>16512307</v>
      </c>
      <c r="CP121" s="322">
        <f t="shared" ref="CP121" si="315">SUM(CP116:CP120)</f>
        <v>43757806</v>
      </c>
      <c r="CQ121" s="322">
        <f t="shared" ref="CQ121:CS121" si="316">SUM(CQ116:CQ120)</f>
        <v>17353628</v>
      </c>
      <c r="CR121" s="322">
        <f t="shared" ref="CR121:CS121" si="317">SUM(CR116:CR120)</f>
        <v>10664921</v>
      </c>
      <c r="CS121" s="322">
        <f t="shared" si="317"/>
        <v>2978219</v>
      </c>
      <c r="CT121" s="351"/>
      <c r="CU121" s="137">
        <f t="shared" ref="CU121:CU128" si="318">SUM(CU116:CU120)</f>
        <v>254027356</v>
      </c>
    </row>
    <row r="122" spans="1:100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50"/>
      <c r="CU122" s="52"/>
      <c r="CV122" s="134"/>
    </row>
    <row r="123" spans="1:100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173">
        <f t="shared" ref="BI123:BR127" si="319">O123-C123</f>
        <v>1389935.9700000002</v>
      </c>
      <c r="BJ123" s="103">
        <f t="shared" si="319"/>
        <v>1133145.4200000002</v>
      </c>
      <c r="BK123" s="103">
        <f t="shared" si="319"/>
        <v>841298.01</v>
      </c>
      <c r="BL123" s="103">
        <f t="shared" si="319"/>
        <v>333386.38</v>
      </c>
      <c r="BM123" s="103">
        <f t="shared" si="319"/>
        <v>249900.6</v>
      </c>
      <c r="BN123" s="103">
        <f t="shared" si="319"/>
        <v>187815.56000000003</v>
      </c>
      <c r="BO123" s="103">
        <f t="shared" si="319"/>
        <v>208181.5</v>
      </c>
      <c r="BP123" s="103">
        <f t="shared" si="319"/>
        <v>300399.64</v>
      </c>
      <c r="BQ123" s="103">
        <f t="shared" si="319"/>
        <v>584942.65999999992</v>
      </c>
      <c r="BR123" s="103">
        <f t="shared" si="319"/>
        <v>1039789.61</v>
      </c>
      <c r="BS123" s="103">
        <f t="shared" ref="BS123:CB127" si="320">Y123-M123</f>
        <v>1198317.17</v>
      </c>
      <c r="BT123" s="103">
        <f t="shared" si="320"/>
        <v>816855.77</v>
      </c>
      <c r="BU123" s="103">
        <f t="shared" si="320"/>
        <v>-16097.14000000013</v>
      </c>
      <c r="BV123" s="103">
        <f t="shared" si="320"/>
        <v>-311363.69000000006</v>
      </c>
      <c r="BW123" s="103">
        <f t="shared" si="320"/>
        <v>-415463.29</v>
      </c>
      <c r="BX123" s="103">
        <f t="shared" si="320"/>
        <v>-63463.270000000019</v>
      </c>
      <c r="BY123" s="103">
        <f t="shared" si="320"/>
        <v>-70152.149999999994</v>
      </c>
      <c r="BZ123" s="103">
        <f t="shared" si="320"/>
        <v>-22910.600000000006</v>
      </c>
      <c r="CA123" s="277">
        <f t="shared" si="320"/>
        <v>-47620.679999999993</v>
      </c>
      <c r="CB123" s="277">
        <f t="shared" si="320"/>
        <v>-103258</v>
      </c>
      <c r="CC123" s="277">
        <f t="shared" ref="CC123:CL127" si="321">AI123-W123</f>
        <v>-93934.819999999949</v>
      </c>
      <c r="CD123" s="341">
        <f t="shared" si="321"/>
        <v>-49936.520000000019</v>
      </c>
      <c r="CE123" s="321">
        <f t="shared" si="321"/>
        <v>23657</v>
      </c>
      <c r="CF123" s="321">
        <f t="shared" si="321"/>
        <v>-34469</v>
      </c>
      <c r="CG123" s="321">
        <f t="shared" si="321"/>
        <v>57641.290000000037</v>
      </c>
      <c r="CH123" s="321">
        <f t="shared" si="321"/>
        <v>-46637.160000000033</v>
      </c>
      <c r="CI123" s="321">
        <f t="shared" si="321"/>
        <v>6668.5800000000163</v>
      </c>
      <c r="CJ123" s="321">
        <f t="shared" si="321"/>
        <v>-47575.44</v>
      </c>
      <c r="CK123" s="321">
        <f t="shared" si="321"/>
        <v>-16571</v>
      </c>
      <c r="CL123" s="321">
        <f t="shared" si="321"/>
        <v>-10795.290000000008</v>
      </c>
      <c r="CM123" s="321">
        <f t="shared" ref="CM123:CS127" si="322">AS123-AG123</f>
        <v>8777</v>
      </c>
      <c r="CN123" s="321">
        <f t="shared" si="322"/>
        <v>60002</v>
      </c>
      <c r="CO123" s="321">
        <f t="shared" si="322"/>
        <v>-521638</v>
      </c>
      <c r="CP123" s="321">
        <f t="shared" si="322"/>
        <v>-1085695</v>
      </c>
      <c r="CQ123" s="321">
        <f t="shared" si="322"/>
        <v>-880880</v>
      </c>
      <c r="CR123" s="321">
        <f t="shared" si="322"/>
        <v>-132562</v>
      </c>
      <c r="CS123" s="321">
        <f t="shared" si="322"/>
        <v>-84167</v>
      </c>
      <c r="CT123" s="350"/>
      <c r="CU123" s="67">
        <f>'MONTHLY SUMMARIES'!H87</f>
        <v>1397963</v>
      </c>
      <c r="CV123" s="134"/>
    </row>
    <row r="124" spans="1:100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173">
        <f t="shared" si="319"/>
        <v>210797.23</v>
      </c>
      <c r="BJ124" s="103">
        <f t="shared" si="319"/>
        <v>190955.02000000002</v>
      </c>
      <c r="BK124" s="103">
        <f t="shared" si="319"/>
        <v>117349.67000000001</v>
      </c>
      <c r="BL124" s="103">
        <f t="shared" si="319"/>
        <v>54713.88</v>
      </c>
      <c r="BM124" s="103">
        <f t="shared" si="319"/>
        <v>46103.07</v>
      </c>
      <c r="BN124" s="103">
        <f t="shared" si="319"/>
        <v>31073.75</v>
      </c>
      <c r="BO124" s="103">
        <f t="shared" si="319"/>
        <v>36045.259999999995</v>
      </c>
      <c r="BP124" s="103">
        <f t="shared" si="319"/>
        <v>41018.03</v>
      </c>
      <c r="BQ124" s="103">
        <f t="shared" si="319"/>
        <v>84250.150000000009</v>
      </c>
      <c r="BR124" s="103">
        <f t="shared" si="319"/>
        <v>112295.79</v>
      </c>
      <c r="BS124" s="103">
        <f t="shared" si="320"/>
        <v>121721.84</v>
      </c>
      <c r="BT124" s="103">
        <f t="shared" si="320"/>
        <v>72792.25</v>
      </c>
      <c r="BU124" s="103">
        <f t="shared" si="320"/>
        <v>4305.5299999999988</v>
      </c>
      <c r="BV124" s="103">
        <f t="shared" si="320"/>
        <v>-47924.53</v>
      </c>
      <c r="BW124" s="103">
        <f t="shared" si="320"/>
        <v>-65062.420000000013</v>
      </c>
      <c r="BX124" s="103">
        <f t="shared" si="320"/>
        <v>-8585.9399999999951</v>
      </c>
      <c r="BY124" s="103">
        <f t="shared" si="320"/>
        <v>-14746.400000000001</v>
      </c>
      <c r="BZ124" s="103">
        <f t="shared" si="320"/>
        <v>-718.41000000000349</v>
      </c>
      <c r="CA124" s="277">
        <f t="shared" si="320"/>
        <v>-8106.0999999999985</v>
      </c>
      <c r="CB124" s="277">
        <f t="shared" si="320"/>
        <v>-12146</v>
      </c>
      <c r="CC124" s="277">
        <f t="shared" si="321"/>
        <v>-17607.630000000005</v>
      </c>
      <c r="CD124" s="341">
        <f t="shared" si="321"/>
        <v>7065.75</v>
      </c>
      <c r="CE124" s="321">
        <f t="shared" si="321"/>
        <v>13706</v>
      </c>
      <c r="CF124" s="321">
        <f t="shared" si="321"/>
        <v>17257</v>
      </c>
      <c r="CG124" s="321">
        <f t="shared" si="321"/>
        <v>41058.03</v>
      </c>
      <c r="CH124" s="321">
        <f t="shared" si="321"/>
        <v>-4412.820000000007</v>
      </c>
      <c r="CI124" s="321">
        <f t="shared" si="321"/>
        <v>17507.070000000007</v>
      </c>
      <c r="CJ124" s="321">
        <f t="shared" si="321"/>
        <v>-5679.93</v>
      </c>
      <c r="CK124" s="321">
        <f t="shared" si="321"/>
        <v>-1549</v>
      </c>
      <c r="CL124" s="321">
        <f t="shared" si="321"/>
        <v>-1723.7099999999991</v>
      </c>
      <c r="CM124" s="321">
        <f t="shared" si="322"/>
        <v>949</v>
      </c>
      <c r="CN124" s="321">
        <f t="shared" si="322"/>
        <v>11561</v>
      </c>
      <c r="CO124" s="321">
        <f t="shared" si="322"/>
        <v>-83273</v>
      </c>
      <c r="CP124" s="321">
        <f t="shared" si="322"/>
        <v>-171932</v>
      </c>
      <c r="CQ124" s="321">
        <f t="shared" si="322"/>
        <v>-125991</v>
      </c>
      <c r="CR124" s="321">
        <f t="shared" si="322"/>
        <v>-25574</v>
      </c>
      <c r="CS124" s="321">
        <f t="shared" si="322"/>
        <v>-22795</v>
      </c>
      <c r="CT124" s="350"/>
      <c r="CU124" s="67">
        <f>'MONTHLY SUMMARIES'!H88</f>
        <v>272403</v>
      </c>
      <c r="CV124" s="134"/>
    </row>
    <row r="125" spans="1:100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/>
      <c r="BA125" s="200"/>
      <c r="BB125" s="200"/>
      <c r="BC125" s="200"/>
      <c r="BD125" s="200"/>
      <c r="BE125" s="200"/>
      <c r="BF125" s="200"/>
      <c r="BG125" s="200"/>
      <c r="BH125" s="200"/>
      <c r="BI125" s="173">
        <f t="shared" si="319"/>
        <v>298721.93999999994</v>
      </c>
      <c r="BJ125" s="103">
        <f t="shared" si="319"/>
        <v>210151.36</v>
      </c>
      <c r="BK125" s="103">
        <f t="shared" si="319"/>
        <v>155193.11000000002</v>
      </c>
      <c r="BL125" s="103">
        <f t="shared" si="319"/>
        <v>78599.67</v>
      </c>
      <c r="BM125" s="103">
        <f t="shared" si="319"/>
        <v>63999.29</v>
      </c>
      <c r="BN125" s="103">
        <f t="shared" si="319"/>
        <v>52300.47</v>
      </c>
      <c r="BO125" s="103">
        <f t="shared" si="319"/>
        <v>62914.95</v>
      </c>
      <c r="BP125" s="103">
        <f t="shared" si="319"/>
        <v>83288.37</v>
      </c>
      <c r="BQ125" s="103">
        <f t="shared" si="319"/>
        <v>140112.13</v>
      </c>
      <c r="BR125" s="103">
        <f t="shared" si="319"/>
        <v>244530.50000000003</v>
      </c>
      <c r="BS125" s="103">
        <f t="shared" si="320"/>
        <v>287415.81</v>
      </c>
      <c r="BT125" s="103">
        <f t="shared" si="320"/>
        <v>220570.39</v>
      </c>
      <c r="BU125" s="103">
        <f t="shared" si="320"/>
        <v>86671.22000000003</v>
      </c>
      <c r="BV125" s="103">
        <f t="shared" si="320"/>
        <v>13174.700000000012</v>
      </c>
      <c r="BW125" s="103">
        <f t="shared" si="320"/>
        <v>-2118.140000000014</v>
      </c>
      <c r="BX125" s="103">
        <f t="shared" si="320"/>
        <v>18863.840000000011</v>
      </c>
      <c r="BY125" s="103">
        <f t="shared" si="320"/>
        <v>15014.71</v>
      </c>
      <c r="BZ125" s="103">
        <f t="shared" si="320"/>
        <v>23124.979999999996</v>
      </c>
      <c r="CA125" s="277">
        <f t="shared" si="320"/>
        <v>9135.18</v>
      </c>
      <c r="CB125" s="277">
        <f t="shared" si="320"/>
        <v>2097</v>
      </c>
      <c r="CC125" s="277">
        <f t="shared" si="321"/>
        <v>19756.839999999997</v>
      </c>
      <c r="CD125" s="341">
        <f t="shared" si="321"/>
        <v>45040.289999999979</v>
      </c>
      <c r="CE125" s="321">
        <f t="shared" si="321"/>
        <v>75395</v>
      </c>
      <c r="CF125" s="321">
        <f t="shared" si="321"/>
        <v>62844</v>
      </c>
      <c r="CG125" s="321">
        <f t="shared" si="321"/>
        <v>11214.559999999998</v>
      </c>
      <c r="CH125" s="321">
        <f t="shared" si="321"/>
        <v>25504.399999999994</v>
      </c>
      <c r="CI125" s="321">
        <f t="shared" si="321"/>
        <v>6115.75</v>
      </c>
      <c r="CJ125" s="321">
        <f t="shared" si="321"/>
        <v>10802.679999999993</v>
      </c>
      <c r="CK125" s="321">
        <f t="shared" si="321"/>
        <v>7595</v>
      </c>
      <c r="CL125" s="321">
        <f t="shared" si="321"/>
        <v>19742.800000000003</v>
      </c>
      <c r="CM125" s="321">
        <f t="shared" si="322"/>
        <v>27427</v>
      </c>
      <c r="CN125" s="321">
        <f t="shared" si="322"/>
        <v>51839</v>
      </c>
      <c r="CO125" s="321">
        <f t="shared" si="322"/>
        <v>-148798</v>
      </c>
      <c r="CP125" s="321">
        <f t="shared" si="322"/>
        <v>-224796</v>
      </c>
      <c r="CQ125" s="321">
        <f t="shared" si="322"/>
        <v>-63050</v>
      </c>
      <c r="CR125" s="321">
        <f t="shared" si="322"/>
        <v>74752</v>
      </c>
      <c r="CS125" s="321">
        <f t="shared" si="322"/>
        <v>207092</v>
      </c>
      <c r="CT125" s="350"/>
      <c r="CU125" s="67">
        <f>'MONTHLY SUMMARIES'!H89</f>
        <v>604611</v>
      </c>
      <c r="CV125" s="134"/>
    </row>
    <row r="126" spans="1:100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/>
      <c r="BA126" s="200"/>
      <c r="BB126" s="200"/>
      <c r="BC126" s="200"/>
      <c r="BD126" s="200"/>
      <c r="BE126" s="200"/>
      <c r="BF126" s="200"/>
      <c r="BG126" s="200"/>
      <c r="BH126" s="200"/>
      <c r="BI126" s="173">
        <f t="shared" si="319"/>
        <v>527282.68999999994</v>
      </c>
      <c r="BJ126" s="103">
        <f t="shared" si="319"/>
        <v>364405.66</v>
      </c>
      <c r="BK126" s="103">
        <f t="shared" si="319"/>
        <v>274447.60000000003</v>
      </c>
      <c r="BL126" s="103">
        <f t="shared" si="319"/>
        <v>144163.60999999999</v>
      </c>
      <c r="BM126" s="103">
        <f t="shared" si="319"/>
        <v>101231.81999999999</v>
      </c>
      <c r="BN126" s="103">
        <f t="shared" si="319"/>
        <v>76255.200000000012</v>
      </c>
      <c r="BO126" s="103">
        <f t="shared" si="319"/>
        <v>104872.31</v>
      </c>
      <c r="BP126" s="103">
        <f t="shared" si="319"/>
        <v>174300.55</v>
      </c>
      <c r="BQ126" s="103">
        <f t="shared" si="319"/>
        <v>244290.22999999998</v>
      </c>
      <c r="BR126" s="103">
        <f t="shared" si="319"/>
        <v>415210.69</v>
      </c>
      <c r="BS126" s="103">
        <f t="shared" si="320"/>
        <v>470243.28</v>
      </c>
      <c r="BT126" s="103">
        <f t="shared" si="320"/>
        <v>390219.25</v>
      </c>
      <c r="BU126" s="103">
        <f t="shared" si="320"/>
        <v>-9145.4899999999907</v>
      </c>
      <c r="BV126" s="103">
        <f t="shared" si="320"/>
        <v>-4731.179999999993</v>
      </c>
      <c r="BW126" s="103">
        <f t="shared" si="320"/>
        <v>-20932.600000000035</v>
      </c>
      <c r="BX126" s="103">
        <f t="shared" si="320"/>
        <v>2103.3000000000175</v>
      </c>
      <c r="BY126" s="103">
        <f t="shared" si="320"/>
        <v>8786.4900000000052</v>
      </c>
      <c r="BZ126" s="103">
        <f t="shared" si="320"/>
        <v>41631.26999999999</v>
      </c>
      <c r="CA126" s="277">
        <f t="shared" si="320"/>
        <v>11901</v>
      </c>
      <c r="CB126" s="277">
        <f t="shared" si="320"/>
        <v>-34697</v>
      </c>
      <c r="CC126" s="277">
        <f t="shared" si="321"/>
        <v>2127.8800000000047</v>
      </c>
      <c r="CD126" s="341">
        <f t="shared" si="321"/>
        <v>47842.260000000009</v>
      </c>
      <c r="CE126" s="321">
        <f t="shared" si="321"/>
        <v>43391</v>
      </c>
      <c r="CF126" s="321">
        <f t="shared" si="321"/>
        <v>-8907</v>
      </c>
      <c r="CG126" s="321">
        <f t="shared" si="321"/>
        <v>91598.530000000028</v>
      </c>
      <c r="CH126" s="321">
        <f t="shared" si="321"/>
        <v>34960.679999999993</v>
      </c>
      <c r="CI126" s="321">
        <f t="shared" si="321"/>
        <v>-11396.429999999993</v>
      </c>
      <c r="CJ126" s="321">
        <f t="shared" si="321"/>
        <v>19648.51999999999</v>
      </c>
      <c r="CK126" s="321">
        <f t="shared" si="321"/>
        <v>15558</v>
      </c>
      <c r="CL126" s="321">
        <f t="shared" si="321"/>
        <v>12453.740000000005</v>
      </c>
      <c r="CM126" s="321">
        <f t="shared" si="322"/>
        <v>28685</v>
      </c>
      <c r="CN126" s="321">
        <f t="shared" si="322"/>
        <v>74357</v>
      </c>
      <c r="CO126" s="321">
        <f t="shared" si="322"/>
        <v>-206410</v>
      </c>
      <c r="CP126" s="321">
        <f t="shared" si="322"/>
        <v>-270517</v>
      </c>
      <c r="CQ126" s="321">
        <f t="shared" si="322"/>
        <v>-79572</v>
      </c>
      <c r="CR126" s="321">
        <f t="shared" si="322"/>
        <v>145529</v>
      </c>
      <c r="CS126" s="321">
        <f t="shared" si="322"/>
        <v>202441</v>
      </c>
      <c r="CT126" s="350"/>
      <c r="CU126" s="67">
        <f>'MONTHLY SUMMARIES'!H90</f>
        <v>812532</v>
      </c>
      <c r="CV126" s="134"/>
    </row>
    <row r="127" spans="1:100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173">
        <f t="shared" si="319"/>
        <v>1504534.9000000001</v>
      </c>
      <c r="BJ127" s="103">
        <f t="shared" si="319"/>
        <v>1118809.3500000001</v>
      </c>
      <c r="BK127" s="103">
        <f t="shared" si="319"/>
        <v>893340.9</v>
      </c>
      <c r="BL127" s="103">
        <f t="shared" si="319"/>
        <v>376690.64</v>
      </c>
      <c r="BM127" s="103">
        <f t="shared" si="319"/>
        <v>290498.05</v>
      </c>
      <c r="BN127" s="103">
        <f t="shared" si="319"/>
        <v>270725.80000000005</v>
      </c>
      <c r="BO127" s="103">
        <f t="shared" si="319"/>
        <v>279398.38</v>
      </c>
      <c r="BP127" s="103">
        <f t="shared" si="319"/>
        <v>325046.59000000003</v>
      </c>
      <c r="BQ127" s="103">
        <f t="shared" si="319"/>
        <v>725343.52999999991</v>
      </c>
      <c r="BR127" s="103">
        <f t="shared" si="319"/>
        <v>1368459.78</v>
      </c>
      <c r="BS127" s="103">
        <f t="shared" si="320"/>
        <v>1485672.93</v>
      </c>
      <c r="BT127" s="103">
        <f t="shared" si="320"/>
        <v>1313378.8199999998</v>
      </c>
      <c r="BU127" s="103">
        <f t="shared" si="320"/>
        <v>279950.87999999989</v>
      </c>
      <c r="BV127" s="103">
        <f t="shared" si="320"/>
        <v>67185.379999999888</v>
      </c>
      <c r="BW127" s="103">
        <f t="shared" si="320"/>
        <v>-75718.530000000028</v>
      </c>
      <c r="BX127" s="103">
        <f t="shared" si="320"/>
        <v>124235.23999999999</v>
      </c>
      <c r="BY127" s="103">
        <f t="shared" si="320"/>
        <v>129046.02000000002</v>
      </c>
      <c r="BZ127" s="103">
        <f t="shared" si="320"/>
        <v>76592.19</v>
      </c>
      <c r="CA127" s="277">
        <f t="shared" si="320"/>
        <v>71411.729999999981</v>
      </c>
      <c r="CB127" s="277">
        <f t="shared" si="320"/>
        <v>90980</v>
      </c>
      <c r="CC127" s="277">
        <f t="shared" si="321"/>
        <v>24855.300000000047</v>
      </c>
      <c r="CD127" s="341">
        <f t="shared" si="321"/>
        <v>96681.229999999981</v>
      </c>
      <c r="CE127" s="321">
        <f t="shared" si="321"/>
        <v>216465</v>
      </c>
      <c r="CF127" s="321">
        <f t="shared" si="321"/>
        <v>-34992</v>
      </c>
      <c r="CG127" s="321">
        <f t="shared" si="321"/>
        <v>36444.560000000056</v>
      </c>
      <c r="CH127" s="321">
        <f t="shared" si="321"/>
        <v>134415.27000000002</v>
      </c>
      <c r="CI127" s="321">
        <f t="shared" si="321"/>
        <v>81479.180000000051</v>
      </c>
      <c r="CJ127" s="321">
        <f t="shared" si="321"/>
        <v>-105327.48999999999</v>
      </c>
      <c r="CK127" s="321">
        <f t="shared" si="321"/>
        <v>-12015</v>
      </c>
      <c r="CL127" s="321">
        <f t="shared" si="321"/>
        <v>160396.59999999998</v>
      </c>
      <c r="CM127" s="321">
        <f t="shared" si="322"/>
        <v>128585</v>
      </c>
      <c r="CN127" s="321">
        <f t="shared" si="322"/>
        <v>468267</v>
      </c>
      <c r="CO127" s="321">
        <f t="shared" si="322"/>
        <v>-709513</v>
      </c>
      <c r="CP127" s="321">
        <f t="shared" si="322"/>
        <v>-1258587</v>
      </c>
      <c r="CQ127" s="321">
        <f t="shared" si="322"/>
        <v>-1147957</v>
      </c>
      <c r="CR127" s="321">
        <f t="shared" si="322"/>
        <v>63700</v>
      </c>
      <c r="CS127" s="321">
        <f t="shared" si="322"/>
        <v>-56732</v>
      </c>
      <c r="CT127" s="350"/>
      <c r="CU127" s="67">
        <f>'MONTHLY SUMMARIES'!H91</f>
        <v>1765917</v>
      </c>
      <c r="CV127" s="134"/>
    </row>
    <row r="128" spans="1:100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23">SUM(D123:D127)</f>
        <v>68545.14</v>
      </c>
      <c r="E128" s="136">
        <f t="shared" si="323"/>
        <v>57469.54</v>
      </c>
      <c r="F128" s="136">
        <f t="shared" si="323"/>
        <v>32103.31</v>
      </c>
      <c r="G128" s="136">
        <f t="shared" si="323"/>
        <v>29034.5</v>
      </c>
      <c r="H128" s="136">
        <f t="shared" si="323"/>
        <v>22243.65</v>
      </c>
      <c r="I128" s="136">
        <f t="shared" si="323"/>
        <v>23942.469999999998</v>
      </c>
      <c r="J128" s="136">
        <f t="shared" si="323"/>
        <v>47853.819999999992</v>
      </c>
      <c r="K128" s="136">
        <f t="shared" si="323"/>
        <v>100375.73</v>
      </c>
      <c r="L128" s="138">
        <f t="shared" si="323"/>
        <v>362471.62</v>
      </c>
      <c r="M128" s="136">
        <f t="shared" si="323"/>
        <v>690625.97</v>
      </c>
      <c r="N128" s="136">
        <f t="shared" si="323"/>
        <v>1843164.52</v>
      </c>
      <c r="O128" s="136">
        <f t="shared" si="323"/>
        <v>4023945.03</v>
      </c>
      <c r="P128" s="136">
        <f t="shared" si="323"/>
        <v>3086011.95</v>
      </c>
      <c r="Q128" s="145">
        <f t="shared" si="323"/>
        <v>2339098.83</v>
      </c>
      <c r="R128" s="145">
        <f t="shared" si="323"/>
        <v>1019657.49</v>
      </c>
      <c r="S128" s="145">
        <f t="shared" si="323"/>
        <v>780767.33</v>
      </c>
      <c r="T128" s="145">
        <f t="shared" si="323"/>
        <v>640414.42999999993</v>
      </c>
      <c r="U128" s="145">
        <f t="shared" si="323"/>
        <v>715354.87</v>
      </c>
      <c r="V128" s="145">
        <f t="shared" si="323"/>
        <v>971907</v>
      </c>
      <c r="W128" s="145">
        <f t="shared" si="323"/>
        <v>1879314.43</v>
      </c>
      <c r="X128" s="138">
        <f t="shared" si="323"/>
        <v>3542757.9899999998</v>
      </c>
      <c r="Y128" s="145">
        <v>4253997</v>
      </c>
      <c r="Z128" s="242">
        <v>4656981</v>
      </c>
      <c r="AA128" s="145">
        <f t="shared" ref="AA128" si="324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/>
      <c r="BA128" s="302"/>
      <c r="BB128" s="302"/>
      <c r="BC128" s="302"/>
      <c r="BD128" s="302"/>
      <c r="BE128" s="302"/>
      <c r="BF128" s="302"/>
      <c r="BG128" s="302"/>
      <c r="BH128" s="302"/>
      <c r="BI128" s="184">
        <f t="shared" si="323"/>
        <v>3931272.7300000004</v>
      </c>
      <c r="BJ128" s="139">
        <f t="shared" si="323"/>
        <v>3017466.8100000005</v>
      </c>
      <c r="BK128" s="139">
        <f t="shared" ref="BK128:BL128" si="325">SUM(BK123:BK127)</f>
        <v>2281629.29</v>
      </c>
      <c r="BL128" s="139">
        <f t="shared" si="325"/>
        <v>987554.18</v>
      </c>
      <c r="BM128" s="139">
        <f t="shared" ref="BM128:BN128" si="326">SUM(BM123:BM127)</f>
        <v>751732.83</v>
      </c>
      <c r="BN128" s="139">
        <f t="shared" si="326"/>
        <v>618170.78</v>
      </c>
      <c r="BO128" s="139">
        <f t="shared" ref="BO128:BP128" si="327">SUM(BO123:BO127)</f>
        <v>691412.4</v>
      </c>
      <c r="BP128" s="139">
        <f t="shared" si="327"/>
        <v>924053.18000000017</v>
      </c>
      <c r="BQ128" s="139">
        <f t="shared" ref="BQ128:BR128" si="328">SUM(BQ123:BQ127)</f>
        <v>1778938.6999999997</v>
      </c>
      <c r="BR128" s="139">
        <f t="shared" si="328"/>
        <v>3180286.37</v>
      </c>
      <c r="BS128" s="139">
        <f t="shared" ref="BS128:BT128" si="329">SUM(BS123:BS127)</f>
        <v>3563371.0300000003</v>
      </c>
      <c r="BT128" s="139">
        <f t="shared" si="329"/>
        <v>2813816.48</v>
      </c>
      <c r="BU128" s="139">
        <f t="shared" ref="BU128:BV128" si="330">SUM(BU123:BU127)</f>
        <v>345684.99999999977</v>
      </c>
      <c r="BV128" s="139">
        <f t="shared" si="330"/>
        <v>-283659.32000000018</v>
      </c>
      <c r="BW128" s="139">
        <f t="shared" ref="BW128:BX128" si="331">SUM(BW123:BW127)</f>
        <v>-579294.98</v>
      </c>
      <c r="BX128" s="139">
        <f t="shared" si="331"/>
        <v>73153.17</v>
      </c>
      <c r="BY128" s="139">
        <f t="shared" ref="BY128:BZ128" si="332">SUM(BY123:BY127)</f>
        <v>67948.670000000027</v>
      </c>
      <c r="BZ128" s="139">
        <f t="shared" si="332"/>
        <v>117719.42999999998</v>
      </c>
      <c r="CA128" s="278">
        <f t="shared" ref="CA128:CB128" si="333">SUM(CA123:CA127)</f>
        <v>36721.12999999999</v>
      </c>
      <c r="CB128" s="278">
        <f t="shared" si="333"/>
        <v>-57024</v>
      </c>
      <c r="CC128" s="278">
        <f t="shared" ref="CC128:CE128" si="334">SUM(CC123:CC127)</f>
        <v>-64802.429999999906</v>
      </c>
      <c r="CD128" s="342">
        <f t="shared" si="334"/>
        <v>146693.00999999995</v>
      </c>
      <c r="CE128" s="322">
        <f t="shared" si="334"/>
        <v>372614</v>
      </c>
      <c r="CF128" s="322">
        <f t="shared" ref="CF128:CG128" si="335">SUM(CF123:CF127)</f>
        <v>1733</v>
      </c>
      <c r="CG128" s="322">
        <f t="shared" si="335"/>
        <v>237956.97000000012</v>
      </c>
      <c r="CH128" s="322">
        <f t="shared" ref="CH128:CI128" si="336">SUM(CH123:CH127)</f>
        <v>143830.36999999997</v>
      </c>
      <c r="CI128" s="322">
        <f t="shared" si="336"/>
        <v>100374.15000000008</v>
      </c>
      <c r="CJ128" s="322">
        <f t="shared" ref="CJ128" si="337">SUM(CJ123:CJ127)</f>
        <v>-128131.66</v>
      </c>
      <c r="CK128" s="322">
        <f t="shared" ref="CK128" si="338">SUM(CK123:CK127)</f>
        <v>-6982</v>
      </c>
      <c r="CL128" s="322">
        <f t="shared" ref="CL128" si="339">SUM(CL123:CL127)</f>
        <v>180074.13999999998</v>
      </c>
      <c r="CM128" s="322">
        <f t="shared" ref="CM128" si="340">SUM(CM123:CM127)</f>
        <v>194423</v>
      </c>
      <c r="CN128" s="322">
        <f t="shared" ref="CN128" si="341">SUM(CN123:CN127)</f>
        <v>666026</v>
      </c>
      <c r="CO128" s="322">
        <f t="shared" ref="CO128" si="342">SUM(CO123:CO127)</f>
        <v>-1669632</v>
      </c>
      <c r="CP128" s="322">
        <f t="shared" ref="CP128" si="343">SUM(CP123:CP127)</f>
        <v>-3011527</v>
      </c>
      <c r="CQ128" s="322">
        <f t="shared" ref="CQ128:CS128" si="344">SUM(CQ123:CQ127)</f>
        <v>-2297450</v>
      </c>
      <c r="CR128" s="322">
        <f t="shared" ref="CR128:CS128" si="345">SUM(CR123:CR127)</f>
        <v>125845</v>
      </c>
      <c r="CS128" s="322">
        <f t="shared" si="345"/>
        <v>245839</v>
      </c>
      <c r="CT128" s="351"/>
      <c r="CU128" s="137">
        <f t="shared" si="318"/>
        <v>4853426</v>
      </c>
    </row>
    <row r="129" spans="1:10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50"/>
      <c r="CU129" s="52"/>
      <c r="CV129" s="134"/>
    </row>
    <row r="130" spans="1:100" s="40" customFormat="1" x14ac:dyDescent="0.3">
      <c r="A130" s="150"/>
      <c r="B130" s="41" t="s">
        <v>37</v>
      </c>
      <c r="C130" s="100">
        <f t="shared" ref="C130" si="346">C116+C123</f>
        <v>116566692.53</v>
      </c>
      <c r="D130" s="101">
        <f t="shared" ref="D130:P130" si="347">D116+D123</f>
        <v>74703060.890000001</v>
      </c>
      <c r="E130" s="101">
        <f t="shared" si="347"/>
        <v>43118486.720000006</v>
      </c>
      <c r="F130" s="101">
        <f t="shared" si="347"/>
        <v>22174258.189999998</v>
      </c>
      <c r="G130" s="101">
        <f t="shared" si="347"/>
        <v>16404243.360000001</v>
      </c>
      <c r="H130" s="101">
        <f t="shared" si="347"/>
        <v>15567360.689999999</v>
      </c>
      <c r="I130" s="101">
        <f t="shared" si="347"/>
        <v>14835685.85</v>
      </c>
      <c r="J130" s="101">
        <f t="shared" si="347"/>
        <v>23676839.109999999</v>
      </c>
      <c r="K130" s="101">
        <f t="shared" si="347"/>
        <v>45400509.099999994</v>
      </c>
      <c r="L130" s="102">
        <f t="shared" si="347"/>
        <v>112681444.25999999</v>
      </c>
      <c r="M130" s="101">
        <f t="shared" si="347"/>
        <v>120918349.45</v>
      </c>
      <c r="N130" s="101">
        <f t="shared" si="347"/>
        <v>106705519.95</v>
      </c>
      <c r="O130" s="101">
        <f t="shared" si="347"/>
        <v>98284873.36999999</v>
      </c>
      <c r="P130" s="101">
        <f t="shared" si="347"/>
        <v>78683493.25</v>
      </c>
      <c r="Q130" s="101">
        <f t="shared" ref="Q130:R130" si="348">Q116+Q123</f>
        <v>54257250.840000004</v>
      </c>
      <c r="R130" s="101">
        <f t="shared" si="348"/>
        <v>22406749.66</v>
      </c>
      <c r="S130" s="101">
        <f t="shared" ref="S130:T130" si="349">S116+S123</f>
        <v>18288632.759999998</v>
      </c>
      <c r="T130" s="101">
        <f t="shared" si="349"/>
        <v>14804081.550000001</v>
      </c>
      <c r="U130" s="101">
        <f t="shared" ref="U130:V130" si="350">U116+U123</f>
        <v>16401950.529999999</v>
      </c>
      <c r="V130" s="101">
        <f t="shared" si="350"/>
        <v>20532058</v>
      </c>
      <c r="W130" s="101">
        <f t="shared" ref="W130:X130" si="351">W116+W123</f>
        <v>44688472.689999998</v>
      </c>
      <c r="X130" s="102">
        <f t="shared" si="351"/>
        <v>102155856.58</v>
      </c>
      <c r="Y130" s="101">
        <v>124670704</v>
      </c>
      <c r="Z130" s="200">
        <v>133235174</v>
      </c>
      <c r="AA130" s="101">
        <f t="shared" ref="AA130" si="352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S130" si="353">O130-C130</f>
        <v>-18281819.160000011</v>
      </c>
      <c r="BJ130" s="103">
        <f t="shared" si="353"/>
        <v>3980432.3599999994</v>
      </c>
      <c r="BK130" s="103">
        <f t="shared" si="353"/>
        <v>11138764.119999997</v>
      </c>
      <c r="BL130" s="103">
        <f t="shared" si="353"/>
        <v>232491.47000000253</v>
      </c>
      <c r="BM130" s="103">
        <f t="shared" si="353"/>
        <v>1884389.3999999966</v>
      </c>
      <c r="BN130" s="103">
        <f t="shared" si="353"/>
        <v>-763279.13999999873</v>
      </c>
      <c r="BO130" s="103">
        <f t="shared" si="353"/>
        <v>1566264.6799999997</v>
      </c>
      <c r="BP130" s="103">
        <f t="shared" si="353"/>
        <v>-3144781.1099999994</v>
      </c>
      <c r="BQ130" s="103">
        <f t="shared" si="353"/>
        <v>-712036.40999999642</v>
      </c>
      <c r="BR130" s="103">
        <f t="shared" si="353"/>
        <v>-10525587.679999992</v>
      </c>
      <c r="BS130" s="103">
        <f t="shared" si="353"/>
        <v>3752354.549999997</v>
      </c>
      <c r="BT130" s="103">
        <f t="shared" si="353"/>
        <v>26529654.049999997</v>
      </c>
      <c r="BU130" s="103">
        <f t="shared" si="353"/>
        <v>28343589.960000008</v>
      </c>
      <c r="BV130" s="103">
        <f t="shared" si="353"/>
        <v>474395.06999999285</v>
      </c>
      <c r="BW130" s="103">
        <f t="shared" si="353"/>
        <v>-13843776.420000002</v>
      </c>
      <c r="BX130" s="103">
        <f t="shared" si="353"/>
        <v>2255595.3100000024</v>
      </c>
      <c r="BY130" s="103">
        <f t="shared" si="353"/>
        <v>208769.24000000209</v>
      </c>
      <c r="BZ130" s="103">
        <f t="shared" si="353"/>
        <v>2579107.4499999993</v>
      </c>
      <c r="CA130" s="277">
        <f t="shared" si="353"/>
        <v>1435071.4700000007</v>
      </c>
      <c r="CB130" s="277">
        <f t="shared" si="353"/>
        <v>58411</v>
      </c>
      <c r="CC130" s="277">
        <f t="shared" si="353"/>
        <v>6821967.3100000024</v>
      </c>
      <c r="CD130" s="341">
        <f t="shared" si="353"/>
        <v>21077216.420000002</v>
      </c>
      <c r="CE130" s="321">
        <f t="shared" si="353"/>
        <v>31558723</v>
      </c>
      <c r="CF130" s="321">
        <f t="shared" si="353"/>
        <v>21388048</v>
      </c>
      <c r="CG130" s="321">
        <f t="shared" si="353"/>
        <v>28867537.670000002</v>
      </c>
      <c r="CH130" s="321">
        <f t="shared" si="353"/>
        <v>18247805.680000007</v>
      </c>
      <c r="CI130" s="321">
        <f t="shared" si="353"/>
        <v>15942497.579999998</v>
      </c>
      <c r="CJ130" s="321">
        <f t="shared" si="353"/>
        <v>6690297.0299999975</v>
      </c>
      <c r="CK130" s="321">
        <f t="shared" si="353"/>
        <v>6674998</v>
      </c>
      <c r="CL130" s="321">
        <f t="shared" si="353"/>
        <v>4788208</v>
      </c>
      <c r="CM130" s="321">
        <f t="shared" si="353"/>
        <v>5210433</v>
      </c>
      <c r="CN130" s="321">
        <f t="shared" si="353"/>
        <v>12603755</v>
      </c>
      <c r="CO130" s="321">
        <f t="shared" si="353"/>
        <v>5209208</v>
      </c>
      <c r="CP130" s="321">
        <f t="shared" si="353"/>
        <v>22985464</v>
      </c>
      <c r="CQ130" s="321">
        <f t="shared" si="353"/>
        <v>5682410</v>
      </c>
      <c r="CR130" s="321">
        <f t="shared" si="353"/>
        <v>1099535</v>
      </c>
      <c r="CS130" s="321">
        <f t="shared" si="353"/>
        <v>-1866144</v>
      </c>
      <c r="CT130" s="350"/>
      <c r="CU130" s="67">
        <f>'MONTHLY SUMMARIES'!H94</f>
        <v>153629857</v>
      </c>
      <c r="CV130" s="134"/>
    </row>
    <row r="131" spans="1:100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50"/>
      <c r="CU131" s="81">
        <f>CU130-CU132</f>
        <v>150434670</v>
      </c>
    </row>
    <row r="132" spans="1:100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50"/>
      <c r="CU132" s="67">
        <f>GETPIVOTDATA("VALUE",'CRS ESCO pvt'!$I$2,"DATE_FILE",$CU$8,"COMPANY",$CU$6,"TRIM_CAT","Resdiential-ESCO","TRIM_LINE",11)+GETPIVOTDATA("VALUE",'CRS ESCO pvt'!$I$2,"DATE_FILE",$CU$8,"COMPANY",$CU$6,"TRIM_CAT","Resdiential-ESCO","TRIM_LINE",12)</f>
        <v>3195187</v>
      </c>
    </row>
    <row r="133" spans="1:100" s="40" customFormat="1" x14ac:dyDescent="0.3">
      <c r="A133" s="150"/>
      <c r="B133" s="41" t="s">
        <v>38</v>
      </c>
      <c r="C133" s="100">
        <f t="shared" ref="C133:P133" si="354">C117+C124</f>
        <v>11136953.950000001</v>
      </c>
      <c r="D133" s="101">
        <f t="shared" si="354"/>
        <v>7852484.9400000004</v>
      </c>
      <c r="E133" s="101">
        <f t="shared" si="354"/>
        <v>4976954.9399999995</v>
      </c>
      <c r="F133" s="101">
        <f t="shared" si="354"/>
        <v>2342510.9500000002</v>
      </c>
      <c r="G133" s="101">
        <f t="shared" si="354"/>
        <v>1579780.33</v>
      </c>
      <c r="H133" s="101">
        <f t="shared" si="354"/>
        <v>1463494.83</v>
      </c>
      <c r="I133" s="101">
        <f t="shared" si="354"/>
        <v>1320333.3700000001</v>
      </c>
      <c r="J133" s="101">
        <f t="shared" si="354"/>
        <v>2111665.98</v>
      </c>
      <c r="K133" s="101">
        <f t="shared" si="354"/>
        <v>3787331.13</v>
      </c>
      <c r="L133" s="102">
        <f t="shared" si="354"/>
        <v>9437299.370000001</v>
      </c>
      <c r="M133" s="101">
        <f t="shared" si="354"/>
        <v>10045327.49</v>
      </c>
      <c r="N133" s="101">
        <f t="shared" si="354"/>
        <v>9321577.7799999993</v>
      </c>
      <c r="O133" s="101">
        <f t="shared" si="354"/>
        <v>8778594.9799999986</v>
      </c>
      <c r="P133" s="101">
        <f t="shared" si="354"/>
        <v>7435741.04</v>
      </c>
      <c r="Q133" s="101">
        <f t="shared" ref="Q133:R133" si="355">Q117+Q124</f>
        <v>4815453.8099999996</v>
      </c>
      <c r="R133" s="101">
        <f t="shared" si="355"/>
        <v>2338755.41</v>
      </c>
      <c r="S133" s="101">
        <f t="shared" ref="S133:T133" si="356">S117+S124</f>
        <v>1987858.26</v>
      </c>
      <c r="T133" s="101">
        <f t="shared" si="356"/>
        <v>1375393.9700000002</v>
      </c>
      <c r="U133" s="101">
        <f t="shared" ref="U133:V133" si="357">U117+U124</f>
        <v>1490946.08</v>
      </c>
      <c r="V133" s="101">
        <f t="shared" si="357"/>
        <v>1885059</v>
      </c>
      <c r="W133" s="101">
        <f t="shared" ref="W133:X133" si="358">W117+W124</f>
        <v>4199204.67</v>
      </c>
      <c r="X133" s="102">
        <f t="shared" si="358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S133" si="359">O133-C133</f>
        <v>-2358358.9700000025</v>
      </c>
      <c r="BJ133" s="103">
        <f t="shared" si="359"/>
        <v>-416743.90000000037</v>
      </c>
      <c r="BK133" s="103">
        <f t="shared" si="359"/>
        <v>-161501.12999999989</v>
      </c>
      <c r="BL133" s="103">
        <f t="shared" si="359"/>
        <v>-3755.5400000000373</v>
      </c>
      <c r="BM133" s="103">
        <f t="shared" si="359"/>
        <v>408077.92999999993</v>
      </c>
      <c r="BN133" s="103">
        <f t="shared" si="359"/>
        <v>-88100.85999999987</v>
      </c>
      <c r="BO133" s="103">
        <f t="shared" si="359"/>
        <v>170612.70999999996</v>
      </c>
      <c r="BP133" s="103">
        <f t="shared" si="359"/>
        <v>-226606.97999999998</v>
      </c>
      <c r="BQ133" s="103">
        <f t="shared" si="359"/>
        <v>411873.54000000004</v>
      </c>
      <c r="BR133" s="103">
        <f t="shared" si="359"/>
        <v>-118756.51000000164</v>
      </c>
      <c r="BS133" s="103">
        <f t="shared" si="359"/>
        <v>2708562.51</v>
      </c>
      <c r="BT133" s="103">
        <f t="shared" si="359"/>
        <v>3465372.2200000007</v>
      </c>
      <c r="BU133" s="103">
        <f t="shared" si="359"/>
        <v>4090877.0800000019</v>
      </c>
      <c r="BV133" s="103">
        <f t="shared" si="359"/>
        <v>2071306.0499999998</v>
      </c>
      <c r="BW133" s="103">
        <f t="shared" si="359"/>
        <v>-45184.129999999888</v>
      </c>
      <c r="BX133" s="103">
        <f t="shared" si="359"/>
        <v>1085021.8900000001</v>
      </c>
      <c r="BY133" s="103">
        <f t="shared" si="359"/>
        <v>880645.74</v>
      </c>
      <c r="BZ133" s="103">
        <f t="shared" si="359"/>
        <v>572194.37999999966</v>
      </c>
      <c r="CA133" s="277">
        <f t="shared" si="359"/>
        <v>401951.91999999993</v>
      </c>
      <c r="CB133" s="277">
        <f t="shared" si="359"/>
        <v>334714</v>
      </c>
      <c r="CC133" s="277">
        <f t="shared" si="359"/>
        <v>1083641.33</v>
      </c>
      <c r="CD133" s="341">
        <f t="shared" si="359"/>
        <v>3803135.1400000006</v>
      </c>
      <c r="CE133" s="321">
        <f t="shared" si="359"/>
        <v>3244095</v>
      </c>
      <c r="CF133" s="321">
        <f t="shared" si="359"/>
        <v>4011558</v>
      </c>
      <c r="CG133" s="321">
        <f t="shared" si="359"/>
        <v>4823901.9399999995</v>
      </c>
      <c r="CH133" s="321">
        <f t="shared" si="359"/>
        <v>2883602.91</v>
      </c>
      <c r="CI133" s="321">
        <f t="shared" si="359"/>
        <v>3288253.3200000003</v>
      </c>
      <c r="CJ133" s="321">
        <f t="shared" si="359"/>
        <v>1440224.6999999997</v>
      </c>
      <c r="CK133" s="321">
        <f t="shared" si="359"/>
        <v>765082</v>
      </c>
      <c r="CL133" s="321">
        <f t="shared" si="359"/>
        <v>776091.65000000014</v>
      </c>
      <c r="CM133" s="321">
        <f t="shared" si="359"/>
        <v>716294</v>
      </c>
      <c r="CN133" s="321">
        <f t="shared" si="359"/>
        <v>1681296</v>
      </c>
      <c r="CO133" s="321">
        <f t="shared" si="359"/>
        <v>1953580</v>
      </c>
      <c r="CP133" s="321">
        <f t="shared" si="359"/>
        <v>4791264</v>
      </c>
      <c r="CQ133" s="321">
        <f t="shared" si="359"/>
        <v>3282071</v>
      </c>
      <c r="CR133" s="321">
        <f t="shared" si="359"/>
        <v>2428859</v>
      </c>
      <c r="CS133" s="321">
        <f t="shared" si="359"/>
        <v>1682219</v>
      </c>
      <c r="CT133" s="350"/>
      <c r="CU133" s="67">
        <f>'MONTHLY SUMMARIES'!H95</f>
        <v>19375593</v>
      </c>
    </row>
    <row r="134" spans="1:100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50"/>
      <c r="CU134" s="81">
        <f>CU133-CU135</f>
        <v>18825229</v>
      </c>
    </row>
    <row r="135" spans="1:100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50"/>
      <c r="CU135" s="67">
        <f>GETPIVOTDATA("VALUE",'CRS ESCO pvt'!$I$2,"DATE_FILE",$CU$8,"COMPANY",$CU$6,"TRIM_CAT","Low Income Resdiential-ESCO","TRIM_LINE",11)+GETPIVOTDATA("VALUE",'CRS ESCO pvt'!$I$2,"DATE_FILE",$CU$8,"COMPANY",$CU$6,"TRIM_CAT","Low Income Resdiential-ESCO","TRIM_LINE",12)</f>
        <v>550364</v>
      </c>
    </row>
    <row r="136" spans="1:100" s="40" customFormat="1" x14ac:dyDescent="0.3">
      <c r="A136" s="150"/>
      <c r="B136" s="41" t="s">
        <v>39</v>
      </c>
      <c r="C136" s="100">
        <f t="shared" ref="C136:P136" si="360">C118+C125</f>
        <v>13222164.049999999</v>
      </c>
      <c r="D136" s="101">
        <f t="shared" si="360"/>
        <v>8845144.8199999984</v>
      </c>
      <c r="E136" s="101">
        <f t="shared" si="360"/>
        <v>5502939.7000000002</v>
      </c>
      <c r="F136" s="101">
        <f t="shared" si="360"/>
        <v>3421130.9</v>
      </c>
      <c r="G136" s="101">
        <f t="shared" si="360"/>
        <v>2567181.5</v>
      </c>
      <c r="H136" s="101">
        <f t="shared" si="360"/>
        <v>2535033.44</v>
      </c>
      <c r="I136" s="101">
        <f t="shared" si="360"/>
        <v>2365727.12</v>
      </c>
      <c r="J136" s="101">
        <f t="shared" si="360"/>
        <v>3325053.31</v>
      </c>
      <c r="K136" s="101">
        <f t="shared" si="360"/>
        <v>5062260.7</v>
      </c>
      <c r="L136" s="102">
        <f t="shared" si="360"/>
        <v>11869269.08</v>
      </c>
      <c r="M136" s="101">
        <f t="shared" si="360"/>
        <v>13116258.359999999</v>
      </c>
      <c r="N136" s="101">
        <f t="shared" si="360"/>
        <v>11355598.33</v>
      </c>
      <c r="O136" s="101">
        <f t="shared" si="360"/>
        <v>10619882.92</v>
      </c>
      <c r="P136" s="101">
        <f t="shared" si="360"/>
        <v>7595221.8900000006</v>
      </c>
      <c r="Q136" s="101">
        <f t="shared" ref="Q136:R136" si="361">Q118+Q125</f>
        <v>5305286.7699999996</v>
      </c>
      <c r="R136" s="101">
        <f t="shared" si="361"/>
        <v>2795269.33</v>
      </c>
      <c r="S136" s="101">
        <f t="shared" ref="S136:T136" si="362">S118+S125</f>
        <v>2436654.17</v>
      </c>
      <c r="T136" s="101">
        <f t="shared" si="362"/>
        <v>2142449.8200000003</v>
      </c>
      <c r="U136" s="101">
        <f t="shared" ref="U136:V136" si="363">U118+U125</f>
        <v>2361143.8899999997</v>
      </c>
      <c r="V136" s="101">
        <f t="shared" si="363"/>
        <v>2877570</v>
      </c>
      <c r="W136" s="101">
        <f t="shared" ref="W136:X136" si="364">W118+W125</f>
        <v>4879030.3900000006</v>
      </c>
      <c r="X136" s="102">
        <f t="shared" si="364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65">O136-C136</f>
        <v>-2602281.129999999</v>
      </c>
      <c r="BJ136" s="103">
        <f t="shared" si="365"/>
        <v>-1249922.9299999978</v>
      </c>
      <c r="BK136" s="103">
        <f t="shared" si="365"/>
        <v>-197652.93000000063</v>
      </c>
      <c r="BL136" s="103">
        <f t="shared" si="365"/>
        <v>-625861.56999999983</v>
      </c>
      <c r="BM136" s="103">
        <f t="shared" si="365"/>
        <v>-130527.33000000007</v>
      </c>
      <c r="BN136" s="103">
        <f t="shared" si="365"/>
        <v>-392583.61999999965</v>
      </c>
      <c r="BO136" s="103">
        <f t="shared" si="365"/>
        <v>-4583.230000000447</v>
      </c>
      <c r="BP136" s="103">
        <f t="shared" si="365"/>
        <v>-447483.31000000006</v>
      </c>
      <c r="BQ136" s="103">
        <f t="shared" si="365"/>
        <v>-183230.30999999959</v>
      </c>
      <c r="BR136" s="103">
        <f t="shared" si="365"/>
        <v>-1349641.129999999</v>
      </c>
      <c r="BS136" s="103">
        <f t="shared" ref="BS136:CB138" si="366">Y136-M136</f>
        <v>-221177.3599999994</v>
      </c>
      <c r="BT136" s="103">
        <f t="shared" si="366"/>
        <v>2078632.67</v>
      </c>
      <c r="BU136" s="103">
        <f t="shared" si="366"/>
        <v>3104077.0999999996</v>
      </c>
      <c r="BV136" s="103">
        <f t="shared" si="366"/>
        <v>760148.98999999929</v>
      </c>
      <c r="BW136" s="103">
        <f t="shared" si="366"/>
        <v>-634153.4299999997</v>
      </c>
      <c r="BX136" s="103">
        <f t="shared" si="366"/>
        <v>550296.73999999976</v>
      </c>
      <c r="BY136" s="103">
        <f t="shared" si="366"/>
        <v>125538.83000000007</v>
      </c>
      <c r="BZ136" s="103">
        <f t="shared" si="366"/>
        <v>388152.12999999989</v>
      </c>
      <c r="CA136" s="277">
        <f t="shared" si="366"/>
        <v>310629.11000000034</v>
      </c>
      <c r="CB136" s="277">
        <f t="shared" si="366"/>
        <v>32838</v>
      </c>
      <c r="CC136" s="277">
        <f t="shared" ref="CC136:CL138" si="367">AI136-W136</f>
        <v>899694.6099999994</v>
      </c>
      <c r="CD136" s="341">
        <f t="shared" si="367"/>
        <v>2050474.0499999989</v>
      </c>
      <c r="CE136" s="321">
        <f t="shared" si="367"/>
        <v>3719521</v>
      </c>
      <c r="CF136" s="321">
        <f t="shared" si="367"/>
        <v>3523661</v>
      </c>
      <c r="CG136" s="321">
        <f t="shared" si="367"/>
        <v>3042143.9800000004</v>
      </c>
      <c r="CH136" s="321">
        <f t="shared" si="367"/>
        <v>2276113.12</v>
      </c>
      <c r="CI136" s="321">
        <f t="shared" si="367"/>
        <v>1705831.6600000001</v>
      </c>
      <c r="CJ136" s="321">
        <f t="shared" si="367"/>
        <v>942887.93000000017</v>
      </c>
      <c r="CK136" s="321">
        <f t="shared" si="367"/>
        <v>963432</v>
      </c>
      <c r="CL136" s="321">
        <f t="shared" si="367"/>
        <v>824151.04999999981</v>
      </c>
      <c r="CM136" s="321">
        <f t="shared" ref="CM136:CS138" si="368">AS136-AG136</f>
        <v>700987</v>
      </c>
      <c r="CN136" s="321">
        <f t="shared" si="368"/>
        <v>1437219</v>
      </c>
      <c r="CO136" s="321">
        <f t="shared" si="368"/>
        <v>1009103</v>
      </c>
      <c r="CP136" s="321">
        <f t="shared" si="368"/>
        <v>2715318</v>
      </c>
      <c r="CQ136" s="321">
        <f t="shared" si="368"/>
        <v>950809</v>
      </c>
      <c r="CR136" s="321">
        <f t="shared" si="368"/>
        <v>453220</v>
      </c>
      <c r="CS136" s="321">
        <f t="shared" si="368"/>
        <v>-74385</v>
      </c>
      <c r="CT136" s="350"/>
      <c r="CU136" s="67">
        <f>'MONTHLY SUMMARIES'!H96</f>
        <v>16691719</v>
      </c>
    </row>
    <row r="137" spans="1:100" s="40" customFormat="1" x14ac:dyDescent="0.3">
      <c r="A137" s="150"/>
      <c r="B137" s="41" t="s">
        <v>40</v>
      </c>
      <c r="C137" s="100">
        <f t="shared" ref="C137:P137" si="369">C119+C126</f>
        <v>13827941.199999999</v>
      </c>
      <c r="D137" s="101">
        <f t="shared" si="369"/>
        <v>9669496.0500000007</v>
      </c>
      <c r="E137" s="101">
        <f t="shared" si="369"/>
        <v>6561217.25</v>
      </c>
      <c r="F137" s="101">
        <f t="shared" si="369"/>
        <v>3794456.7399999998</v>
      </c>
      <c r="G137" s="101">
        <f t="shared" si="369"/>
        <v>3110892.42</v>
      </c>
      <c r="H137" s="101">
        <f t="shared" si="369"/>
        <v>2842654.97</v>
      </c>
      <c r="I137" s="101">
        <f t="shared" si="369"/>
        <v>2661914.92</v>
      </c>
      <c r="J137" s="101">
        <f t="shared" si="369"/>
        <v>3771481.74</v>
      </c>
      <c r="K137" s="101">
        <f t="shared" si="369"/>
        <v>5948693.0999999996</v>
      </c>
      <c r="L137" s="102">
        <f t="shared" si="369"/>
        <v>11832321.190000001</v>
      </c>
      <c r="M137" s="101">
        <f t="shared" si="369"/>
        <v>12931720.860000001</v>
      </c>
      <c r="N137" s="101">
        <f t="shared" si="369"/>
        <v>11414321.98</v>
      </c>
      <c r="O137" s="101">
        <f t="shared" si="369"/>
        <v>11062915.23</v>
      </c>
      <c r="P137" s="101">
        <f t="shared" si="369"/>
        <v>8090970.5099999998</v>
      </c>
      <c r="Q137" s="101">
        <f t="shared" ref="Q137:R137" si="370">Q119+Q126</f>
        <v>6163007.29</v>
      </c>
      <c r="R137" s="101">
        <f t="shared" si="370"/>
        <v>3210207.85</v>
      </c>
      <c r="S137" s="101">
        <f t="shared" ref="S137:T137" si="371">S119+S126</f>
        <v>2574660.75</v>
      </c>
      <c r="T137" s="101">
        <f t="shared" si="371"/>
        <v>2233380.85</v>
      </c>
      <c r="U137" s="101">
        <f t="shared" ref="U137:V137" si="372">U119+U126</f>
        <v>2483902.9300000002</v>
      </c>
      <c r="V137" s="101">
        <f t="shared" si="372"/>
        <v>3278192</v>
      </c>
      <c r="W137" s="101">
        <f t="shared" ref="W137:X137" si="373">W119+W126</f>
        <v>5052365.6000000006</v>
      </c>
      <c r="X137" s="102">
        <f t="shared" si="373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65"/>
        <v>-2765025.9699999988</v>
      </c>
      <c r="BJ137" s="103">
        <f t="shared" si="365"/>
        <v>-1578525.540000001</v>
      </c>
      <c r="BK137" s="103">
        <f t="shared" si="365"/>
        <v>-398209.95999999996</v>
      </c>
      <c r="BL137" s="103">
        <f t="shared" si="365"/>
        <v>-584248.88999999966</v>
      </c>
      <c r="BM137" s="103">
        <f t="shared" si="365"/>
        <v>-536231.66999999993</v>
      </c>
      <c r="BN137" s="103">
        <f t="shared" si="365"/>
        <v>-609274.12000000011</v>
      </c>
      <c r="BO137" s="103">
        <f t="shared" si="365"/>
        <v>-178011.98999999976</v>
      </c>
      <c r="BP137" s="103">
        <f t="shared" si="365"/>
        <v>-493289.74000000022</v>
      </c>
      <c r="BQ137" s="103">
        <f t="shared" si="365"/>
        <v>-896327.49999999907</v>
      </c>
      <c r="BR137" s="103">
        <f t="shared" si="365"/>
        <v>-1009037.660000002</v>
      </c>
      <c r="BS137" s="103">
        <f t="shared" si="366"/>
        <v>152959.13999999873</v>
      </c>
      <c r="BT137" s="103">
        <f t="shared" si="366"/>
        <v>2429841.0199999996</v>
      </c>
      <c r="BU137" s="103">
        <f t="shared" si="366"/>
        <v>2796819.7799999993</v>
      </c>
      <c r="BV137" s="103">
        <f t="shared" si="366"/>
        <v>964771.77000000142</v>
      </c>
      <c r="BW137" s="103">
        <f t="shared" si="366"/>
        <v>-808258.46</v>
      </c>
      <c r="BX137" s="103">
        <f t="shared" si="366"/>
        <v>334297.81999999983</v>
      </c>
      <c r="BY137" s="103">
        <f t="shared" si="366"/>
        <v>244464.25</v>
      </c>
      <c r="BZ137" s="103">
        <f t="shared" si="366"/>
        <v>731688.44999999972</v>
      </c>
      <c r="CA137" s="277">
        <f t="shared" si="366"/>
        <v>320025.06999999983</v>
      </c>
      <c r="CB137" s="277">
        <f t="shared" si="366"/>
        <v>57449</v>
      </c>
      <c r="CC137" s="277">
        <f t="shared" si="367"/>
        <v>1016975.3999999994</v>
      </c>
      <c r="CD137" s="341">
        <f t="shared" si="367"/>
        <v>1941466.4700000007</v>
      </c>
      <c r="CE137" s="321">
        <f t="shared" si="367"/>
        <v>3166277</v>
      </c>
      <c r="CF137" s="321">
        <f t="shared" si="367"/>
        <v>2907519</v>
      </c>
      <c r="CG137" s="321">
        <f t="shared" si="367"/>
        <v>2865685.99</v>
      </c>
      <c r="CH137" s="321">
        <f t="shared" si="367"/>
        <v>2294338.7199999988</v>
      </c>
      <c r="CI137" s="321">
        <f t="shared" si="367"/>
        <v>2067792.17</v>
      </c>
      <c r="CJ137" s="321">
        <f t="shared" si="367"/>
        <v>1456572.33</v>
      </c>
      <c r="CK137" s="321">
        <f t="shared" si="367"/>
        <v>1440224</v>
      </c>
      <c r="CL137" s="321">
        <f t="shared" si="367"/>
        <v>596013.70000000019</v>
      </c>
      <c r="CM137" s="321">
        <f t="shared" si="368"/>
        <v>861356</v>
      </c>
      <c r="CN137" s="321">
        <f t="shared" si="368"/>
        <v>1720024</v>
      </c>
      <c r="CO137" s="321">
        <f t="shared" si="368"/>
        <v>1279294</v>
      </c>
      <c r="CP137" s="321">
        <f t="shared" si="368"/>
        <v>2657819</v>
      </c>
      <c r="CQ137" s="321">
        <f t="shared" si="368"/>
        <v>1686118</v>
      </c>
      <c r="CR137" s="321">
        <f t="shared" si="368"/>
        <v>585449</v>
      </c>
      <c r="CS137" s="321">
        <f t="shared" si="368"/>
        <v>231117</v>
      </c>
      <c r="CT137" s="350"/>
      <c r="CU137" s="67">
        <f>'MONTHLY SUMMARIES'!H97</f>
        <v>16956538</v>
      </c>
    </row>
    <row r="138" spans="1:100" s="40" customFormat="1" x14ac:dyDescent="0.3">
      <c r="A138" s="150"/>
      <c r="B138" s="41" t="s">
        <v>41</v>
      </c>
      <c r="C138" s="100">
        <f t="shared" ref="C138:P138" si="374">C120+C127</f>
        <v>42362532.709999993</v>
      </c>
      <c r="D138" s="101">
        <f t="shared" si="374"/>
        <v>44904297.409999996</v>
      </c>
      <c r="E138" s="101">
        <f t="shared" si="374"/>
        <v>26224263.57</v>
      </c>
      <c r="F138" s="101">
        <f t="shared" si="374"/>
        <v>14676598.789999999</v>
      </c>
      <c r="G138" s="101">
        <f t="shared" si="374"/>
        <v>10105225.77</v>
      </c>
      <c r="H138" s="101">
        <f t="shared" si="374"/>
        <v>12178849.59</v>
      </c>
      <c r="I138" s="101">
        <f t="shared" si="374"/>
        <v>12004568.08</v>
      </c>
      <c r="J138" s="101">
        <f t="shared" si="374"/>
        <v>14554830.49</v>
      </c>
      <c r="K138" s="101">
        <f t="shared" si="374"/>
        <v>16824242.5</v>
      </c>
      <c r="L138" s="102">
        <f t="shared" si="374"/>
        <v>36343960.830000006</v>
      </c>
      <c r="M138" s="101">
        <f t="shared" si="374"/>
        <v>39096982.890000001</v>
      </c>
      <c r="N138" s="101">
        <f t="shared" si="374"/>
        <v>35853103.350000001</v>
      </c>
      <c r="O138" s="101">
        <f t="shared" si="374"/>
        <v>36382624.210000001</v>
      </c>
      <c r="P138" s="101">
        <f t="shared" si="374"/>
        <v>30857092.140000001</v>
      </c>
      <c r="Q138" s="101">
        <f t="shared" ref="Q138:R138" si="375">Q120+Q127</f>
        <v>24040222.290000003</v>
      </c>
      <c r="R138" s="101">
        <f t="shared" si="375"/>
        <v>12558087.49</v>
      </c>
      <c r="S138" s="101">
        <f t="shared" ref="S138:T138" si="376">S120+S127</f>
        <v>10102234.390000001</v>
      </c>
      <c r="T138" s="101">
        <f t="shared" si="376"/>
        <v>11154973.950000001</v>
      </c>
      <c r="U138" s="101">
        <f t="shared" ref="U138:V138" si="377">U120+U127</f>
        <v>8991330.0099999998</v>
      </c>
      <c r="V138" s="101">
        <f t="shared" si="377"/>
        <v>10981073</v>
      </c>
      <c r="W138" s="101">
        <f t="shared" ref="W138:X138" si="378">W120+W127</f>
        <v>16387588.699999999</v>
      </c>
      <c r="X138" s="102">
        <f t="shared" si="378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65"/>
        <v>-5979908.4999999925</v>
      </c>
      <c r="BJ138" s="103">
        <f t="shared" si="365"/>
        <v>-14047205.269999996</v>
      </c>
      <c r="BK138" s="103">
        <f t="shared" si="365"/>
        <v>-2184041.2799999975</v>
      </c>
      <c r="BL138" s="103">
        <f t="shared" si="365"/>
        <v>-2118511.2999999989</v>
      </c>
      <c r="BM138" s="103">
        <f t="shared" si="365"/>
        <v>-2991.3799999989569</v>
      </c>
      <c r="BN138" s="103">
        <f t="shared" si="365"/>
        <v>-1023875.6399999987</v>
      </c>
      <c r="BO138" s="103">
        <f t="shared" si="365"/>
        <v>-3013238.0700000003</v>
      </c>
      <c r="BP138" s="103">
        <f t="shared" si="365"/>
        <v>-3573757.49</v>
      </c>
      <c r="BQ138" s="103">
        <f t="shared" si="365"/>
        <v>-436653.80000000075</v>
      </c>
      <c r="BR138" s="103">
        <f t="shared" si="365"/>
        <v>-4297386.4200000055</v>
      </c>
      <c r="BS138" s="103">
        <f t="shared" si="366"/>
        <v>629713.1099999994</v>
      </c>
      <c r="BT138" s="103">
        <f t="shared" si="366"/>
        <v>6378601.6499999985</v>
      </c>
      <c r="BU138" s="103">
        <f t="shared" si="366"/>
        <v>3117003.5899999961</v>
      </c>
      <c r="BV138" s="103">
        <f t="shared" si="366"/>
        <v>162682.71999999881</v>
      </c>
      <c r="BW138" s="103">
        <f t="shared" si="366"/>
        <v>-3006826.2900000028</v>
      </c>
      <c r="BX138" s="103">
        <f t="shared" si="366"/>
        <v>15990384.459999999</v>
      </c>
      <c r="BY138" s="103">
        <f t="shared" si="366"/>
        <v>-357690.3900000006</v>
      </c>
      <c r="BZ138" s="103">
        <f t="shared" si="366"/>
        <v>2380773.33</v>
      </c>
      <c r="CA138" s="277">
        <f t="shared" si="366"/>
        <v>2321659.9900000002</v>
      </c>
      <c r="CB138" s="277">
        <f t="shared" si="366"/>
        <v>6829617</v>
      </c>
      <c r="CC138" s="277">
        <f t="shared" si="367"/>
        <v>2023733.3000000007</v>
      </c>
      <c r="CD138" s="341">
        <f t="shared" si="367"/>
        <v>7672814.5899999999</v>
      </c>
      <c r="CE138" s="321">
        <f t="shared" si="367"/>
        <v>8700801</v>
      </c>
      <c r="CF138" s="321">
        <f t="shared" si="367"/>
        <v>4571878</v>
      </c>
      <c r="CG138" s="321">
        <f t="shared" si="367"/>
        <v>9476196.200000003</v>
      </c>
      <c r="CH138" s="321">
        <f t="shared" si="367"/>
        <v>7068348.1400000006</v>
      </c>
      <c r="CI138" s="321">
        <f t="shared" si="367"/>
        <v>6100676</v>
      </c>
      <c r="CJ138" s="321">
        <f t="shared" si="367"/>
        <v>-11938383.949999999</v>
      </c>
      <c r="CK138" s="321">
        <f t="shared" si="367"/>
        <v>4085004</v>
      </c>
      <c r="CL138" s="321">
        <f t="shared" si="367"/>
        <v>-1164501.2800000012</v>
      </c>
      <c r="CM138" s="321">
        <f t="shared" si="368"/>
        <v>1475167</v>
      </c>
      <c r="CN138" s="321">
        <f t="shared" si="368"/>
        <v>-1959019</v>
      </c>
      <c r="CO138" s="321">
        <f t="shared" si="368"/>
        <v>5391490</v>
      </c>
      <c r="CP138" s="321">
        <f t="shared" si="368"/>
        <v>7596414</v>
      </c>
      <c r="CQ138" s="321">
        <f t="shared" si="368"/>
        <v>3454770</v>
      </c>
      <c r="CR138" s="321">
        <f t="shared" si="368"/>
        <v>6223703</v>
      </c>
      <c r="CS138" s="321">
        <f t="shared" si="368"/>
        <v>3251251</v>
      </c>
      <c r="CT138" s="350"/>
      <c r="CU138" s="67">
        <f>'MONTHLY SUMMARIES'!H98</f>
        <v>52227075</v>
      </c>
    </row>
    <row r="139" spans="1:100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79">SUM(D130:D138)</f>
        <v>145974484.10999998</v>
      </c>
      <c r="E139" s="131">
        <f t="shared" si="379"/>
        <v>86383862.180000007</v>
      </c>
      <c r="F139" s="131">
        <f t="shared" si="379"/>
        <v>46408955.569999993</v>
      </c>
      <c r="G139" s="131">
        <f t="shared" si="379"/>
        <v>33767323.379999995</v>
      </c>
      <c r="H139" s="131">
        <f t="shared" si="379"/>
        <v>34587393.519999996</v>
      </c>
      <c r="I139" s="131">
        <f t="shared" si="379"/>
        <v>33188229.339999996</v>
      </c>
      <c r="J139" s="131">
        <f t="shared" si="379"/>
        <v>47439870.630000003</v>
      </c>
      <c r="K139" s="131">
        <f t="shared" si="379"/>
        <v>77023036.530000001</v>
      </c>
      <c r="L139" s="132">
        <f t="shared" si="379"/>
        <v>182164294.73000002</v>
      </c>
      <c r="M139" s="131">
        <f t="shared" si="379"/>
        <v>196108639.05000001</v>
      </c>
      <c r="N139" s="131">
        <f t="shared" si="379"/>
        <v>174650121.38999999</v>
      </c>
      <c r="O139" s="131">
        <f t="shared" si="379"/>
        <v>165128890.71000001</v>
      </c>
      <c r="P139" s="131">
        <f t="shared" si="379"/>
        <v>132662518.83000001</v>
      </c>
      <c r="Q139" s="131">
        <f t="shared" si="379"/>
        <v>94581221.000000015</v>
      </c>
      <c r="R139" s="131">
        <f t="shared" si="379"/>
        <v>43309069.740000002</v>
      </c>
      <c r="S139" s="131">
        <f t="shared" si="379"/>
        <v>35390040.329999998</v>
      </c>
      <c r="T139" s="131">
        <f t="shared" si="379"/>
        <v>31710280.140000008</v>
      </c>
      <c r="U139" s="131">
        <f t="shared" si="379"/>
        <v>31729273.439999998</v>
      </c>
      <c r="V139" s="131">
        <f t="shared" ref="V139" si="380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81">SUM(Y130+Y133+Y136+Y137+Y138)</f>
        <v>203131051</v>
      </c>
      <c r="Z139" s="131">
        <f t="shared" si="381"/>
        <v>215532223</v>
      </c>
      <c r="AA139" s="131">
        <f t="shared" si="381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-31987393.730000004</v>
      </c>
      <c r="BJ139" s="133">
        <f t="shared" ref="BJ139:BK139" si="382">SUM(BJ130:BJ138)</f>
        <v>-13311965.279999996</v>
      </c>
      <c r="BK139" s="133">
        <f t="shared" si="382"/>
        <v>8197358.8200000003</v>
      </c>
      <c r="BL139" s="133">
        <f t="shared" ref="BL139:BM139" si="383">SUM(BL130:BL138)</f>
        <v>-3099885.8299999959</v>
      </c>
      <c r="BM139" s="133">
        <f t="shared" si="383"/>
        <v>1622716.9499999974</v>
      </c>
      <c r="BN139" s="133">
        <f t="shared" ref="BN139:BO139" si="384">SUM(BN130:BN138)</f>
        <v>-2877113.3799999971</v>
      </c>
      <c r="BO139" s="133">
        <f t="shared" si="384"/>
        <v>-1458955.9000000008</v>
      </c>
      <c r="BP139" s="133">
        <f t="shared" ref="BP139:BQ139" si="385">SUM(BP130:BP138)</f>
        <v>-7885918.6299999999</v>
      </c>
      <c r="BQ139" s="133">
        <f t="shared" si="385"/>
        <v>-1816374.4799999958</v>
      </c>
      <c r="BR139" s="133">
        <f t="shared" ref="BR139:BS139" si="386">SUM(BR130:BR138)</f>
        <v>-17300409.399999999</v>
      </c>
      <c r="BS139" s="133">
        <f t="shared" si="386"/>
        <v>7022411.9499999955</v>
      </c>
      <c r="BT139" s="133">
        <f t="shared" ref="BT139:BU139" si="387">SUM(BT130:BT138)</f>
        <v>40882101.609999992</v>
      </c>
      <c r="BU139" s="133">
        <f t="shared" si="387"/>
        <v>41452367.510000005</v>
      </c>
      <c r="BV139" s="133">
        <f t="shared" ref="BV139:BW139" si="388">SUM(BV130:BV138)</f>
        <v>4433304.5999999922</v>
      </c>
      <c r="BW139" s="133">
        <f t="shared" si="388"/>
        <v>-18338198.730000004</v>
      </c>
      <c r="BX139" s="133">
        <f t="shared" ref="BX139:BY139" si="389">SUM(BX130:BX138)</f>
        <v>20215596.219999999</v>
      </c>
      <c r="BY139" s="133">
        <f t="shared" si="389"/>
        <v>1101727.6700000016</v>
      </c>
      <c r="BZ139" s="133">
        <f t="shared" ref="BZ139:CA139" si="390">SUM(BZ130:BZ138)</f>
        <v>6651915.7399999984</v>
      </c>
      <c r="CA139" s="274">
        <f t="shared" si="390"/>
        <v>4789337.5600000005</v>
      </c>
      <c r="CB139" s="274">
        <f t="shared" ref="CB139:CC139" si="391">SUM(CB130:CB138)</f>
        <v>7313029</v>
      </c>
      <c r="CC139" s="274">
        <f t="shared" si="391"/>
        <v>11846011.950000003</v>
      </c>
      <c r="CD139" s="340">
        <f t="shared" ref="CD139:CE139" si="392">SUM(CD130:CD138)</f>
        <v>36545106.670000002</v>
      </c>
      <c r="CE139" s="327">
        <f t="shared" si="392"/>
        <v>50389417</v>
      </c>
      <c r="CF139" s="327">
        <f t="shared" ref="CF139:CG139" si="393">SUM(CF130:CF138)</f>
        <v>36402664</v>
      </c>
      <c r="CG139" s="327">
        <f t="shared" si="393"/>
        <v>49075465.780000009</v>
      </c>
      <c r="CH139" s="327">
        <f t="shared" ref="CH139:CI139" si="394">SUM(CH130:CH138)</f>
        <v>32770208.570000008</v>
      </c>
      <c r="CI139" s="327">
        <f t="shared" si="394"/>
        <v>29105050.729999997</v>
      </c>
      <c r="CJ139" s="327">
        <f t="shared" ref="CJ139" si="395">SUM(CJ130:CJ138)</f>
        <v>-1408401.9600000028</v>
      </c>
      <c r="CK139" s="327">
        <f t="shared" ref="CK139" si="396">SUM(CK130:CK138)</f>
        <v>13928740</v>
      </c>
      <c r="CL139" s="327">
        <f t="shared" ref="CL139" si="397">SUM(CL130:CL138)</f>
        <v>5819963.1199999992</v>
      </c>
      <c r="CM139" s="327">
        <f t="shared" ref="CM139" si="398">SUM(CM130:CM138)</f>
        <v>8964237</v>
      </c>
      <c r="CN139" s="327">
        <f t="shared" ref="CN139" si="399">SUM(CN130:CN138)</f>
        <v>15483275</v>
      </c>
      <c r="CO139" s="327">
        <f t="shared" ref="CO139" si="400">SUM(CO130:CO138)</f>
        <v>14842675</v>
      </c>
      <c r="CP139" s="369">
        <f t="shared" ref="CP139" si="401">SUM(CP130:CP138)</f>
        <v>40746279</v>
      </c>
      <c r="CQ139" s="369">
        <f t="shared" ref="CQ139:CS139" si="402">SUM(CQ130:CQ138)</f>
        <v>15056178</v>
      </c>
      <c r="CR139" s="369">
        <f t="shared" ref="CR139:CS139" si="403">SUM(CR130:CR138)</f>
        <v>10790766</v>
      </c>
      <c r="CS139" s="369">
        <f t="shared" si="403"/>
        <v>3224058</v>
      </c>
      <c r="CT139" s="351"/>
      <c r="CU139" s="263">
        <f>CU130+CU133+CU136+CU137+CU138</f>
        <v>258880782</v>
      </c>
    </row>
    <row r="140" spans="1:100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50"/>
      <c r="CU140" s="98"/>
    </row>
    <row r="141" spans="1:100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404">O141-C141</f>
        <v>-6373502.3599999994</v>
      </c>
      <c r="BJ141" s="103">
        <f t="shared" si="404"/>
        <v>-11956452</v>
      </c>
      <c r="BK141" s="103">
        <f t="shared" si="404"/>
        <v>603708.1099999994</v>
      </c>
      <c r="BL141" s="103">
        <f t="shared" si="404"/>
        <v>357145.75</v>
      </c>
      <c r="BM141" s="103">
        <f t="shared" si="404"/>
        <v>-3844734.1399999969</v>
      </c>
      <c r="BN141" s="103">
        <f t="shared" si="404"/>
        <v>-2137589.879999999</v>
      </c>
      <c r="BO141" s="103">
        <f t="shared" si="404"/>
        <v>-868488.87999999896</v>
      </c>
      <c r="BP141" s="103">
        <f t="shared" si="404"/>
        <v>-3106436.7399999984</v>
      </c>
      <c r="BQ141" s="103">
        <f t="shared" si="404"/>
        <v>885154.92000000179</v>
      </c>
      <c r="BR141" s="103">
        <f t="shared" si="404"/>
        <v>-4511452.5099999905</v>
      </c>
      <c r="BS141" s="103">
        <f t="shared" ref="BS141:CB145" si="405">Y141-M141</f>
        <v>-8081743.6899999976</v>
      </c>
      <c r="BT141" s="103">
        <f t="shared" si="405"/>
        <v>9835143.9899999946</v>
      </c>
      <c r="BU141" s="103">
        <f t="shared" si="405"/>
        <v>24292893.400000006</v>
      </c>
      <c r="BV141" s="103">
        <f t="shared" si="405"/>
        <v>8077519.0700000077</v>
      </c>
      <c r="BW141" s="103">
        <f t="shared" si="405"/>
        <v>-6027553.7199999988</v>
      </c>
      <c r="BX141" s="103">
        <f t="shared" si="405"/>
        <v>1007024.2899999991</v>
      </c>
      <c r="BY141" s="103">
        <f t="shared" si="405"/>
        <v>2413759.379999999</v>
      </c>
      <c r="BZ141" s="103">
        <f t="shared" si="405"/>
        <v>3150628.3299999982</v>
      </c>
      <c r="CA141" s="277">
        <f t="shared" si="405"/>
        <v>687903.75</v>
      </c>
      <c r="CB141" s="277">
        <f t="shared" si="405"/>
        <v>462975</v>
      </c>
      <c r="CC141" s="277">
        <f t="shared" ref="CC141:CL145" si="406">AI141-W141</f>
        <v>2445971.4200000018</v>
      </c>
      <c r="CD141" s="341">
        <f t="shared" si="406"/>
        <v>7929448.2099999934</v>
      </c>
      <c r="CE141" s="321">
        <f t="shared" si="406"/>
        <v>17532363</v>
      </c>
      <c r="CF141" s="321">
        <f t="shared" si="406"/>
        <v>34920894</v>
      </c>
      <c r="CG141" s="321">
        <f t="shared" si="406"/>
        <v>18800181.409999996</v>
      </c>
      <c r="CH141" s="321">
        <f t="shared" si="406"/>
        <v>15917984.189999998</v>
      </c>
      <c r="CI141" s="321">
        <f t="shared" si="406"/>
        <v>19980286.670000002</v>
      </c>
      <c r="CJ141" s="321">
        <f t="shared" si="406"/>
        <v>12413955.719999999</v>
      </c>
      <c r="CK141" s="321">
        <f t="shared" si="406"/>
        <v>7046657</v>
      </c>
      <c r="CL141" s="321">
        <f t="shared" si="406"/>
        <v>9708806.8200000003</v>
      </c>
      <c r="CM141" s="321">
        <f t="shared" ref="CM141:CS145" si="407">AS141-AG141</f>
        <v>7336249</v>
      </c>
      <c r="CN141" s="321">
        <f t="shared" si="407"/>
        <v>10802914</v>
      </c>
      <c r="CO141" s="321">
        <f t="shared" si="407"/>
        <v>11692006</v>
      </c>
      <c r="CP141" s="321">
        <f t="shared" si="407"/>
        <v>10288255</v>
      </c>
      <c r="CQ141" s="321">
        <f t="shared" si="407"/>
        <v>23008846</v>
      </c>
      <c r="CR141" s="321">
        <f t="shared" si="407"/>
        <v>-4229930</v>
      </c>
      <c r="CS141" s="321">
        <f t="shared" si="407"/>
        <v>1937951</v>
      </c>
      <c r="CT141" s="350"/>
      <c r="CU141" s="67">
        <f>'MONTHLY SUMMARIES'!H101</f>
        <v>140325540</v>
      </c>
    </row>
    <row r="142" spans="1:100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404"/>
        <v>-706894.71999999974</v>
      </c>
      <c r="BJ142" s="103">
        <f t="shared" si="404"/>
        <v>-1524534.1200000006</v>
      </c>
      <c r="BK142" s="103">
        <f t="shared" si="404"/>
        <v>43499.879999999888</v>
      </c>
      <c r="BL142" s="103">
        <f t="shared" si="404"/>
        <v>-1151121.9299999997</v>
      </c>
      <c r="BM142" s="103">
        <f t="shared" si="404"/>
        <v>-59785.759999999776</v>
      </c>
      <c r="BN142" s="103">
        <f t="shared" si="404"/>
        <v>-63948.800000000047</v>
      </c>
      <c r="BO142" s="103">
        <f t="shared" si="404"/>
        <v>-124449.55000000005</v>
      </c>
      <c r="BP142" s="103">
        <f t="shared" si="404"/>
        <v>-381194.3600000001</v>
      </c>
      <c r="BQ142" s="103">
        <f t="shared" si="404"/>
        <v>-108990.33000000007</v>
      </c>
      <c r="BR142" s="103">
        <f t="shared" si="404"/>
        <v>141826.25999999978</v>
      </c>
      <c r="BS142" s="103">
        <f t="shared" si="405"/>
        <v>-401285.87999999989</v>
      </c>
      <c r="BT142" s="103">
        <f t="shared" si="405"/>
        <v>167991.53000000026</v>
      </c>
      <c r="BU142" s="103">
        <f t="shared" si="405"/>
        <v>2740430.8899999997</v>
      </c>
      <c r="BV142" s="103">
        <f t="shared" si="405"/>
        <v>833889.08000000054</v>
      </c>
      <c r="BW142" s="103">
        <f t="shared" si="405"/>
        <v>1341187.5300000003</v>
      </c>
      <c r="BX142" s="103">
        <f t="shared" si="405"/>
        <v>1251369.9299999997</v>
      </c>
      <c r="BY142" s="103">
        <f t="shared" si="405"/>
        <v>770088.79999999981</v>
      </c>
      <c r="BZ142" s="103">
        <f t="shared" si="405"/>
        <v>1123399.7</v>
      </c>
      <c r="CA142" s="277">
        <f t="shared" si="405"/>
        <v>801111.78</v>
      </c>
      <c r="CB142" s="277">
        <f t="shared" si="405"/>
        <v>556681</v>
      </c>
      <c r="CC142" s="277">
        <f t="shared" si="406"/>
        <v>2487635.87</v>
      </c>
      <c r="CD142" s="341">
        <f t="shared" si="406"/>
        <v>3661483.91</v>
      </c>
      <c r="CE142" s="321">
        <f t="shared" si="406"/>
        <v>1544671</v>
      </c>
      <c r="CF142" s="321">
        <f t="shared" si="406"/>
        <v>1805766</v>
      </c>
      <c r="CG142" s="321">
        <f t="shared" si="406"/>
        <v>1704258.04</v>
      </c>
      <c r="CH142" s="321">
        <f t="shared" si="406"/>
        <v>2210873.3899999997</v>
      </c>
      <c r="CI142" s="321">
        <f t="shared" si="406"/>
        <v>1550558.4299999997</v>
      </c>
      <c r="CJ142" s="321">
        <f t="shared" si="406"/>
        <v>1244695.8700000001</v>
      </c>
      <c r="CK142" s="321">
        <f t="shared" si="406"/>
        <v>396313</v>
      </c>
      <c r="CL142" s="321">
        <f t="shared" si="406"/>
        <v>834922.5</v>
      </c>
      <c r="CM142" s="321">
        <f t="shared" si="407"/>
        <v>372235</v>
      </c>
      <c r="CN142" s="321">
        <f t="shared" si="407"/>
        <v>888066</v>
      </c>
      <c r="CO142" s="321">
        <f t="shared" si="407"/>
        <v>-849108</v>
      </c>
      <c r="CP142" s="321">
        <f t="shared" si="407"/>
        <v>-1968225</v>
      </c>
      <c r="CQ142" s="321">
        <f t="shared" si="407"/>
        <v>1879347</v>
      </c>
      <c r="CR142" s="321">
        <f t="shared" si="407"/>
        <v>1038562</v>
      </c>
      <c r="CS142" s="321">
        <f t="shared" si="407"/>
        <v>523171</v>
      </c>
      <c r="CT142" s="350"/>
      <c r="CU142" s="67">
        <f>'MONTHLY SUMMARIES'!H102</f>
        <v>9701610</v>
      </c>
    </row>
    <row r="143" spans="1:100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404"/>
        <v>-1809263.4499999993</v>
      </c>
      <c r="BJ143" s="103">
        <f t="shared" si="404"/>
        <v>-4153950.6099999994</v>
      </c>
      <c r="BK143" s="103">
        <f t="shared" si="404"/>
        <v>-1773436.7999999998</v>
      </c>
      <c r="BL143" s="103">
        <f t="shared" si="404"/>
        <v>231097.33999999985</v>
      </c>
      <c r="BM143" s="103">
        <f t="shared" si="404"/>
        <v>-230749.45000000019</v>
      </c>
      <c r="BN143" s="103">
        <f t="shared" si="404"/>
        <v>-462568.54000000004</v>
      </c>
      <c r="BO143" s="103">
        <f t="shared" si="404"/>
        <v>-302505.95000000019</v>
      </c>
      <c r="BP143" s="103">
        <f t="shared" si="404"/>
        <v>-656267.74000000022</v>
      </c>
      <c r="BQ143" s="103">
        <f t="shared" si="404"/>
        <v>-255503.29000000004</v>
      </c>
      <c r="BR143" s="103">
        <f t="shared" si="404"/>
        <v>-862864.58999999985</v>
      </c>
      <c r="BS143" s="103">
        <f t="shared" si="405"/>
        <v>-3404135.4000000004</v>
      </c>
      <c r="BT143" s="103">
        <f t="shared" si="405"/>
        <v>905929.78999999911</v>
      </c>
      <c r="BU143" s="103">
        <f t="shared" si="405"/>
        <v>3942594.4499999993</v>
      </c>
      <c r="BV143" s="103">
        <f t="shared" si="405"/>
        <v>2701430.7899999991</v>
      </c>
      <c r="BW143" s="103">
        <f t="shared" si="405"/>
        <v>-385514.05999999959</v>
      </c>
      <c r="BX143" s="103">
        <f t="shared" si="405"/>
        <v>-694370.19000000041</v>
      </c>
      <c r="BY143" s="103">
        <f t="shared" si="405"/>
        <v>-81195.819999999832</v>
      </c>
      <c r="BZ143" s="103">
        <f t="shared" si="405"/>
        <v>624574.26000000024</v>
      </c>
      <c r="CA143" s="277">
        <f t="shared" si="405"/>
        <v>335460.70999999996</v>
      </c>
      <c r="CB143" s="277">
        <f t="shared" si="405"/>
        <v>195540</v>
      </c>
      <c r="CC143" s="277">
        <f t="shared" si="406"/>
        <v>505628.93999999994</v>
      </c>
      <c r="CD143" s="341">
        <f t="shared" si="406"/>
        <v>640654.59999999963</v>
      </c>
      <c r="CE143" s="321">
        <f t="shared" si="406"/>
        <v>1643673</v>
      </c>
      <c r="CF143" s="321">
        <f t="shared" si="406"/>
        <v>5400811</v>
      </c>
      <c r="CG143" s="321">
        <f t="shared" si="406"/>
        <v>2251692.2300000004</v>
      </c>
      <c r="CH143" s="321">
        <f t="shared" si="406"/>
        <v>3299746.8900000006</v>
      </c>
      <c r="CI143" s="321">
        <f t="shared" si="406"/>
        <v>3236730.3499999996</v>
      </c>
      <c r="CJ143" s="321">
        <f t="shared" si="406"/>
        <v>1814901.8600000003</v>
      </c>
      <c r="CK143" s="321">
        <f t="shared" si="406"/>
        <v>1090297</v>
      </c>
      <c r="CL143" s="321">
        <f t="shared" si="406"/>
        <v>995567.81999999983</v>
      </c>
      <c r="CM143" s="321">
        <f t="shared" si="407"/>
        <v>446136</v>
      </c>
      <c r="CN143" s="321">
        <f t="shared" si="407"/>
        <v>1380863</v>
      </c>
      <c r="CO143" s="321">
        <f t="shared" si="407"/>
        <v>1651728</v>
      </c>
      <c r="CP143" s="321">
        <f t="shared" si="407"/>
        <v>1790175</v>
      </c>
      <c r="CQ143" s="321">
        <f t="shared" si="407"/>
        <v>4789761</v>
      </c>
      <c r="CR143" s="321">
        <f t="shared" si="407"/>
        <v>-534366</v>
      </c>
      <c r="CS143" s="321">
        <f t="shared" si="407"/>
        <v>223459</v>
      </c>
      <c r="CT143" s="350"/>
      <c r="CU143" s="67">
        <f>'MONTHLY SUMMARIES'!H103</f>
        <v>18003165</v>
      </c>
    </row>
    <row r="144" spans="1:100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404"/>
        <v>-1582975.0500000007</v>
      </c>
      <c r="BJ144" s="103">
        <f t="shared" si="404"/>
        <v>-4913437.1899999995</v>
      </c>
      <c r="BK144" s="103">
        <f t="shared" si="404"/>
        <v>-2006247.42</v>
      </c>
      <c r="BL144" s="103">
        <f t="shared" si="404"/>
        <v>175360.36000000034</v>
      </c>
      <c r="BM144" s="103">
        <f t="shared" si="404"/>
        <v>-481978.48</v>
      </c>
      <c r="BN144" s="103">
        <f t="shared" si="404"/>
        <v>-810232.21</v>
      </c>
      <c r="BO144" s="103">
        <f t="shared" si="404"/>
        <v>-761424.37000000011</v>
      </c>
      <c r="BP144" s="103">
        <f t="shared" si="404"/>
        <v>-960905.33000000007</v>
      </c>
      <c r="BQ144" s="103">
        <f t="shared" si="404"/>
        <v>-170126.90999999968</v>
      </c>
      <c r="BR144" s="103">
        <f t="shared" si="404"/>
        <v>-720116.23000000045</v>
      </c>
      <c r="BS144" s="103">
        <f t="shared" si="405"/>
        <v>-4095230.3000000007</v>
      </c>
      <c r="BT144" s="103">
        <f t="shared" si="405"/>
        <v>822396.91000000015</v>
      </c>
      <c r="BU144" s="103">
        <f t="shared" si="405"/>
        <v>3898447.4400000013</v>
      </c>
      <c r="BV144" s="103">
        <f t="shared" si="405"/>
        <v>2927600.6500000004</v>
      </c>
      <c r="BW144" s="103">
        <f t="shared" si="405"/>
        <v>-370907.66999999993</v>
      </c>
      <c r="BX144" s="103">
        <f t="shared" si="405"/>
        <v>-584377.61000000034</v>
      </c>
      <c r="BY144" s="103">
        <f t="shared" si="405"/>
        <v>106529.4700000002</v>
      </c>
      <c r="BZ144" s="103">
        <f t="shared" si="405"/>
        <v>893168.75999999978</v>
      </c>
      <c r="CA144" s="277">
        <f t="shared" si="405"/>
        <v>457000.16000000015</v>
      </c>
      <c r="CB144" s="277">
        <f t="shared" si="405"/>
        <v>136435</v>
      </c>
      <c r="CC144" s="277">
        <f t="shared" si="406"/>
        <v>355997.33999999985</v>
      </c>
      <c r="CD144" s="341">
        <f t="shared" si="406"/>
        <v>442496.5</v>
      </c>
      <c r="CE144" s="321">
        <f t="shared" si="406"/>
        <v>1793143</v>
      </c>
      <c r="CF144" s="321">
        <f t="shared" si="406"/>
        <v>5844985</v>
      </c>
      <c r="CG144" s="321">
        <f t="shared" si="406"/>
        <v>1748850.9399999995</v>
      </c>
      <c r="CH144" s="321">
        <f t="shared" si="406"/>
        <v>3338017.34</v>
      </c>
      <c r="CI144" s="321">
        <f t="shared" si="406"/>
        <v>2473878.3200000003</v>
      </c>
      <c r="CJ144" s="321">
        <f t="shared" si="406"/>
        <v>2150828.1900000004</v>
      </c>
      <c r="CK144" s="321">
        <f t="shared" si="406"/>
        <v>1164188</v>
      </c>
      <c r="CL144" s="321">
        <f t="shared" si="406"/>
        <v>1034247.5</v>
      </c>
      <c r="CM144" s="321">
        <f t="shared" si="407"/>
        <v>472771</v>
      </c>
      <c r="CN144" s="321">
        <f t="shared" si="407"/>
        <v>1735629</v>
      </c>
      <c r="CO144" s="321">
        <f t="shared" si="407"/>
        <v>2388875</v>
      </c>
      <c r="CP144" s="321">
        <f t="shared" si="407"/>
        <v>2181372</v>
      </c>
      <c r="CQ144" s="321">
        <f t="shared" si="407"/>
        <v>5447986</v>
      </c>
      <c r="CR144" s="321">
        <f t="shared" si="407"/>
        <v>-182742</v>
      </c>
      <c r="CS144" s="321">
        <f t="shared" si="407"/>
        <v>333879</v>
      </c>
      <c r="CT144" s="350"/>
      <c r="CU144" s="67">
        <f>'MONTHLY SUMMARIES'!H104</f>
        <v>18556859</v>
      </c>
    </row>
    <row r="145" spans="1:100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404"/>
        <v>3320471.8699999973</v>
      </c>
      <c r="BJ145" s="103">
        <f t="shared" si="404"/>
        <v>-13218997.399999999</v>
      </c>
      <c r="BK145" s="103">
        <f t="shared" si="404"/>
        <v>-13652473.629999999</v>
      </c>
      <c r="BL145" s="103">
        <f t="shared" si="404"/>
        <v>4021149.2699999996</v>
      </c>
      <c r="BM145" s="103">
        <f t="shared" si="404"/>
        <v>-2279511.9299999997</v>
      </c>
      <c r="BN145" s="103">
        <f t="shared" si="404"/>
        <v>-1685774.4700000007</v>
      </c>
      <c r="BO145" s="103">
        <f t="shared" si="404"/>
        <v>-4426290.08</v>
      </c>
      <c r="BP145" s="103">
        <f t="shared" si="404"/>
        <v>-3577260.0199999996</v>
      </c>
      <c r="BQ145" s="103">
        <f t="shared" si="404"/>
        <v>1576046.2799999993</v>
      </c>
      <c r="BR145" s="103">
        <f t="shared" si="404"/>
        <v>-1612286.5500000007</v>
      </c>
      <c r="BS145" s="103">
        <f t="shared" si="405"/>
        <v>-13640705.75</v>
      </c>
      <c r="BT145" s="103">
        <f t="shared" si="405"/>
        <v>5236280.25</v>
      </c>
      <c r="BU145" s="103">
        <f t="shared" si="405"/>
        <v>8462595.0700000003</v>
      </c>
      <c r="BV145" s="103">
        <f t="shared" si="405"/>
        <v>6750625.0799999982</v>
      </c>
      <c r="BW145" s="103">
        <f t="shared" si="405"/>
        <v>4175289.1999999993</v>
      </c>
      <c r="BX145" s="103">
        <f t="shared" si="405"/>
        <v>-5028349.8099999987</v>
      </c>
      <c r="BY145" s="103">
        <f t="shared" si="405"/>
        <v>136075.84999999963</v>
      </c>
      <c r="BZ145" s="103">
        <f t="shared" si="405"/>
        <v>3489805.2100000009</v>
      </c>
      <c r="CA145" s="277">
        <f t="shared" si="405"/>
        <v>504073.91000000015</v>
      </c>
      <c r="CB145" s="277">
        <f t="shared" si="405"/>
        <v>-637256</v>
      </c>
      <c r="CC145" s="277">
        <f t="shared" si="406"/>
        <v>-124022.33000000007</v>
      </c>
      <c r="CD145" s="341">
        <f t="shared" si="406"/>
        <v>804276.03000000119</v>
      </c>
      <c r="CE145" s="321">
        <f t="shared" si="406"/>
        <v>1562960</v>
      </c>
      <c r="CF145" s="321">
        <f t="shared" si="406"/>
        <v>14594404</v>
      </c>
      <c r="CG145" s="321">
        <f t="shared" si="406"/>
        <v>8625388.0600000024</v>
      </c>
      <c r="CH145" s="321">
        <f t="shared" si="406"/>
        <v>10938163.82</v>
      </c>
      <c r="CI145" s="321">
        <f t="shared" si="406"/>
        <v>6038960.1099999994</v>
      </c>
      <c r="CJ145" s="321">
        <f t="shared" si="406"/>
        <v>6529541.6499999985</v>
      </c>
      <c r="CK145" s="321">
        <f t="shared" si="406"/>
        <v>3353379</v>
      </c>
      <c r="CL145" s="321">
        <f t="shared" si="406"/>
        <v>2862364.6999999993</v>
      </c>
      <c r="CM145" s="321">
        <f t="shared" si="407"/>
        <v>1670183</v>
      </c>
      <c r="CN145" s="321">
        <f t="shared" si="407"/>
        <v>7394382</v>
      </c>
      <c r="CO145" s="321">
        <f t="shared" si="407"/>
        <v>5947066</v>
      </c>
      <c r="CP145" s="321">
        <f t="shared" si="407"/>
        <v>9630145</v>
      </c>
      <c r="CQ145" s="321">
        <f t="shared" si="407"/>
        <v>16645274</v>
      </c>
      <c r="CR145" s="321">
        <f t="shared" si="407"/>
        <v>5025870</v>
      </c>
      <c r="CS145" s="321">
        <f t="shared" si="407"/>
        <v>442572</v>
      </c>
      <c r="CT145" s="350"/>
      <c r="CU145" s="67">
        <f>'MONTHLY SUMMARIES'!H105</f>
        <v>60372540</v>
      </c>
    </row>
    <row r="146" spans="1:100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08">SUM(D141:D145)</f>
        <v>159039386.01999998</v>
      </c>
      <c r="E146" s="136">
        <f t="shared" si="408"/>
        <v>130565127.69999999</v>
      </c>
      <c r="F146" s="137">
        <f t="shared" si="408"/>
        <v>76846294.310000002</v>
      </c>
      <c r="G146" s="136">
        <f t="shared" si="408"/>
        <v>61608735.079999998</v>
      </c>
      <c r="H146" s="136">
        <f t="shared" si="408"/>
        <v>50922890.300000004</v>
      </c>
      <c r="I146" s="136">
        <f t="shared" si="408"/>
        <v>49972372.520000003</v>
      </c>
      <c r="J146" s="136">
        <f t="shared" si="408"/>
        <v>53039413.189999998</v>
      </c>
      <c r="K146" s="136">
        <f t="shared" si="408"/>
        <v>53997515.090000004</v>
      </c>
      <c r="L146" s="138">
        <f t="shared" si="408"/>
        <v>110838126.36999999</v>
      </c>
      <c r="M146" s="136">
        <f t="shared" si="408"/>
        <v>166653369.01999998</v>
      </c>
      <c r="N146" s="136">
        <f t="shared" si="408"/>
        <v>147100148.53</v>
      </c>
      <c r="O146" s="136">
        <f t="shared" si="408"/>
        <v>167031350.06999999</v>
      </c>
      <c r="P146" s="136">
        <f t="shared" si="408"/>
        <v>123272014.70000002</v>
      </c>
      <c r="Q146" s="136">
        <f t="shared" si="408"/>
        <v>113780177.83999999</v>
      </c>
      <c r="R146" s="136">
        <f t="shared" si="408"/>
        <v>80479925.100000009</v>
      </c>
      <c r="S146" s="136">
        <f t="shared" si="408"/>
        <v>54711975.32</v>
      </c>
      <c r="T146" s="136">
        <f t="shared" si="408"/>
        <v>45762776.400000006</v>
      </c>
      <c r="U146" s="136">
        <f t="shared" si="408"/>
        <v>43489213.689999998</v>
      </c>
      <c r="V146" s="136">
        <f t="shared" si="408"/>
        <v>44357349</v>
      </c>
      <c r="W146" s="136">
        <f t="shared" si="408"/>
        <v>55924095.760000005</v>
      </c>
      <c r="X146" s="138">
        <f t="shared" si="408"/>
        <v>103273232.75000001</v>
      </c>
      <c r="Y146" s="136">
        <v>137030268</v>
      </c>
      <c r="Z146" s="242">
        <v>164067891</v>
      </c>
      <c r="AA146" s="136">
        <f t="shared" ref="AA146" si="409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23"/>
        <v>-7152163.7100000009</v>
      </c>
      <c r="BJ146" s="139">
        <f t="shared" ref="BJ146:BK146" si="410">SUM(BJ141:BJ145)</f>
        <v>-35767371.32</v>
      </c>
      <c r="BK146" s="139">
        <f t="shared" si="410"/>
        <v>-16784949.859999999</v>
      </c>
      <c r="BL146" s="139">
        <f t="shared" ref="BL146:BM146" si="411">SUM(BL141:BL145)</f>
        <v>3633630.79</v>
      </c>
      <c r="BM146" s="139">
        <f t="shared" si="411"/>
        <v>-6896759.7599999961</v>
      </c>
      <c r="BN146" s="139">
        <f t="shared" ref="BN146:BO146" si="412">SUM(BN141:BN145)</f>
        <v>-5160113.8999999994</v>
      </c>
      <c r="BO146" s="139">
        <f t="shared" si="412"/>
        <v>-6483158.8299999991</v>
      </c>
      <c r="BP146" s="139">
        <f t="shared" ref="BP146:BQ146" si="413">SUM(BP141:BP145)</f>
        <v>-8682064.1899999976</v>
      </c>
      <c r="BQ146" s="139">
        <f t="shared" si="413"/>
        <v>1926580.6700000013</v>
      </c>
      <c r="BR146" s="139">
        <f t="shared" ref="BR146:BS146" si="414">SUM(BR141:BR145)</f>
        <v>-7564893.6199999917</v>
      </c>
      <c r="BS146" s="139">
        <f t="shared" si="414"/>
        <v>-29623101.019999996</v>
      </c>
      <c r="BT146" s="139">
        <f t="shared" ref="BT146:BU146" si="415">SUM(BT141:BT145)</f>
        <v>16967742.469999995</v>
      </c>
      <c r="BU146" s="139">
        <f t="shared" si="415"/>
        <v>43336961.250000007</v>
      </c>
      <c r="BV146" s="139">
        <f t="shared" ref="BV146:BW146" si="416">SUM(BV141:BV145)</f>
        <v>21291064.670000006</v>
      </c>
      <c r="BW146" s="139">
        <f t="shared" si="416"/>
        <v>-1267498.7199999988</v>
      </c>
      <c r="BX146" s="139">
        <f t="shared" ref="BX146:BY146" si="417">SUM(BX141:BX145)</f>
        <v>-4048703.3900000006</v>
      </c>
      <c r="BY146" s="139">
        <f t="shared" si="417"/>
        <v>3345257.6799999988</v>
      </c>
      <c r="BZ146" s="139">
        <f t="shared" ref="BZ146:CA146" si="418">SUM(BZ141:BZ145)</f>
        <v>9281576.2599999998</v>
      </c>
      <c r="CA146" s="278">
        <f t="shared" si="418"/>
        <v>2785550.3100000005</v>
      </c>
      <c r="CB146" s="278">
        <f t="shared" ref="CB146:CC146" si="419">SUM(CB141:CB145)</f>
        <v>714375</v>
      </c>
      <c r="CC146" s="278">
        <f t="shared" si="419"/>
        <v>5671211.2400000021</v>
      </c>
      <c r="CD146" s="342">
        <f t="shared" ref="CD146:CE146" si="420">SUM(CD141:CD145)</f>
        <v>13478359.249999994</v>
      </c>
      <c r="CE146" s="322">
        <f t="shared" si="420"/>
        <v>24076810</v>
      </c>
      <c r="CF146" s="322">
        <f t="shared" ref="CF146:CG146" si="421">SUM(CF141:CF145)</f>
        <v>62566860</v>
      </c>
      <c r="CG146" s="322">
        <f t="shared" si="421"/>
        <v>33130370.68</v>
      </c>
      <c r="CH146" s="322">
        <f t="shared" ref="CH146:CI146" si="422">SUM(CH141:CH145)</f>
        <v>35704785.629999995</v>
      </c>
      <c r="CI146" s="322">
        <f t="shared" si="422"/>
        <v>33280413.880000003</v>
      </c>
      <c r="CJ146" s="322">
        <f t="shared" ref="CJ146" si="423">SUM(CJ141:CJ145)</f>
        <v>24153923.289999999</v>
      </c>
      <c r="CK146" s="322">
        <f t="shared" ref="CK146" si="424">SUM(CK141:CK145)</f>
        <v>13050834</v>
      </c>
      <c r="CL146" s="322">
        <f t="shared" ref="CL146" si="425">SUM(CL141:CL145)</f>
        <v>15435909.34</v>
      </c>
      <c r="CM146" s="322">
        <f t="shared" ref="CM146" si="426">SUM(CM141:CM145)</f>
        <v>10297574</v>
      </c>
      <c r="CN146" s="322">
        <f t="shared" ref="CN146" si="427">SUM(CN141:CN145)</f>
        <v>22201854</v>
      </c>
      <c r="CO146" s="322">
        <f t="shared" ref="CO146" si="428">SUM(CO141:CO145)</f>
        <v>20830567</v>
      </c>
      <c r="CP146" s="322">
        <f t="shared" ref="CP146" si="429">SUM(CP141:CP145)</f>
        <v>21921722</v>
      </c>
      <c r="CQ146" s="322">
        <f t="shared" ref="CQ146:CS146" si="430">SUM(CQ141:CQ145)</f>
        <v>51771214</v>
      </c>
      <c r="CR146" s="322">
        <f t="shared" ref="CR146:CS146" si="431">SUM(CR141:CR145)</f>
        <v>1117394</v>
      </c>
      <c r="CS146" s="322">
        <f t="shared" si="431"/>
        <v>3461032</v>
      </c>
      <c r="CT146" s="351"/>
      <c r="CU146" s="47">
        <f t="shared" ref="CU146:CU160" si="432">SUM(CU141:CU145)</f>
        <v>246959714</v>
      </c>
      <c r="CV146" s="40"/>
    </row>
    <row r="147" spans="1:10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48"/>
      <c r="CU147" s="93"/>
      <c r="CV147" s="40"/>
    </row>
    <row r="148" spans="1:100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33">O148-C148</f>
        <v>83586</v>
      </c>
      <c r="BJ148" s="108">
        <f t="shared" si="433"/>
        <v>32464</v>
      </c>
      <c r="BK148" s="108">
        <f t="shared" si="433"/>
        <v>47471</v>
      </c>
      <c r="BL148" s="108">
        <f t="shared" si="433"/>
        <v>83526</v>
      </c>
      <c r="BM148" s="108">
        <f t="shared" si="433"/>
        <v>27243</v>
      </c>
      <c r="BN148" s="108">
        <f t="shared" si="433"/>
        <v>38012</v>
      </c>
      <c r="BO148" s="108">
        <f t="shared" si="433"/>
        <v>46678</v>
      </c>
      <c r="BP148" s="108">
        <f t="shared" si="433"/>
        <v>-23439</v>
      </c>
      <c r="BQ148" s="108">
        <f t="shared" si="433"/>
        <v>29833</v>
      </c>
      <c r="BR148" s="108">
        <f t="shared" si="433"/>
        <v>16198</v>
      </c>
      <c r="BS148" s="108">
        <f t="shared" ref="BS148:CB152" si="434">Y148-M148</f>
        <v>-51014</v>
      </c>
      <c r="BT148" s="108">
        <f t="shared" si="434"/>
        <v>3035</v>
      </c>
      <c r="BU148" s="108">
        <f t="shared" si="434"/>
        <v>22501</v>
      </c>
      <c r="BV148" s="108">
        <f t="shared" si="434"/>
        <v>-1230</v>
      </c>
      <c r="BW148" s="108">
        <f t="shared" si="434"/>
        <v>-15579</v>
      </c>
      <c r="BX148" s="108">
        <f t="shared" si="434"/>
        <v>7261</v>
      </c>
      <c r="BY148" s="108">
        <f t="shared" si="434"/>
        <v>-7116</v>
      </c>
      <c r="BZ148" s="108">
        <f t="shared" si="434"/>
        <v>10192</v>
      </c>
      <c r="CA148" s="279">
        <f t="shared" si="434"/>
        <v>-22257</v>
      </c>
      <c r="CB148" s="279">
        <f t="shared" si="434"/>
        <v>-1449</v>
      </c>
      <c r="CC148" s="279">
        <f t="shared" ref="CC148:CL152" si="435">AI148-W148</f>
        <v>17837</v>
      </c>
      <c r="CD148" s="343">
        <f t="shared" si="435"/>
        <v>-18145</v>
      </c>
      <c r="CE148" s="316">
        <f t="shared" si="435"/>
        <v>40624</v>
      </c>
      <c r="CF148" s="316">
        <f t="shared" si="435"/>
        <v>35996</v>
      </c>
      <c r="CG148" s="316">
        <f t="shared" si="435"/>
        <v>982</v>
      </c>
      <c r="CH148" s="316">
        <f t="shared" si="435"/>
        <v>-14524</v>
      </c>
      <c r="CI148" s="316">
        <f t="shared" si="435"/>
        <v>-6409</v>
      </c>
      <c r="CJ148" s="316">
        <f t="shared" si="435"/>
        <v>8527</v>
      </c>
      <c r="CK148" s="316">
        <f t="shared" si="435"/>
        <v>-8698</v>
      </c>
      <c r="CL148" s="316">
        <f t="shared" si="435"/>
        <v>16291</v>
      </c>
      <c r="CM148" s="316">
        <f t="shared" ref="CM148:CS152" si="436">AS148-AG148</f>
        <v>16796</v>
      </c>
      <c r="CN148" s="316">
        <f t="shared" si="436"/>
        <v>7072</v>
      </c>
      <c r="CO148" s="316">
        <f t="shared" si="436"/>
        <v>-2633</v>
      </c>
      <c r="CP148" s="316">
        <f t="shared" si="436"/>
        <v>-16029</v>
      </c>
      <c r="CQ148" s="316">
        <f t="shared" si="436"/>
        <v>8502</v>
      </c>
      <c r="CR148" s="316">
        <f t="shared" si="436"/>
        <v>-29416</v>
      </c>
      <c r="CS148" s="316">
        <f t="shared" si="436"/>
        <v>-10890</v>
      </c>
      <c r="CT148" s="348"/>
      <c r="CU148" s="67">
        <f>'MONTHLY SUMMARIES'!H108</f>
        <v>562350</v>
      </c>
      <c r="CV148" s="40"/>
    </row>
    <row r="149" spans="1:100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33"/>
        <v>887</v>
      </c>
      <c r="BJ149" s="108">
        <f t="shared" si="433"/>
        <v>-3293</v>
      </c>
      <c r="BK149" s="108">
        <f t="shared" si="433"/>
        <v>5815</v>
      </c>
      <c r="BL149" s="108">
        <f t="shared" si="433"/>
        <v>-7271</v>
      </c>
      <c r="BM149" s="108">
        <f t="shared" si="433"/>
        <v>706</v>
      </c>
      <c r="BN149" s="108">
        <f t="shared" si="433"/>
        <v>1404</v>
      </c>
      <c r="BO149" s="108">
        <f t="shared" si="433"/>
        <v>2100</v>
      </c>
      <c r="BP149" s="108">
        <f t="shared" si="433"/>
        <v>-1229</v>
      </c>
      <c r="BQ149" s="108">
        <f t="shared" si="433"/>
        <v>2312</v>
      </c>
      <c r="BR149" s="108">
        <f t="shared" si="433"/>
        <v>3644</v>
      </c>
      <c r="BS149" s="108">
        <f t="shared" si="434"/>
        <v>-336</v>
      </c>
      <c r="BT149" s="108">
        <f t="shared" si="434"/>
        <v>1179</v>
      </c>
      <c r="BU149" s="108">
        <f t="shared" si="434"/>
        <v>12925</v>
      </c>
      <c r="BV149" s="108">
        <f t="shared" si="434"/>
        <v>2714</v>
      </c>
      <c r="BW149" s="108">
        <f t="shared" si="434"/>
        <v>4832</v>
      </c>
      <c r="BX149" s="108">
        <f t="shared" si="434"/>
        <v>9434</v>
      </c>
      <c r="BY149" s="108">
        <f t="shared" si="434"/>
        <v>4249</v>
      </c>
      <c r="BZ149" s="108">
        <f t="shared" si="434"/>
        <v>6487</v>
      </c>
      <c r="CA149" s="279">
        <f t="shared" si="434"/>
        <v>3436</v>
      </c>
      <c r="CB149" s="279">
        <f t="shared" si="434"/>
        <v>4281</v>
      </c>
      <c r="CC149" s="279">
        <f t="shared" si="435"/>
        <v>9775</v>
      </c>
      <c r="CD149" s="343">
        <f t="shared" si="435"/>
        <v>10055</v>
      </c>
      <c r="CE149" s="316">
        <f t="shared" si="435"/>
        <v>4607</v>
      </c>
      <c r="CF149" s="316">
        <f t="shared" si="435"/>
        <v>3284</v>
      </c>
      <c r="CG149" s="316">
        <f t="shared" si="435"/>
        <v>1404</v>
      </c>
      <c r="CH149" s="316">
        <f t="shared" si="435"/>
        <v>4289</v>
      </c>
      <c r="CI149" s="316">
        <f t="shared" si="435"/>
        <v>3998</v>
      </c>
      <c r="CJ149" s="316">
        <f t="shared" si="435"/>
        <v>1664</v>
      </c>
      <c r="CK149" s="316">
        <f t="shared" si="435"/>
        <v>79</v>
      </c>
      <c r="CL149" s="316">
        <f t="shared" si="435"/>
        <v>2567</v>
      </c>
      <c r="CM149" s="316">
        <f t="shared" si="436"/>
        <v>1447</v>
      </c>
      <c r="CN149" s="316">
        <f t="shared" si="436"/>
        <v>2427</v>
      </c>
      <c r="CO149" s="316">
        <f t="shared" si="436"/>
        <v>-541</v>
      </c>
      <c r="CP149" s="316">
        <f t="shared" si="436"/>
        <v>-5329</v>
      </c>
      <c r="CQ149" s="316">
        <f t="shared" si="436"/>
        <v>5214</v>
      </c>
      <c r="CR149" s="316">
        <f t="shared" si="436"/>
        <v>3040</v>
      </c>
      <c r="CS149" s="316">
        <f t="shared" si="436"/>
        <v>947</v>
      </c>
      <c r="CT149" s="348"/>
      <c r="CU149" s="67">
        <f>'MONTHLY SUMMARIES'!H109</f>
        <v>49785</v>
      </c>
      <c r="CV149" s="40"/>
    </row>
    <row r="150" spans="1:100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33"/>
        <v>3449</v>
      </c>
      <c r="BJ150" s="108">
        <f t="shared" si="433"/>
        <v>-3794</v>
      </c>
      <c r="BK150" s="108">
        <f t="shared" si="433"/>
        <v>-2821</v>
      </c>
      <c r="BL150" s="108">
        <f t="shared" si="433"/>
        <v>3942</v>
      </c>
      <c r="BM150" s="108">
        <f t="shared" si="433"/>
        <v>1958</v>
      </c>
      <c r="BN150" s="108">
        <f t="shared" si="433"/>
        <v>83</v>
      </c>
      <c r="BO150" s="108">
        <f t="shared" si="433"/>
        <v>3212</v>
      </c>
      <c r="BP150" s="108">
        <f t="shared" si="433"/>
        <v>-2563</v>
      </c>
      <c r="BQ150" s="108">
        <f t="shared" si="433"/>
        <v>1943</v>
      </c>
      <c r="BR150" s="108">
        <f t="shared" si="433"/>
        <v>1388</v>
      </c>
      <c r="BS150" s="108">
        <f t="shared" si="434"/>
        <v>-6956</v>
      </c>
      <c r="BT150" s="108">
        <f t="shared" si="434"/>
        <v>1397</v>
      </c>
      <c r="BU150" s="108">
        <f t="shared" si="434"/>
        <v>4841</v>
      </c>
      <c r="BV150" s="108">
        <f t="shared" si="434"/>
        <v>4105</v>
      </c>
      <c r="BW150" s="108">
        <f t="shared" si="434"/>
        <v>1087</v>
      </c>
      <c r="BX150" s="108">
        <f t="shared" si="434"/>
        <v>-866</v>
      </c>
      <c r="BY150" s="108">
        <f t="shared" si="434"/>
        <v>-1657</v>
      </c>
      <c r="BZ150" s="108">
        <f t="shared" si="434"/>
        <v>2180</v>
      </c>
      <c r="CA150" s="279">
        <f t="shared" si="434"/>
        <v>-1635</v>
      </c>
      <c r="CB150" s="279">
        <f t="shared" si="434"/>
        <v>-2702</v>
      </c>
      <c r="CC150" s="279">
        <f t="shared" si="435"/>
        <v>2293</v>
      </c>
      <c r="CD150" s="343">
        <f t="shared" si="435"/>
        <v>-1735</v>
      </c>
      <c r="CE150" s="316">
        <f t="shared" si="435"/>
        <v>1458</v>
      </c>
      <c r="CF150" s="316">
        <f t="shared" si="435"/>
        <v>4737</v>
      </c>
      <c r="CG150" s="316">
        <f t="shared" si="435"/>
        <v>-2929</v>
      </c>
      <c r="CH150" s="316">
        <f t="shared" si="435"/>
        <v>195</v>
      </c>
      <c r="CI150" s="316">
        <f t="shared" si="435"/>
        <v>-1185</v>
      </c>
      <c r="CJ150" s="316">
        <f t="shared" si="435"/>
        <v>24</v>
      </c>
      <c r="CK150" s="316">
        <f t="shared" si="435"/>
        <v>-468</v>
      </c>
      <c r="CL150" s="316">
        <f t="shared" si="435"/>
        <v>-695</v>
      </c>
      <c r="CM150" s="316">
        <f t="shared" si="436"/>
        <v>-1117</v>
      </c>
      <c r="CN150" s="316">
        <f t="shared" si="436"/>
        <v>4265</v>
      </c>
      <c r="CO150" s="316">
        <f t="shared" si="436"/>
        <v>-1722</v>
      </c>
      <c r="CP150" s="316">
        <f t="shared" si="436"/>
        <v>-991</v>
      </c>
      <c r="CQ150" s="316">
        <f t="shared" si="436"/>
        <v>3736</v>
      </c>
      <c r="CR150" s="316">
        <f t="shared" si="436"/>
        <v>-3591</v>
      </c>
      <c r="CS150" s="316">
        <f t="shared" si="436"/>
        <v>-65</v>
      </c>
      <c r="CT150" s="348"/>
      <c r="CU150" s="67">
        <f>'MONTHLY SUMMARIES'!H110</f>
        <v>35876</v>
      </c>
      <c r="CV150" s="40"/>
    </row>
    <row r="151" spans="1:100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33"/>
        <v>1319</v>
      </c>
      <c r="BJ151" s="108">
        <f t="shared" si="433"/>
        <v>-2301</v>
      </c>
      <c r="BK151" s="108">
        <f t="shared" si="433"/>
        <v>-1719</v>
      </c>
      <c r="BL151" s="108">
        <f t="shared" si="433"/>
        <v>1308</v>
      </c>
      <c r="BM151" s="108">
        <f t="shared" si="433"/>
        <v>549</v>
      </c>
      <c r="BN151" s="108">
        <f t="shared" si="433"/>
        <v>-499</v>
      </c>
      <c r="BO151" s="108">
        <f t="shared" si="433"/>
        <v>972</v>
      </c>
      <c r="BP151" s="108">
        <f t="shared" si="433"/>
        <v>-1618</v>
      </c>
      <c r="BQ151" s="108">
        <f t="shared" si="433"/>
        <v>873</v>
      </c>
      <c r="BR151" s="108">
        <f t="shared" si="433"/>
        <v>349</v>
      </c>
      <c r="BS151" s="108">
        <f t="shared" si="434"/>
        <v>-3359</v>
      </c>
      <c r="BT151" s="108">
        <f t="shared" si="434"/>
        <v>270</v>
      </c>
      <c r="BU151" s="108">
        <f t="shared" si="434"/>
        <v>1826</v>
      </c>
      <c r="BV151" s="108">
        <f t="shared" si="434"/>
        <v>1951</v>
      </c>
      <c r="BW151" s="108">
        <f t="shared" si="434"/>
        <v>386</v>
      </c>
      <c r="BX151" s="108">
        <f t="shared" si="434"/>
        <v>-189</v>
      </c>
      <c r="BY151" s="108">
        <f t="shared" si="434"/>
        <v>-882</v>
      </c>
      <c r="BZ151" s="108">
        <f t="shared" si="434"/>
        <v>1120</v>
      </c>
      <c r="CA151" s="279">
        <f t="shared" si="434"/>
        <v>-515</v>
      </c>
      <c r="CB151" s="279">
        <f t="shared" si="434"/>
        <v>-1356</v>
      </c>
      <c r="CC151" s="279">
        <f t="shared" si="435"/>
        <v>949</v>
      </c>
      <c r="CD151" s="343">
        <f t="shared" si="435"/>
        <v>-535</v>
      </c>
      <c r="CE151" s="316">
        <f t="shared" si="435"/>
        <v>595</v>
      </c>
      <c r="CF151" s="316">
        <f t="shared" si="435"/>
        <v>2537</v>
      </c>
      <c r="CG151" s="316">
        <f t="shared" si="435"/>
        <v>-1210</v>
      </c>
      <c r="CH151" s="316">
        <f t="shared" si="435"/>
        <v>332</v>
      </c>
      <c r="CI151" s="316">
        <f t="shared" si="435"/>
        <v>-688</v>
      </c>
      <c r="CJ151" s="316">
        <f t="shared" si="435"/>
        <v>121</v>
      </c>
      <c r="CK151" s="316">
        <f t="shared" si="435"/>
        <v>80</v>
      </c>
      <c r="CL151" s="316">
        <f t="shared" si="435"/>
        <v>-188</v>
      </c>
      <c r="CM151" s="316">
        <f t="shared" si="436"/>
        <v>-514</v>
      </c>
      <c r="CN151" s="316">
        <f t="shared" si="436"/>
        <v>2253</v>
      </c>
      <c r="CO151" s="316">
        <f t="shared" si="436"/>
        <v>-323</v>
      </c>
      <c r="CP151" s="316">
        <f t="shared" si="436"/>
        <v>-114</v>
      </c>
      <c r="CQ151" s="316">
        <f t="shared" si="436"/>
        <v>1924</v>
      </c>
      <c r="CR151" s="316">
        <f t="shared" si="436"/>
        <v>-1641</v>
      </c>
      <c r="CS151" s="316">
        <f t="shared" si="436"/>
        <v>78</v>
      </c>
      <c r="CT151" s="348"/>
      <c r="CU151" s="67">
        <f>'MONTHLY SUMMARIES'!H111</f>
        <v>13642</v>
      </c>
      <c r="CV151" s="40"/>
    </row>
    <row r="152" spans="1:100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33"/>
        <v>1570</v>
      </c>
      <c r="BJ152" s="108">
        <f t="shared" si="433"/>
        <v>-2421</v>
      </c>
      <c r="BK152" s="108">
        <f t="shared" si="433"/>
        <v>-1909</v>
      </c>
      <c r="BL152" s="108">
        <f t="shared" si="433"/>
        <v>1283</v>
      </c>
      <c r="BM152" s="108">
        <f t="shared" si="433"/>
        <v>655</v>
      </c>
      <c r="BN152" s="108">
        <f t="shared" si="433"/>
        <v>-588</v>
      </c>
      <c r="BO152" s="108">
        <f t="shared" si="433"/>
        <v>233</v>
      </c>
      <c r="BP152" s="108">
        <f t="shared" si="433"/>
        <v>-1343</v>
      </c>
      <c r="BQ152" s="108">
        <f t="shared" si="433"/>
        <v>882</v>
      </c>
      <c r="BR152" s="108">
        <f t="shared" si="433"/>
        <v>283</v>
      </c>
      <c r="BS152" s="108">
        <f t="shared" si="434"/>
        <v>-2587</v>
      </c>
      <c r="BT152" s="108">
        <f t="shared" si="434"/>
        <v>695</v>
      </c>
      <c r="BU152" s="108">
        <f t="shared" si="434"/>
        <v>1524</v>
      </c>
      <c r="BV152" s="108">
        <f t="shared" si="434"/>
        <v>1940</v>
      </c>
      <c r="BW152" s="108">
        <f t="shared" si="434"/>
        <v>874</v>
      </c>
      <c r="BX152" s="108">
        <f t="shared" si="434"/>
        <v>-311</v>
      </c>
      <c r="BY152" s="108">
        <f t="shared" si="434"/>
        <v>-827</v>
      </c>
      <c r="BZ152" s="108">
        <f t="shared" si="434"/>
        <v>1414</v>
      </c>
      <c r="CA152" s="279">
        <f t="shared" si="434"/>
        <v>-209</v>
      </c>
      <c r="CB152" s="279">
        <f t="shared" si="434"/>
        <v>-1525</v>
      </c>
      <c r="CC152" s="279">
        <f t="shared" si="435"/>
        <v>572</v>
      </c>
      <c r="CD152" s="343">
        <f t="shared" si="435"/>
        <v>-290</v>
      </c>
      <c r="CE152" s="316">
        <f t="shared" si="435"/>
        <v>173</v>
      </c>
      <c r="CF152" s="316">
        <f t="shared" si="435"/>
        <v>1929</v>
      </c>
      <c r="CG152" s="316">
        <f t="shared" si="435"/>
        <v>-645</v>
      </c>
      <c r="CH152" s="316">
        <f t="shared" si="435"/>
        <v>626</v>
      </c>
      <c r="CI152" s="316">
        <f t="shared" si="435"/>
        <v>-631</v>
      </c>
      <c r="CJ152" s="316">
        <f t="shared" si="435"/>
        <v>27</v>
      </c>
      <c r="CK152" s="316">
        <f t="shared" si="435"/>
        <v>124</v>
      </c>
      <c r="CL152" s="316">
        <f t="shared" si="435"/>
        <v>-390</v>
      </c>
      <c r="CM152" s="316">
        <f t="shared" si="436"/>
        <v>-603</v>
      </c>
      <c r="CN152" s="316">
        <f t="shared" si="436"/>
        <v>2371</v>
      </c>
      <c r="CO152" s="316">
        <f t="shared" si="436"/>
        <v>38</v>
      </c>
      <c r="CP152" s="316">
        <f t="shared" si="436"/>
        <v>-50</v>
      </c>
      <c r="CQ152" s="316">
        <f t="shared" si="436"/>
        <v>1672</v>
      </c>
      <c r="CR152" s="316">
        <f t="shared" si="436"/>
        <v>-545</v>
      </c>
      <c r="CS152" s="316">
        <f t="shared" si="436"/>
        <v>-284</v>
      </c>
      <c r="CT152" s="348"/>
      <c r="CU152" s="67">
        <f>'MONTHLY SUMMARIES'!H112</f>
        <v>10639</v>
      </c>
      <c r="CV152" s="40"/>
    </row>
    <row r="153" spans="1:100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37">SUM(D148:D152)</f>
        <v>558407</v>
      </c>
      <c r="E153" s="72">
        <f t="shared" si="437"/>
        <v>569124</v>
      </c>
      <c r="F153" s="74">
        <f t="shared" si="437"/>
        <v>515460</v>
      </c>
      <c r="G153" s="72">
        <f t="shared" si="437"/>
        <v>557070</v>
      </c>
      <c r="H153" s="72">
        <f t="shared" si="437"/>
        <v>534192</v>
      </c>
      <c r="I153" s="72">
        <f t="shared" si="437"/>
        <v>524705</v>
      </c>
      <c r="J153" s="72">
        <f t="shared" si="437"/>
        <v>596892</v>
      </c>
      <c r="K153" s="72">
        <f t="shared" si="437"/>
        <v>524504</v>
      </c>
      <c r="L153" s="73">
        <f t="shared" si="437"/>
        <v>593444</v>
      </c>
      <c r="M153" s="72">
        <f t="shared" si="437"/>
        <v>618298</v>
      </c>
      <c r="N153" s="72">
        <f t="shared" si="437"/>
        <v>574188</v>
      </c>
      <c r="O153" s="72">
        <f t="shared" si="437"/>
        <v>641287</v>
      </c>
      <c r="P153" s="72">
        <f t="shared" si="437"/>
        <v>579062</v>
      </c>
      <c r="Q153" s="72">
        <f t="shared" si="437"/>
        <v>615961</v>
      </c>
      <c r="R153" s="72">
        <f t="shared" si="437"/>
        <v>598248</v>
      </c>
      <c r="S153" s="72">
        <f t="shared" si="437"/>
        <v>588181</v>
      </c>
      <c r="T153" s="72">
        <f t="shared" si="437"/>
        <v>572604</v>
      </c>
      <c r="U153" s="72">
        <f t="shared" si="437"/>
        <v>577900</v>
      </c>
      <c r="V153" s="72">
        <f t="shared" si="437"/>
        <v>566700</v>
      </c>
      <c r="W153" s="72">
        <f t="shared" si="437"/>
        <v>560347</v>
      </c>
      <c r="X153" s="73">
        <f t="shared" si="437"/>
        <v>615306</v>
      </c>
      <c r="Y153" s="72">
        <v>554046</v>
      </c>
      <c r="Z153" s="190">
        <v>580764</v>
      </c>
      <c r="AA153" s="72">
        <f t="shared" ref="AA153" si="438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37"/>
        <v>90811</v>
      </c>
      <c r="BJ153" s="75">
        <f t="shared" ref="BJ153:BK153" si="439">SUM(BJ148:BJ152)</f>
        <v>20655</v>
      </c>
      <c r="BK153" s="75">
        <f t="shared" si="439"/>
        <v>46837</v>
      </c>
      <c r="BL153" s="75">
        <f t="shared" ref="BL153:BM153" si="440">SUM(BL148:BL152)</f>
        <v>82788</v>
      </c>
      <c r="BM153" s="75">
        <f t="shared" si="440"/>
        <v>31111</v>
      </c>
      <c r="BN153" s="75">
        <f t="shared" ref="BN153:BO153" si="441">SUM(BN148:BN152)</f>
        <v>38412</v>
      </c>
      <c r="BO153" s="75">
        <f t="shared" si="441"/>
        <v>53195</v>
      </c>
      <c r="BP153" s="75">
        <f t="shared" ref="BP153:BQ153" si="442">SUM(BP148:BP152)</f>
        <v>-30192</v>
      </c>
      <c r="BQ153" s="75">
        <f t="shared" si="442"/>
        <v>35843</v>
      </c>
      <c r="BR153" s="75">
        <f t="shared" ref="BR153:BS153" si="443">SUM(BR148:BR152)</f>
        <v>21862</v>
      </c>
      <c r="BS153" s="75">
        <f t="shared" si="443"/>
        <v>-64252</v>
      </c>
      <c r="BT153" s="75">
        <f t="shared" ref="BT153:BU153" si="444">SUM(BT148:BT152)</f>
        <v>6576</v>
      </c>
      <c r="BU153" s="75">
        <f t="shared" si="444"/>
        <v>43617</v>
      </c>
      <c r="BV153" s="75">
        <f t="shared" ref="BV153:BW153" si="445">SUM(BV148:BV152)</f>
        <v>9480</v>
      </c>
      <c r="BW153" s="75">
        <f t="shared" si="445"/>
        <v>-8400</v>
      </c>
      <c r="BX153" s="75">
        <f t="shared" ref="BX153:BY153" si="446">SUM(BX148:BX152)</f>
        <v>15329</v>
      </c>
      <c r="BY153" s="75">
        <f t="shared" si="446"/>
        <v>-6233</v>
      </c>
      <c r="BZ153" s="75">
        <f t="shared" ref="BZ153:CA153" si="447">SUM(BZ148:BZ152)</f>
        <v>21393</v>
      </c>
      <c r="CA153" s="265">
        <f t="shared" si="447"/>
        <v>-21180</v>
      </c>
      <c r="CB153" s="265">
        <f t="shared" ref="CB153:CC153" si="448">SUM(CB148:CB152)</f>
        <v>-2751</v>
      </c>
      <c r="CC153" s="265">
        <f t="shared" si="448"/>
        <v>31426</v>
      </c>
      <c r="CD153" s="331">
        <f t="shared" ref="CD153:CE153" si="449">SUM(CD148:CD152)</f>
        <v>-10650</v>
      </c>
      <c r="CE153" s="120">
        <f t="shared" si="449"/>
        <v>47457</v>
      </c>
      <c r="CF153" s="120">
        <f t="shared" ref="CF153:CG153" si="450">SUM(CF148:CF152)</f>
        <v>48483</v>
      </c>
      <c r="CG153" s="120">
        <f t="shared" si="450"/>
        <v>-2398</v>
      </c>
      <c r="CH153" s="120">
        <f t="shared" ref="CH153:CI153" si="451">SUM(CH148:CH152)</f>
        <v>-9082</v>
      </c>
      <c r="CI153" s="120">
        <f t="shared" si="451"/>
        <v>-4915</v>
      </c>
      <c r="CJ153" s="120">
        <f t="shared" ref="CJ153" si="452">SUM(CJ148:CJ152)</f>
        <v>10363</v>
      </c>
      <c r="CK153" s="120">
        <f t="shared" ref="CK153" si="453">SUM(CK148:CK152)</f>
        <v>-8883</v>
      </c>
      <c r="CL153" s="120">
        <f t="shared" ref="CL153" si="454">SUM(CL148:CL152)</f>
        <v>17585</v>
      </c>
      <c r="CM153" s="120">
        <f t="shared" ref="CM153" si="455">SUM(CM148:CM152)</f>
        <v>16009</v>
      </c>
      <c r="CN153" s="120">
        <f t="shared" ref="CN153" si="456">SUM(CN148:CN152)</f>
        <v>18388</v>
      </c>
      <c r="CO153" s="120">
        <f t="shared" ref="CO153" si="457">SUM(CO148:CO152)</f>
        <v>-5181</v>
      </c>
      <c r="CP153" s="206">
        <f t="shared" ref="CP153" si="458">SUM(CP148:CP152)</f>
        <v>-22513</v>
      </c>
      <c r="CQ153" s="206">
        <f t="shared" ref="CQ153:CS153" si="459">SUM(CQ148:CQ152)</f>
        <v>21048</v>
      </c>
      <c r="CR153" s="206">
        <f t="shared" ref="CR153:CS153" si="460">SUM(CR148:CR152)</f>
        <v>-32153</v>
      </c>
      <c r="CS153" s="206">
        <f t="shared" si="460"/>
        <v>-10214</v>
      </c>
      <c r="CT153" s="349"/>
      <c r="CU153" s="74">
        <f t="shared" si="432"/>
        <v>672292</v>
      </c>
      <c r="CV153" s="40"/>
    </row>
    <row r="154" spans="1:10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50"/>
      <c r="CU154" s="98"/>
    </row>
    <row r="155" spans="1:100" s="40" customFormat="1" x14ac:dyDescent="0.3">
      <c r="A155" s="150"/>
      <c r="B155" s="41" t="s">
        <v>37</v>
      </c>
      <c r="C155" s="100">
        <f t="shared" ref="C155:O155" si="461">C130-C141</f>
        <v>14898675.980000004</v>
      </c>
      <c r="D155" s="101">
        <f t="shared" si="461"/>
        <v>-12355534.849999994</v>
      </c>
      <c r="E155" s="101">
        <f t="shared" si="461"/>
        <v>-23590938.219999991</v>
      </c>
      <c r="F155" s="37">
        <f t="shared" si="461"/>
        <v>-21125924.050000004</v>
      </c>
      <c r="G155" s="101">
        <f t="shared" si="461"/>
        <v>-19656138.399999999</v>
      </c>
      <c r="H155" s="101">
        <f t="shared" si="461"/>
        <v>-15315991.040000001</v>
      </c>
      <c r="I155" s="101">
        <f t="shared" si="461"/>
        <v>-13462514.279999999</v>
      </c>
      <c r="J155" s="101">
        <f t="shared" si="461"/>
        <v>-7483940.629999999</v>
      </c>
      <c r="K155" s="101">
        <f t="shared" si="461"/>
        <v>11584632.439999998</v>
      </c>
      <c r="L155" s="102">
        <f t="shared" si="461"/>
        <v>40740124.959999993</v>
      </c>
      <c r="M155" s="101">
        <f t="shared" si="461"/>
        <v>27421604.760000005</v>
      </c>
      <c r="N155" s="101">
        <f t="shared" si="461"/>
        <v>17323055.939999998</v>
      </c>
      <c r="O155" s="101">
        <f t="shared" si="461"/>
        <v>2990359.1799999923</v>
      </c>
      <c r="P155" s="101">
        <f t="shared" ref="P155:R155" si="462">P130-P141</f>
        <v>3581349.5100000054</v>
      </c>
      <c r="Q155" s="101">
        <f t="shared" si="462"/>
        <v>-13055882.209999993</v>
      </c>
      <c r="R155" s="101">
        <f t="shared" si="462"/>
        <v>-21250578.330000002</v>
      </c>
      <c r="S155" s="101">
        <f t="shared" ref="S155:T155" si="463">S130-S141</f>
        <v>-13927014.860000003</v>
      </c>
      <c r="T155" s="101">
        <f t="shared" si="463"/>
        <v>-13941680.300000001</v>
      </c>
      <c r="U155" s="101">
        <f t="shared" ref="U155:V155" si="464">U130-U141</f>
        <v>-11027760.720000001</v>
      </c>
      <c r="V155" s="101">
        <f t="shared" si="464"/>
        <v>-7522285</v>
      </c>
      <c r="W155" s="101">
        <f t="shared" ref="W155:AA155" si="465">W130-W141</f>
        <v>9987441.1099999994</v>
      </c>
      <c r="X155" s="102">
        <f t="shared" si="465"/>
        <v>34725989.789999992</v>
      </c>
      <c r="Y155" s="101">
        <f t="shared" si="465"/>
        <v>39255703</v>
      </c>
      <c r="Z155" s="101">
        <f t="shared" si="465"/>
        <v>34017566</v>
      </c>
      <c r="AA155" s="101">
        <f t="shared" si="465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66">O155-C155</f>
        <v>-11908316.800000012</v>
      </c>
      <c r="BJ155" s="103">
        <f t="shared" si="466"/>
        <v>15936884.359999999</v>
      </c>
      <c r="BK155" s="103">
        <f t="shared" si="466"/>
        <v>10535056.009999998</v>
      </c>
      <c r="BL155" s="103">
        <f t="shared" si="466"/>
        <v>-124654.27999999747</v>
      </c>
      <c r="BM155" s="103">
        <f t="shared" si="466"/>
        <v>5729123.5399999954</v>
      </c>
      <c r="BN155" s="103">
        <f t="shared" si="466"/>
        <v>1374310.7400000002</v>
      </c>
      <c r="BO155" s="103">
        <f t="shared" si="466"/>
        <v>2434753.5599999987</v>
      </c>
      <c r="BP155" s="103">
        <f t="shared" si="466"/>
        <v>-38344.370000001043</v>
      </c>
      <c r="BQ155" s="103">
        <f t="shared" si="466"/>
        <v>-1597191.3299999982</v>
      </c>
      <c r="BR155" s="103">
        <f t="shared" si="466"/>
        <v>-6014135.1700000018</v>
      </c>
      <c r="BS155" s="103">
        <f t="shared" ref="BS155:CB159" si="467">Y155-M155</f>
        <v>11834098.239999995</v>
      </c>
      <c r="BT155" s="103">
        <f t="shared" si="467"/>
        <v>16694510.060000002</v>
      </c>
      <c r="BU155" s="103">
        <f t="shared" si="467"/>
        <v>4050696.5600000024</v>
      </c>
      <c r="BV155" s="103">
        <f t="shared" si="467"/>
        <v>-7603124.0000000149</v>
      </c>
      <c r="BW155" s="103">
        <f t="shared" si="467"/>
        <v>-7816222.700000003</v>
      </c>
      <c r="BX155" s="103">
        <f t="shared" si="467"/>
        <v>1248571.0200000033</v>
      </c>
      <c r="BY155" s="103">
        <f t="shared" si="467"/>
        <v>-2204990.1399999969</v>
      </c>
      <c r="BZ155" s="103">
        <f t="shared" si="467"/>
        <v>-571520.87999999896</v>
      </c>
      <c r="CA155" s="277">
        <f t="shared" si="467"/>
        <v>747167.72000000067</v>
      </c>
      <c r="CB155" s="277">
        <f t="shared" si="467"/>
        <v>-404564</v>
      </c>
      <c r="CC155" s="277">
        <f t="shared" ref="CC155:CL159" si="468">AI155-W155</f>
        <v>4375995.8900000006</v>
      </c>
      <c r="CD155" s="341">
        <f t="shared" si="468"/>
        <v>13147768.210000008</v>
      </c>
      <c r="CE155" s="321">
        <f t="shared" si="468"/>
        <v>14026360</v>
      </c>
      <c r="CF155" s="321">
        <f t="shared" si="468"/>
        <v>-13532846</v>
      </c>
      <c r="CG155" s="321">
        <f t="shared" si="468"/>
        <v>10067356.260000005</v>
      </c>
      <c r="CH155" s="321">
        <f t="shared" si="468"/>
        <v>2329821.4900000095</v>
      </c>
      <c r="CI155" s="321">
        <f t="shared" si="468"/>
        <v>-4037789.0900000036</v>
      </c>
      <c r="CJ155" s="321">
        <f t="shared" si="468"/>
        <v>-5723658.6900000013</v>
      </c>
      <c r="CK155" s="321">
        <f t="shared" si="468"/>
        <v>-371659</v>
      </c>
      <c r="CL155" s="321">
        <f t="shared" si="468"/>
        <v>-4920598.82</v>
      </c>
      <c r="CM155" s="321">
        <f t="shared" ref="CM155:CS159" si="469">AS155-AG155</f>
        <v>-2125816</v>
      </c>
      <c r="CN155" s="321">
        <f t="shared" si="469"/>
        <v>1800841</v>
      </c>
      <c r="CO155" s="321">
        <f t="shared" si="469"/>
        <v>-6482798</v>
      </c>
      <c r="CP155" s="321">
        <f t="shared" si="469"/>
        <v>12697209</v>
      </c>
      <c r="CQ155" s="321">
        <f t="shared" si="469"/>
        <v>-17326436</v>
      </c>
      <c r="CR155" s="321">
        <f t="shared" si="469"/>
        <v>5329465</v>
      </c>
      <c r="CS155" s="321">
        <f t="shared" si="469"/>
        <v>-3804095</v>
      </c>
      <c r="CT155" s="350"/>
      <c r="CU155" s="67">
        <f>'MONTHLY SUMMARIES'!H115</f>
        <v>13304317</v>
      </c>
    </row>
    <row r="156" spans="1:100" s="40" customFormat="1" x14ac:dyDescent="0.3">
      <c r="A156" s="150"/>
      <c r="B156" s="41" t="s">
        <v>38</v>
      </c>
      <c r="C156" s="100">
        <f t="shared" ref="C156:O156" si="470">C133-C142</f>
        <v>5696309.1600000011</v>
      </c>
      <c r="D156" s="101">
        <f t="shared" si="470"/>
        <v>2509870.29</v>
      </c>
      <c r="E156" s="101">
        <f t="shared" si="470"/>
        <v>950065.77999999933</v>
      </c>
      <c r="F156" s="37">
        <f t="shared" si="470"/>
        <v>-1580889.1799999997</v>
      </c>
      <c r="G156" s="101">
        <f t="shared" si="470"/>
        <v>-726024.62999999989</v>
      </c>
      <c r="H156" s="101">
        <f t="shared" si="470"/>
        <v>-495264.77</v>
      </c>
      <c r="I156" s="101">
        <f t="shared" si="470"/>
        <v>-526557.39999999991</v>
      </c>
      <c r="J156" s="101">
        <f t="shared" si="470"/>
        <v>129900.61999999988</v>
      </c>
      <c r="K156" s="101">
        <f t="shared" si="470"/>
        <v>1985551.67</v>
      </c>
      <c r="L156" s="102">
        <f t="shared" si="470"/>
        <v>6853913.540000001</v>
      </c>
      <c r="M156" s="101">
        <f t="shared" si="470"/>
        <v>5378503.6100000003</v>
      </c>
      <c r="N156" s="101">
        <f t="shared" si="470"/>
        <v>3785006.3099999996</v>
      </c>
      <c r="O156" s="101">
        <f t="shared" si="470"/>
        <v>4044844.9099999983</v>
      </c>
      <c r="P156" s="101">
        <f t="shared" ref="P156:R156" si="471">P133-P142</f>
        <v>3617660.5100000002</v>
      </c>
      <c r="Q156" s="101">
        <f t="shared" si="471"/>
        <v>745064.76999999955</v>
      </c>
      <c r="R156" s="101">
        <f t="shared" si="471"/>
        <v>-433522.79000000004</v>
      </c>
      <c r="S156" s="101">
        <f t="shared" ref="S156:T156" si="472">S133-S142</f>
        <v>-258160.94000000018</v>
      </c>
      <c r="T156" s="101">
        <f t="shared" si="472"/>
        <v>-519416.82999999984</v>
      </c>
      <c r="U156" s="101">
        <f t="shared" ref="U156:V156" si="473">U133-U142</f>
        <v>-231495.1399999999</v>
      </c>
      <c r="V156" s="101">
        <f t="shared" si="473"/>
        <v>284488</v>
      </c>
      <c r="W156" s="101">
        <f t="shared" ref="W156:AA156" si="474">W133-W142</f>
        <v>2506415.54</v>
      </c>
      <c r="X156" s="102">
        <f t="shared" si="474"/>
        <v>6593330.7699999996</v>
      </c>
      <c r="Y156" s="101">
        <f t="shared" si="474"/>
        <v>8488352</v>
      </c>
      <c r="Z156" s="101">
        <f t="shared" si="474"/>
        <v>7082387</v>
      </c>
      <c r="AA156" s="101">
        <f t="shared" si="474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66"/>
        <v>-1651464.2500000028</v>
      </c>
      <c r="BJ156" s="103">
        <f t="shared" si="466"/>
        <v>1107790.2200000002</v>
      </c>
      <c r="BK156" s="103">
        <f t="shared" si="466"/>
        <v>-205001.00999999978</v>
      </c>
      <c r="BL156" s="103">
        <f t="shared" si="466"/>
        <v>1147366.3899999997</v>
      </c>
      <c r="BM156" s="103">
        <f t="shared" si="466"/>
        <v>467863.68999999971</v>
      </c>
      <c r="BN156" s="103">
        <f t="shared" si="466"/>
        <v>-24152.059999999823</v>
      </c>
      <c r="BO156" s="103">
        <f t="shared" si="466"/>
        <v>295062.26</v>
      </c>
      <c r="BP156" s="103">
        <f t="shared" si="466"/>
        <v>154587.38000000012</v>
      </c>
      <c r="BQ156" s="103">
        <f t="shared" si="466"/>
        <v>520863.87000000011</v>
      </c>
      <c r="BR156" s="103">
        <f t="shared" si="466"/>
        <v>-260582.77000000142</v>
      </c>
      <c r="BS156" s="103">
        <f t="shared" si="467"/>
        <v>3109848.3899999997</v>
      </c>
      <c r="BT156" s="103">
        <f t="shared" si="467"/>
        <v>3297380.6900000004</v>
      </c>
      <c r="BU156" s="103">
        <f t="shared" si="467"/>
        <v>1350446.1900000023</v>
      </c>
      <c r="BV156" s="103">
        <f t="shared" si="467"/>
        <v>1237416.9699999993</v>
      </c>
      <c r="BW156" s="103">
        <f t="shared" si="467"/>
        <v>-1386371.6600000001</v>
      </c>
      <c r="BX156" s="103">
        <f t="shared" si="467"/>
        <v>-166348.03999999957</v>
      </c>
      <c r="BY156" s="103">
        <f t="shared" si="467"/>
        <v>110556.94000000018</v>
      </c>
      <c r="BZ156" s="103">
        <f t="shared" si="467"/>
        <v>-551205.3200000003</v>
      </c>
      <c r="CA156" s="277">
        <f t="shared" si="467"/>
        <v>-399159.8600000001</v>
      </c>
      <c r="CB156" s="277">
        <f t="shared" si="467"/>
        <v>-221967</v>
      </c>
      <c r="CC156" s="277">
        <f t="shared" si="468"/>
        <v>-1403994.54</v>
      </c>
      <c r="CD156" s="341">
        <f t="shared" si="468"/>
        <v>141651.23000000045</v>
      </c>
      <c r="CE156" s="321">
        <f t="shared" si="468"/>
        <v>1699424</v>
      </c>
      <c r="CF156" s="321">
        <f t="shared" si="468"/>
        <v>2205792</v>
      </c>
      <c r="CG156" s="321">
        <f t="shared" si="468"/>
        <v>3119643.8999999994</v>
      </c>
      <c r="CH156" s="321">
        <f t="shared" si="468"/>
        <v>672729.52000000048</v>
      </c>
      <c r="CI156" s="321">
        <f t="shared" si="468"/>
        <v>1737694.8900000006</v>
      </c>
      <c r="CJ156" s="321">
        <f t="shared" si="468"/>
        <v>195528.82999999961</v>
      </c>
      <c r="CK156" s="321">
        <f t="shared" si="468"/>
        <v>368769</v>
      </c>
      <c r="CL156" s="321">
        <f t="shared" si="468"/>
        <v>-58830.84999999986</v>
      </c>
      <c r="CM156" s="321">
        <f t="shared" si="469"/>
        <v>344059</v>
      </c>
      <c r="CN156" s="321">
        <f t="shared" si="469"/>
        <v>793230</v>
      </c>
      <c r="CO156" s="321">
        <f t="shared" si="469"/>
        <v>2802688</v>
      </c>
      <c r="CP156" s="321">
        <f t="shared" si="469"/>
        <v>6759489</v>
      </c>
      <c r="CQ156" s="321">
        <f t="shared" si="469"/>
        <v>1402724</v>
      </c>
      <c r="CR156" s="321">
        <f t="shared" si="469"/>
        <v>1390297</v>
      </c>
      <c r="CS156" s="321">
        <f t="shared" si="469"/>
        <v>1159048</v>
      </c>
      <c r="CT156" s="350"/>
      <c r="CU156" s="67">
        <f>'MONTHLY SUMMARIES'!H116</f>
        <v>9673983</v>
      </c>
    </row>
    <row r="157" spans="1:100" s="40" customFormat="1" x14ac:dyDescent="0.3">
      <c r="A157" s="150"/>
      <c r="B157" s="41" t="s">
        <v>39</v>
      </c>
      <c r="C157" s="100">
        <f t="shared" ref="C157:O159" si="475">C136-C143</f>
        <v>-172518.72000000067</v>
      </c>
      <c r="D157" s="101">
        <f t="shared" si="475"/>
        <v>-2755852.1100000013</v>
      </c>
      <c r="E157" s="101">
        <f t="shared" si="475"/>
        <v>-3571982.8099999996</v>
      </c>
      <c r="F157" s="37">
        <f t="shared" si="475"/>
        <v>-1448112.0900000003</v>
      </c>
      <c r="G157" s="101">
        <f t="shared" si="475"/>
        <v>-1181415.77</v>
      </c>
      <c r="H157" s="101">
        <f t="shared" si="475"/>
        <v>-524812.02</v>
      </c>
      <c r="I157" s="101">
        <f t="shared" si="475"/>
        <v>-449813.12000000011</v>
      </c>
      <c r="J157" s="101">
        <f t="shared" si="475"/>
        <v>228747.56999999983</v>
      </c>
      <c r="K157" s="101">
        <f t="shared" si="475"/>
        <v>1676812.35</v>
      </c>
      <c r="L157" s="102">
        <f t="shared" si="475"/>
        <v>4859090.09</v>
      </c>
      <c r="M157" s="101">
        <f t="shared" si="475"/>
        <v>926176.95999999903</v>
      </c>
      <c r="N157" s="101">
        <f t="shared" si="475"/>
        <v>921339.11999999918</v>
      </c>
      <c r="O157" s="101">
        <f t="shared" si="475"/>
        <v>-965536.40000000037</v>
      </c>
      <c r="P157" s="101">
        <f t="shared" ref="P157:R157" si="476">P136-P143</f>
        <v>148175.5700000003</v>
      </c>
      <c r="Q157" s="101">
        <f t="shared" si="476"/>
        <v>-1996198.9400000004</v>
      </c>
      <c r="R157" s="101">
        <f t="shared" si="476"/>
        <v>-2305071</v>
      </c>
      <c r="S157" s="101">
        <f t="shared" ref="S157:T157" si="477">S136-S143</f>
        <v>-1081193.6499999999</v>
      </c>
      <c r="T157" s="101">
        <f t="shared" si="477"/>
        <v>-454827.09999999963</v>
      </c>
      <c r="U157" s="101">
        <f t="shared" ref="U157:V157" si="478">U136-U143</f>
        <v>-151890.40000000037</v>
      </c>
      <c r="V157" s="101">
        <f t="shared" si="478"/>
        <v>437532</v>
      </c>
      <c r="W157" s="101">
        <f t="shared" ref="W157:AA157" si="479">W136-W143</f>
        <v>1749085.3300000005</v>
      </c>
      <c r="X157" s="102">
        <f t="shared" si="479"/>
        <v>4372313.5500000007</v>
      </c>
      <c r="Y157" s="101">
        <f t="shared" si="479"/>
        <v>4109135</v>
      </c>
      <c r="Z157" s="101">
        <f t="shared" si="479"/>
        <v>2094042</v>
      </c>
      <c r="AA157" s="101">
        <f t="shared" si="479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66"/>
        <v>-793017.6799999997</v>
      </c>
      <c r="BJ157" s="103">
        <f t="shared" si="466"/>
        <v>2904027.6800000016</v>
      </c>
      <c r="BK157" s="103">
        <f t="shared" si="466"/>
        <v>1575783.8699999992</v>
      </c>
      <c r="BL157" s="103">
        <f t="shared" si="466"/>
        <v>-856958.90999999968</v>
      </c>
      <c r="BM157" s="103">
        <f t="shared" si="466"/>
        <v>100222.12000000011</v>
      </c>
      <c r="BN157" s="103">
        <f t="shared" si="466"/>
        <v>69984.920000000391</v>
      </c>
      <c r="BO157" s="103">
        <f t="shared" si="466"/>
        <v>297922.71999999974</v>
      </c>
      <c r="BP157" s="103">
        <f t="shared" si="466"/>
        <v>208784.43000000017</v>
      </c>
      <c r="BQ157" s="103">
        <f t="shared" si="466"/>
        <v>72272.980000000447</v>
      </c>
      <c r="BR157" s="103">
        <f t="shared" si="466"/>
        <v>-486776.53999999911</v>
      </c>
      <c r="BS157" s="103">
        <f t="shared" si="467"/>
        <v>3182958.040000001</v>
      </c>
      <c r="BT157" s="103">
        <f t="shared" si="467"/>
        <v>1172702.8800000008</v>
      </c>
      <c r="BU157" s="103">
        <f t="shared" si="467"/>
        <v>-838517.34999999963</v>
      </c>
      <c r="BV157" s="103">
        <f t="shared" si="467"/>
        <v>-1941281.7999999998</v>
      </c>
      <c r="BW157" s="103">
        <f t="shared" si="467"/>
        <v>-248639.37000000011</v>
      </c>
      <c r="BX157" s="103">
        <f t="shared" si="467"/>
        <v>1244666.9300000002</v>
      </c>
      <c r="BY157" s="103">
        <f t="shared" si="467"/>
        <v>206734.64999999991</v>
      </c>
      <c r="BZ157" s="103">
        <f t="shared" si="467"/>
        <v>-236422.13000000035</v>
      </c>
      <c r="CA157" s="277">
        <f t="shared" si="467"/>
        <v>-24831.599999999627</v>
      </c>
      <c r="CB157" s="277">
        <f t="shared" si="467"/>
        <v>-162702</v>
      </c>
      <c r="CC157" s="277">
        <f t="shared" si="468"/>
        <v>394065.66999999946</v>
      </c>
      <c r="CD157" s="341">
        <f t="shared" si="468"/>
        <v>1409819.4499999993</v>
      </c>
      <c r="CE157" s="321">
        <f t="shared" si="468"/>
        <v>2075848</v>
      </c>
      <c r="CF157" s="321">
        <f t="shared" si="468"/>
        <v>-1877150</v>
      </c>
      <c r="CG157" s="321">
        <f t="shared" si="468"/>
        <v>790451.75</v>
      </c>
      <c r="CH157" s="321">
        <f t="shared" si="468"/>
        <v>-1023633.7700000005</v>
      </c>
      <c r="CI157" s="321">
        <f t="shared" si="468"/>
        <v>-1530898.6899999995</v>
      </c>
      <c r="CJ157" s="321">
        <f t="shared" si="468"/>
        <v>-872013.93000000017</v>
      </c>
      <c r="CK157" s="321">
        <f t="shared" si="468"/>
        <v>-126865</v>
      </c>
      <c r="CL157" s="321">
        <f t="shared" si="468"/>
        <v>-171416.77000000002</v>
      </c>
      <c r="CM157" s="321">
        <f t="shared" si="469"/>
        <v>254851</v>
      </c>
      <c r="CN157" s="321">
        <f t="shared" si="469"/>
        <v>56356</v>
      </c>
      <c r="CO157" s="321">
        <f t="shared" si="469"/>
        <v>-642625</v>
      </c>
      <c r="CP157" s="321">
        <f t="shared" si="469"/>
        <v>925143</v>
      </c>
      <c r="CQ157" s="321">
        <f t="shared" si="469"/>
        <v>-3838952</v>
      </c>
      <c r="CR157" s="321">
        <f t="shared" si="469"/>
        <v>987586</v>
      </c>
      <c r="CS157" s="321">
        <f t="shared" si="469"/>
        <v>-297844</v>
      </c>
      <c r="CT157" s="350"/>
      <c r="CU157" s="67">
        <f>'MONTHLY SUMMARIES'!H117</f>
        <v>-1311446</v>
      </c>
    </row>
    <row r="158" spans="1:100" s="40" customFormat="1" x14ac:dyDescent="0.3">
      <c r="A158" s="150"/>
      <c r="B158" s="41" t="s">
        <v>40</v>
      </c>
      <c r="C158" s="100">
        <f t="shared" si="475"/>
        <v>-330715.47000000067</v>
      </c>
      <c r="D158" s="101">
        <f t="shared" si="475"/>
        <v>-2818924.1499999985</v>
      </c>
      <c r="E158" s="101">
        <f t="shared" si="475"/>
        <v>-3365257.5199999996</v>
      </c>
      <c r="F158" s="37">
        <f t="shared" si="475"/>
        <v>-1488081.3199999998</v>
      </c>
      <c r="G158" s="101">
        <f t="shared" si="475"/>
        <v>-1028064.5899999999</v>
      </c>
      <c r="H158" s="101">
        <f t="shared" si="475"/>
        <v>-412137.98</v>
      </c>
      <c r="I158" s="101">
        <f t="shared" si="475"/>
        <v>-569804.29</v>
      </c>
      <c r="J158" s="101">
        <f t="shared" si="475"/>
        <v>327268.41000000015</v>
      </c>
      <c r="K158" s="101">
        <f t="shared" si="475"/>
        <v>2420890.5299999998</v>
      </c>
      <c r="L158" s="102">
        <f t="shared" si="475"/>
        <v>4654058.4600000009</v>
      </c>
      <c r="M158" s="101">
        <f t="shared" si="475"/>
        <v>5271.5600000005215</v>
      </c>
      <c r="N158" s="101">
        <f t="shared" si="475"/>
        <v>924147.8900000006</v>
      </c>
      <c r="O158" s="101">
        <f t="shared" si="475"/>
        <v>-1512766.3899999987</v>
      </c>
      <c r="P158" s="101">
        <f t="shared" ref="P158:R158" si="480">P137-P144</f>
        <v>515987.5</v>
      </c>
      <c r="Q158" s="101">
        <f t="shared" si="480"/>
        <v>-1757220.0599999996</v>
      </c>
      <c r="R158" s="101">
        <f t="shared" si="480"/>
        <v>-2247690.5699999998</v>
      </c>
      <c r="S158" s="101">
        <f t="shared" ref="S158:T158" si="481">S137-S144</f>
        <v>-1082317.7799999998</v>
      </c>
      <c r="T158" s="101">
        <f t="shared" si="481"/>
        <v>-211179.89000000013</v>
      </c>
      <c r="U158" s="101">
        <f t="shared" ref="U158:V158" si="482">U137-U144</f>
        <v>13608.090000000317</v>
      </c>
      <c r="V158" s="101">
        <f t="shared" si="482"/>
        <v>794884</v>
      </c>
      <c r="W158" s="101">
        <f t="shared" ref="W158:AA158" si="483">W137-W144</f>
        <v>1694689.9400000004</v>
      </c>
      <c r="X158" s="102">
        <f t="shared" si="483"/>
        <v>4365137.0299999993</v>
      </c>
      <c r="Y158" s="101">
        <f t="shared" si="483"/>
        <v>4253461</v>
      </c>
      <c r="Z158" s="101">
        <f t="shared" si="483"/>
        <v>2531592</v>
      </c>
      <c r="AA158" s="101">
        <f t="shared" si="483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66"/>
        <v>-1182050.9199999981</v>
      </c>
      <c r="BJ158" s="103">
        <f t="shared" si="466"/>
        <v>3334911.6499999985</v>
      </c>
      <c r="BK158" s="103">
        <f t="shared" si="466"/>
        <v>1608037.46</v>
      </c>
      <c r="BL158" s="103">
        <f t="shared" si="466"/>
        <v>-759609.25</v>
      </c>
      <c r="BM158" s="103">
        <f t="shared" si="466"/>
        <v>-54253.189999999944</v>
      </c>
      <c r="BN158" s="103">
        <f t="shared" si="466"/>
        <v>200958.08999999985</v>
      </c>
      <c r="BO158" s="103">
        <f t="shared" si="466"/>
        <v>583412.38000000035</v>
      </c>
      <c r="BP158" s="103">
        <f t="shared" si="466"/>
        <v>467615.58999999985</v>
      </c>
      <c r="BQ158" s="103">
        <f t="shared" si="466"/>
        <v>-726200.58999999939</v>
      </c>
      <c r="BR158" s="103">
        <f t="shared" si="466"/>
        <v>-288921.43000000156</v>
      </c>
      <c r="BS158" s="103">
        <f t="shared" si="467"/>
        <v>4248189.4399999995</v>
      </c>
      <c r="BT158" s="103">
        <f t="shared" si="467"/>
        <v>1607444.1099999994</v>
      </c>
      <c r="BU158" s="103">
        <f t="shared" si="467"/>
        <v>-1101627.660000002</v>
      </c>
      <c r="BV158" s="103">
        <f t="shared" si="467"/>
        <v>-1962828.879999999</v>
      </c>
      <c r="BW158" s="103">
        <f t="shared" si="467"/>
        <v>-437350.79000000004</v>
      </c>
      <c r="BX158" s="103">
        <f t="shared" si="467"/>
        <v>918675.43000000017</v>
      </c>
      <c r="BY158" s="103">
        <f t="shared" si="467"/>
        <v>137934.7799999998</v>
      </c>
      <c r="BZ158" s="103">
        <f t="shared" si="467"/>
        <v>-161480.31000000006</v>
      </c>
      <c r="CA158" s="277">
        <f t="shared" si="467"/>
        <v>-136975.09000000032</v>
      </c>
      <c r="CB158" s="277">
        <f t="shared" si="467"/>
        <v>-78986</v>
      </c>
      <c r="CC158" s="277">
        <f t="shared" si="468"/>
        <v>660978.05999999959</v>
      </c>
      <c r="CD158" s="341">
        <f t="shared" si="468"/>
        <v>1498969.9700000007</v>
      </c>
      <c r="CE158" s="321">
        <f t="shared" si="468"/>
        <v>1373134</v>
      </c>
      <c r="CF158" s="321">
        <f t="shared" si="468"/>
        <v>-2937466</v>
      </c>
      <c r="CG158" s="321">
        <f t="shared" si="468"/>
        <v>1116835.0500000007</v>
      </c>
      <c r="CH158" s="321">
        <f t="shared" si="468"/>
        <v>-1043678.620000001</v>
      </c>
      <c r="CI158" s="321">
        <f t="shared" si="468"/>
        <v>-406086.15000000037</v>
      </c>
      <c r="CJ158" s="321">
        <f t="shared" si="468"/>
        <v>-694255.86000000034</v>
      </c>
      <c r="CK158" s="321">
        <f t="shared" si="468"/>
        <v>276036</v>
      </c>
      <c r="CL158" s="321">
        <f t="shared" si="468"/>
        <v>-438233.79999999981</v>
      </c>
      <c r="CM158" s="321">
        <f t="shared" si="469"/>
        <v>388585</v>
      </c>
      <c r="CN158" s="321">
        <f t="shared" si="469"/>
        <v>-15605</v>
      </c>
      <c r="CO158" s="321">
        <f t="shared" si="469"/>
        <v>-1109581</v>
      </c>
      <c r="CP158" s="321">
        <f t="shared" si="469"/>
        <v>476447</v>
      </c>
      <c r="CQ158" s="321">
        <f t="shared" si="469"/>
        <v>-3761868</v>
      </c>
      <c r="CR158" s="321">
        <f t="shared" si="469"/>
        <v>768191</v>
      </c>
      <c r="CS158" s="321">
        <f t="shared" si="469"/>
        <v>-102762</v>
      </c>
      <c r="CT158" s="350"/>
      <c r="CU158" s="67">
        <f>'MONTHLY SUMMARIES'!H118</f>
        <v>-1600321</v>
      </c>
    </row>
    <row r="159" spans="1:100" s="40" customFormat="1" x14ac:dyDescent="0.3">
      <c r="A159" s="150"/>
      <c r="B159" s="41" t="s">
        <v>41</v>
      </c>
      <c r="C159" s="100">
        <f t="shared" si="475"/>
        <v>2841019.7099999934</v>
      </c>
      <c r="D159" s="101">
        <f t="shared" si="475"/>
        <v>2355538.9099999964</v>
      </c>
      <c r="E159" s="101">
        <f t="shared" si="475"/>
        <v>-14603152.75</v>
      </c>
      <c r="F159" s="37">
        <f t="shared" si="475"/>
        <v>-4794332.1000000015</v>
      </c>
      <c r="G159" s="101">
        <f t="shared" si="475"/>
        <v>-5249768.3100000005</v>
      </c>
      <c r="H159" s="101">
        <f t="shared" si="475"/>
        <v>412709.02999999933</v>
      </c>
      <c r="I159" s="101">
        <f t="shared" si="475"/>
        <v>-1775454.0899999999</v>
      </c>
      <c r="J159" s="101">
        <f t="shared" si="475"/>
        <v>1198481.4700000007</v>
      </c>
      <c r="K159" s="101">
        <f t="shared" si="475"/>
        <v>5357634.4499999993</v>
      </c>
      <c r="L159" s="102">
        <f t="shared" si="475"/>
        <v>14218981.310000006</v>
      </c>
      <c r="M159" s="101">
        <f t="shared" si="475"/>
        <v>-4276286.8599999994</v>
      </c>
      <c r="N159" s="101">
        <f t="shared" si="475"/>
        <v>4596423.6000000015</v>
      </c>
      <c r="O159" s="101">
        <f t="shared" si="475"/>
        <v>-6459360.6599999964</v>
      </c>
      <c r="P159" s="101">
        <f t="shared" ref="P159:R159" si="484">P138-P145</f>
        <v>1527331.0399999991</v>
      </c>
      <c r="Q159" s="101">
        <f t="shared" si="484"/>
        <v>-3134720.3999999985</v>
      </c>
      <c r="R159" s="101">
        <f t="shared" si="484"/>
        <v>-10933992.67</v>
      </c>
      <c r="S159" s="101">
        <f t="shared" ref="S159:T159" si="485">S138-S145</f>
        <v>-2973247.76</v>
      </c>
      <c r="T159" s="101">
        <f t="shared" si="485"/>
        <v>1074607.8600000013</v>
      </c>
      <c r="U159" s="101">
        <f t="shared" ref="U159:V159" si="486">U138-U145</f>
        <v>-362402.08000000007</v>
      </c>
      <c r="V159" s="101">
        <f t="shared" si="486"/>
        <v>1201984</v>
      </c>
      <c r="W159" s="101">
        <f t="shared" ref="W159:AA159" si="487">W138-W145</f>
        <v>3344934.3699999992</v>
      </c>
      <c r="X159" s="102">
        <f t="shared" si="487"/>
        <v>11533881.440000001</v>
      </c>
      <c r="Y159" s="101">
        <f t="shared" si="487"/>
        <v>9994132</v>
      </c>
      <c r="Z159" s="101">
        <f t="shared" si="487"/>
        <v>5738745</v>
      </c>
      <c r="AA159" s="101">
        <f t="shared" si="487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66"/>
        <v>-9300380.3699999899</v>
      </c>
      <c r="BJ159" s="103">
        <f t="shared" si="466"/>
        <v>-828207.86999999732</v>
      </c>
      <c r="BK159" s="103">
        <f t="shared" si="466"/>
        <v>11468432.350000001</v>
      </c>
      <c r="BL159" s="103">
        <f t="shared" si="466"/>
        <v>-6139660.5699999984</v>
      </c>
      <c r="BM159" s="103">
        <f t="shared" si="466"/>
        <v>2276520.5500000007</v>
      </c>
      <c r="BN159" s="103">
        <f t="shared" si="466"/>
        <v>661898.83000000194</v>
      </c>
      <c r="BO159" s="103">
        <f t="shared" si="466"/>
        <v>1413052.0099999998</v>
      </c>
      <c r="BP159" s="103">
        <f t="shared" si="466"/>
        <v>3502.5299999993294</v>
      </c>
      <c r="BQ159" s="103">
        <f t="shared" si="466"/>
        <v>-2012700.08</v>
      </c>
      <c r="BR159" s="103">
        <f t="shared" si="466"/>
        <v>-2685099.8700000048</v>
      </c>
      <c r="BS159" s="103">
        <f t="shared" si="467"/>
        <v>14270418.859999999</v>
      </c>
      <c r="BT159" s="103">
        <f t="shared" si="467"/>
        <v>1142321.3999999985</v>
      </c>
      <c r="BU159" s="103">
        <f t="shared" si="467"/>
        <v>-5345591.4800000042</v>
      </c>
      <c r="BV159" s="103">
        <f t="shared" si="467"/>
        <v>-6587942.3599999994</v>
      </c>
      <c r="BW159" s="103">
        <f t="shared" si="467"/>
        <v>-7182115.4900000021</v>
      </c>
      <c r="BX159" s="103">
        <f t="shared" si="467"/>
        <v>21018734.269999996</v>
      </c>
      <c r="BY159" s="103">
        <f t="shared" si="467"/>
        <v>-493766.24000000022</v>
      </c>
      <c r="BZ159" s="103">
        <f t="shared" si="467"/>
        <v>-1109031.8800000008</v>
      </c>
      <c r="CA159" s="277">
        <f t="shared" si="467"/>
        <v>1817586.08</v>
      </c>
      <c r="CB159" s="277">
        <f t="shared" si="467"/>
        <v>7466873</v>
      </c>
      <c r="CC159" s="277">
        <f t="shared" si="468"/>
        <v>2147755.6300000008</v>
      </c>
      <c r="CD159" s="341">
        <f t="shared" si="468"/>
        <v>6868538.5599999987</v>
      </c>
      <c r="CE159" s="321">
        <f t="shared" si="468"/>
        <v>7137841</v>
      </c>
      <c r="CF159" s="321">
        <f t="shared" si="468"/>
        <v>-10022526</v>
      </c>
      <c r="CG159" s="321">
        <f t="shared" si="468"/>
        <v>850808.1400000006</v>
      </c>
      <c r="CH159" s="321">
        <f t="shared" si="468"/>
        <v>-3869815.6799999997</v>
      </c>
      <c r="CI159" s="321">
        <f t="shared" si="468"/>
        <v>61715.890000000596</v>
      </c>
      <c r="CJ159" s="321">
        <f t="shared" si="468"/>
        <v>-18467925.599999998</v>
      </c>
      <c r="CK159" s="321">
        <f t="shared" si="468"/>
        <v>731625</v>
      </c>
      <c r="CL159" s="321">
        <f t="shared" si="468"/>
        <v>-4026865.9800000004</v>
      </c>
      <c r="CM159" s="321">
        <f t="shared" si="469"/>
        <v>-195016</v>
      </c>
      <c r="CN159" s="321">
        <f t="shared" si="469"/>
        <v>-9353401</v>
      </c>
      <c r="CO159" s="321">
        <f t="shared" si="469"/>
        <v>-555576</v>
      </c>
      <c r="CP159" s="321">
        <f t="shared" si="469"/>
        <v>-2033731</v>
      </c>
      <c r="CQ159" s="321">
        <f t="shared" si="469"/>
        <v>-13190504</v>
      </c>
      <c r="CR159" s="321">
        <f t="shared" si="469"/>
        <v>1197833</v>
      </c>
      <c r="CS159" s="321">
        <f t="shared" si="469"/>
        <v>2808679</v>
      </c>
      <c r="CT159" s="350"/>
      <c r="CU159" s="67">
        <f>'MONTHLY SUMMARIES'!H119</f>
        <v>-8145465</v>
      </c>
    </row>
    <row r="160" spans="1:100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488">SUM(D155:D159)</f>
        <v>-13064901.909999998</v>
      </c>
      <c r="E160" s="131">
        <f t="shared" si="488"/>
        <v>-44181265.519999988</v>
      </c>
      <c r="F160" s="38">
        <f t="shared" si="488"/>
        <v>-30437338.740000006</v>
      </c>
      <c r="G160" s="131">
        <f t="shared" si="488"/>
        <v>-27841411.699999996</v>
      </c>
      <c r="H160" s="131">
        <f t="shared" si="488"/>
        <v>-16335496.780000001</v>
      </c>
      <c r="I160" s="131">
        <f t="shared" si="488"/>
        <v>-16784143.18</v>
      </c>
      <c r="J160" s="131">
        <f t="shared" si="488"/>
        <v>-5599542.5599999987</v>
      </c>
      <c r="K160" s="131">
        <f t="shared" si="488"/>
        <v>23025521.439999998</v>
      </c>
      <c r="L160" s="132">
        <f t="shared" si="488"/>
        <v>71326168.359999999</v>
      </c>
      <c r="M160" s="131">
        <f t="shared" si="488"/>
        <v>29455270.030000009</v>
      </c>
      <c r="N160" s="131">
        <f t="shared" si="488"/>
        <v>27549972.859999999</v>
      </c>
      <c r="O160" s="131">
        <f t="shared" si="488"/>
        <v>-1902459.360000005</v>
      </c>
      <c r="P160" s="131">
        <f t="shared" si="488"/>
        <v>9390504.1300000045</v>
      </c>
      <c r="Q160" s="131">
        <f t="shared" si="488"/>
        <v>-19198956.839999992</v>
      </c>
      <c r="R160" s="131">
        <f t="shared" si="488"/>
        <v>-37170855.359999999</v>
      </c>
      <c r="S160" s="131">
        <f t="shared" si="488"/>
        <v>-19321934.990000002</v>
      </c>
      <c r="T160" s="131">
        <f t="shared" si="488"/>
        <v>-14052496.26</v>
      </c>
      <c r="U160" s="131">
        <f t="shared" si="488"/>
        <v>-11759940.250000002</v>
      </c>
      <c r="V160" s="131">
        <f t="shared" ref="V160:W160" si="489">SUM(V155:V159)</f>
        <v>-4803397</v>
      </c>
      <c r="W160" s="131">
        <f t="shared" si="489"/>
        <v>19282566.289999999</v>
      </c>
      <c r="X160" s="132">
        <f t="shared" ref="X160:AA160" si="490">SUM(X155:X159)</f>
        <v>61590652.579999983</v>
      </c>
      <c r="Y160" s="131">
        <f t="shared" si="490"/>
        <v>66100783</v>
      </c>
      <c r="Z160" s="131">
        <f t="shared" si="490"/>
        <v>51464332</v>
      </c>
      <c r="AA160" s="131">
        <f t="shared" si="490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37"/>
        <v>-24835230.020000003</v>
      </c>
      <c r="BJ160" s="133">
        <f t="shared" ref="BJ160:BK160" si="491">SUM(BJ155:BJ159)</f>
        <v>22455406.039999999</v>
      </c>
      <c r="BK160" s="133">
        <f t="shared" si="491"/>
        <v>24982308.68</v>
      </c>
      <c r="BL160" s="133">
        <f t="shared" ref="BL160:BM160" si="492">SUM(BL155:BL159)</f>
        <v>-6733516.6199999955</v>
      </c>
      <c r="BM160" s="133">
        <f t="shared" si="492"/>
        <v>8519476.7099999953</v>
      </c>
      <c r="BN160" s="133">
        <f t="shared" ref="BN160:BO160" si="493">SUM(BN155:BN159)</f>
        <v>2283000.5200000023</v>
      </c>
      <c r="BO160" s="133">
        <f t="shared" si="493"/>
        <v>5024202.9299999978</v>
      </c>
      <c r="BP160" s="133">
        <f t="shared" ref="BP160:BQ160" si="494">SUM(BP155:BP159)</f>
        <v>796145.55999999843</v>
      </c>
      <c r="BQ160" s="133">
        <f t="shared" si="494"/>
        <v>-3742955.1499999971</v>
      </c>
      <c r="BR160" s="133">
        <f t="shared" ref="BR160:BS160" si="495">SUM(BR155:BR159)</f>
        <v>-9735515.7800000086</v>
      </c>
      <c r="BS160" s="133">
        <f t="shared" si="495"/>
        <v>36645512.969999991</v>
      </c>
      <c r="BT160" s="133">
        <f t="shared" ref="BT160:BU160" si="496">SUM(BT155:BT159)</f>
        <v>23914359.140000001</v>
      </c>
      <c r="BU160" s="133">
        <f t="shared" si="496"/>
        <v>-1884593.7400000012</v>
      </c>
      <c r="BV160" s="133">
        <f t="shared" ref="BV160:BW160" si="497">SUM(BV155:BV159)</f>
        <v>-16857760.070000015</v>
      </c>
      <c r="BW160" s="133">
        <f t="shared" si="497"/>
        <v>-17070700.010000005</v>
      </c>
      <c r="BX160" s="133">
        <f t="shared" ref="BX160:BY160" si="498">SUM(BX155:BX159)</f>
        <v>24264299.609999999</v>
      </c>
      <c r="BY160" s="133">
        <f t="shared" si="498"/>
        <v>-2243530.009999997</v>
      </c>
      <c r="BZ160" s="133">
        <f t="shared" ref="BZ160:CA160" si="499">SUM(BZ155:BZ159)</f>
        <v>-2629660.5200000005</v>
      </c>
      <c r="CA160" s="274">
        <f t="shared" si="499"/>
        <v>2003787.2500000007</v>
      </c>
      <c r="CB160" s="274">
        <f t="shared" ref="CB160:CC160" si="500">SUM(CB155:CB159)</f>
        <v>6598654</v>
      </c>
      <c r="CC160" s="274">
        <f t="shared" si="500"/>
        <v>6174800.7100000009</v>
      </c>
      <c r="CD160" s="340">
        <f t="shared" ref="CD160:CE160" si="501">SUM(CD155:CD159)</f>
        <v>23066747.420000009</v>
      </c>
      <c r="CE160" s="327">
        <f t="shared" si="501"/>
        <v>26312607</v>
      </c>
      <c r="CF160" s="327">
        <f t="shared" ref="CF160:CG160" si="502">SUM(CF155:CF159)</f>
        <v>-26164196</v>
      </c>
      <c r="CG160" s="327">
        <f t="shared" si="502"/>
        <v>15945095.100000005</v>
      </c>
      <c r="CH160" s="327">
        <f t="shared" ref="CH160:CI160" si="503">SUM(CH155:CH159)</f>
        <v>-2934577.0599999912</v>
      </c>
      <c r="CI160" s="327">
        <f t="shared" si="503"/>
        <v>-4175363.1500000022</v>
      </c>
      <c r="CJ160" s="327">
        <f t="shared" ref="CJ160" si="504">SUM(CJ155:CJ159)</f>
        <v>-25562325.25</v>
      </c>
      <c r="CK160" s="327">
        <f t="shared" ref="CK160" si="505">SUM(CK155:CK159)</f>
        <v>877906</v>
      </c>
      <c r="CL160" s="327">
        <f t="shared" ref="CL160" si="506">SUM(CL155:CL159)</f>
        <v>-9615946.2199999988</v>
      </c>
      <c r="CM160" s="327">
        <f t="shared" ref="CM160" si="507">SUM(CM155:CM159)</f>
        <v>-1333337</v>
      </c>
      <c r="CN160" s="327">
        <f t="shared" ref="CN160" si="508">SUM(CN155:CN159)</f>
        <v>-6718579</v>
      </c>
      <c r="CO160" s="327">
        <f t="shared" ref="CO160" si="509">SUM(CO155:CO159)</f>
        <v>-5987892</v>
      </c>
      <c r="CP160" s="369">
        <f t="shared" ref="CP160" si="510">SUM(CP155:CP159)</f>
        <v>18824557</v>
      </c>
      <c r="CQ160" s="369">
        <f t="shared" ref="CQ160:CS160" si="511">SUM(CQ155:CQ159)</f>
        <v>-36715036</v>
      </c>
      <c r="CR160" s="369">
        <f t="shared" ref="CR160:CS160" si="512">SUM(CR155:CR159)</f>
        <v>9673372</v>
      </c>
      <c r="CS160" s="369">
        <f t="shared" si="512"/>
        <v>-236974</v>
      </c>
      <c r="CT160" s="351"/>
      <c r="CU160" s="38">
        <f t="shared" si="432"/>
        <v>11921068</v>
      </c>
    </row>
    <row r="161" spans="1:10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48"/>
      <c r="CU161" s="81"/>
    </row>
    <row r="162" spans="1:100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S162" si="513">O162-C162</f>
        <v>-42</v>
      </c>
      <c r="BJ162" s="111">
        <f t="shared" si="513"/>
        <v>-52</v>
      </c>
      <c r="BK162" s="111">
        <f t="shared" si="513"/>
        <v>-64</v>
      </c>
      <c r="BL162" s="111">
        <f t="shared" si="513"/>
        <v>-66</v>
      </c>
      <c r="BM162" s="111">
        <f t="shared" si="513"/>
        <v>-67</v>
      </c>
      <c r="BN162" s="111">
        <f t="shared" si="513"/>
        <v>-72</v>
      </c>
      <c r="BO162" s="111">
        <f t="shared" si="513"/>
        <v>-68</v>
      </c>
      <c r="BP162" s="111">
        <f t="shared" si="513"/>
        <v>-64</v>
      </c>
      <c r="BQ162" s="111">
        <f t="shared" si="513"/>
        <v>-46</v>
      </c>
      <c r="BR162" s="111">
        <f t="shared" si="513"/>
        <v>-46</v>
      </c>
      <c r="BS162" s="111">
        <f t="shared" si="513"/>
        <v>-39</v>
      </c>
      <c r="BT162" s="111">
        <f t="shared" si="513"/>
        <v>-35</v>
      </c>
      <c r="BU162" s="111">
        <f t="shared" si="513"/>
        <v>-28</v>
      </c>
      <c r="BV162" s="111">
        <f t="shared" si="513"/>
        <v>-16</v>
      </c>
      <c r="BW162" s="111">
        <f t="shared" si="513"/>
        <v>-19</v>
      </c>
      <c r="BX162" s="111">
        <f t="shared" si="513"/>
        <v>-13</v>
      </c>
      <c r="BY162" s="111">
        <f t="shared" si="513"/>
        <v>-1</v>
      </c>
      <c r="BZ162" s="111">
        <f t="shared" si="513"/>
        <v>11</v>
      </c>
      <c r="CA162" s="280">
        <f t="shared" si="513"/>
        <v>19</v>
      </c>
      <c r="CB162" s="280">
        <f t="shared" si="513"/>
        <v>31</v>
      </c>
      <c r="CC162" s="280">
        <f t="shared" si="513"/>
        <v>22</v>
      </c>
      <c r="CD162" s="204">
        <f t="shared" si="513"/>
        <v>22</v>
      </c>
      <c r="CE162" s="316">
        <f t="shared" si="513"/>
        <v>26</v>
      </c>
      <c r="CF162" s="316">
        <f t="shared" si="513"/>
        <v>22</v>
      </c>
      <c r="CG162" s="316">
        <f t="shared" si="513"/>
        <v>20</v>
      </c>
      <c r="CH162" s="316">
        <f t="shared" si="513"/>
        <v>24</v>
      </c>
      <c r="CI162" s="316">
        <f t="shared" si="513"/>
        <v>20</v>
      </c>
      <c r="CJ162" s="316">
        <f t="shared" si="513"/>
        <v>19</v>
      </c>
      <c r="CK162" s="316">
        <f t="shared" si="513"/>
        <v>1</v>
      </c>
      <c r="CL162" s="316">
        <f t="shared" si="513"/>
        <v>-11</v>
      </c>
      <c r="CM162" s="316">
        <f t="shared" si="513"/>
        <v>-15</v>
      </c>
      <c r="CN162" s="316">
        <f t="shared" si="513"/>
        <v>-24</v>
      </c>
      <c r="CO162" s="316">
        <f t="shared" si="513"/>
        <v>41</v>
      </c>
      <c r="CP162" s="316">
        <f t="shared" si="513"/>
        <v>16</v>
      </c>
      <c r="CQ162" s="316">
        <f t="shared" si="513"/>
        <v>-5</v>
      </c>
      <c r="CR162" s="316">
        <f t="shared" si="513"/>
        <v>-16</v>
      </c>
      <c r="CS162" s="316">
        <f t="shared" si="513"/>
        <v>-19</v>
      </c>
      <c r="CT162" s="348"/>
      <c r="CU162" s="67">
        <f>'MONTHLY SUMMARIES'!H122</f>
        <v>13</v>
      </c>
    </row>
    <row r="163" spans="1:100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48"/>
      <c r="CU163" s="81">
        <f>CU162-CU164</f>
        <v>13</v>
      </c>
    </row>
    <row r="164" spans="1:100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48"/>
      <c r="CU164" s="67">
        <f>IF(ISERROR(GETPIVOTDATA("VALUE",'CRS ESCO pvt'!$I$2,"DATE_FILE",$CU$8,"COMPANY",$CU$6,"TRIM_CAT","Resdiential-ESCO","TRIM_LINE",A161))=TRUE,0,GETPIVOTDATA("VALUE",'CRS ESCO pvt'!$I$2,"DATE_FILE",$CU$8,"COMPANY",$CU$6,"TRIM_CAT","Resdiential-ESCO","TRIM_LINE",A161))</f>
        <v>0</v>
      </c>
    </row>
    <row r="165" spans="1:100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S165" si="514">O165-C165</f>
        <v>237</v>
      </c>
      <c r="BJ165" s="111">
        <f t="shared" si="514"/>
        <v>199</v>
      </c>
      <c r="BK165" s="111">
        <f t="shared" si="514"/>
        <v>112</v>
      </c>
      <c r="BL165" s="111">
        <f t="shared" si="514"/>
        <v>91</v>
      </c>
      <c r="BM165" s="111">
        <f t="shared" si="514"/>
        <v>80</v>
      </c>
      <c r="BN165" s="111">
        <f t="shared" si="514"/>
        <v>10</v>
      </c>
      <c r="BO165" s="111">
        <f t="shared" si="514"/>
        <v>-74</v>
      </c>
      <c r="BP165" s="111">
        <f t="shared" si="514"/>
        <v>-3</v>
      </c>
      <c r="BQ165" s="111">
        <f t="shared" si="514"/>
        <v>87</v>
      </c>
      <c r="BR165" s="111">
        <f t="shared" si="514"/>
        <v>188</v>
      </c>
      <c r="BS165" s="111">
        <f t="shared" si="514"/>
        <v>403</v>
      </c>
      <c r="BT165" s="111">
        <f t="shared" si="514"/>
        <v>685</v>
      </c>
      <c r="BU165" s="111">
        <f t="shared" si="514"/>
        <v>792</v>
      </c>
      <c r="BV165" s="111">
        <f t="shared" si="514"/>
        <v>1098</v>
      </c>
      <c r="BW165" s="111">
        <f t="shared" si="514"/>
        <v>1170</v>
      </c>
      <c r="BX165" s="111">
        <f t="shared" si="514"/>
        <v>1332</v>
      </c>
      <c r="BY165" s="111">
        <f t="shared" si="514"/>
        <v>1719</v>
      </c>
      <c r="BZ165" s="111">
        <f t="shared" si="514"/>
        <v>2114</v>
      </c>
      <c r="CA165" s="280">
        <f t="shared" si="514"/>
        <v>2391</v>
      </c>
      <c r="CB165" s="280">
        <f t="shared" si="514"/>
        <v>2435</v>
      </c>
      <c r="CC165" s="280">
        <f t="shared" si="514"/>
        <v>2172</v>
      </c>
      <c r="CD165" s="204">
        <f t="shared" si="514"/>
        <v>2044</v>
      </c>
      <c r="CE165" s="316">
        <f t="shared" si="514"/>
        <v>1729</v>
      </c>
      <c r="CF165" s="316">
        <f t="shared" si="514"/>
        <v>1240</v>
      </c>
      <c r="CG165" s="316">
        <f t="shared" si="514"/>
        <v>811</v>
      </c>
      <c r="CH165" s="316">
        <f t="shared" si="514"/>
        <v>245</v>
      </c>
      <c r="CI165" s="316">
        <f t="shared" si="514"/>
        <v>-71</v>
      </c>
      <c r="CJ165" s="316">
        <f t="shared" si="514"/>
        <v>-333</v>
      </c>
      <c r="CK165" s="316">
        <f t="shared" si="514"/>
        <v>-698</v>
      </c>
      <c r="CL165" s="316">
        <f t="shared" si="514"/>
        <v>-1196</v>
      </c>
      <c r="CM165" s="316">
        <f t="shared" si="514"/>
        <v>-1340</v>
      </c>
      <c r="CN165" s="316">
        <f t="shared" si="514"/>
        <v>-1444</v>
      </c>
      <c r="CO165" s="316">
        <f t="shared" si="514"/>
        <v>-1436</v>
      </c>
      <c r="CP165" s="316">
        <f t="shared" si="514"/>
        <v>-1350</v>
      </c>
      <c r="CQ165" s="316">
        <f t="shared" si="514"/>
        <v>-1342</v>
      </c>
      <c r="CR165" s="316">
        <f t="shared" si="514"/>
        <v>-1261</v>
      </c>
      <c r="CS165" s="316">
        <f t="shared" si="514"/>
        <v>-1124</v>
      </c>
      <c r="CT165" s="348"/>
      <c r="CU165" s="67">
        <f>'MONTHLY SUMMARIES'!H123</f>
        <v>1275</v>
      </c>
    </row>
    <row r="166" spans="1:100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48"/>
      <c r="CU166" s="81">
        <f>CU165-CU167</f>
        <v>1272</v>
      </c>
    </row>
    <row r="167" spans="1:100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48"/>
      <c r="CU167" s="67">
        <f>IF(ISERROR(GETPIVOTDATA("VALUE",'CRS ESCO pvt'!$I$2,"DATE_FILE",$CU$8,"COMPANY",$CU$6,"TRIM_CAT","Low Income Resdiential-ESCO","TRIM_LINE",A161))=TRUE,0,GETPIVOTDATA("VALUE",'CRS ESCO pvt'!$I$2,"DATE_FILE",$CU$8,"COMPANY",$CU$6,"TRIM_CAT","Low Income Resdiential-ESCO","TRIM_LINE",A161))</f>
        <v>3</v>
      </c>
    </row>
    <row r="168" spans="1:10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15">O168-C168</f>
        <v>0</v>
      </c>
      <c r="BJ168" s="111">
        <f t="shared" si="515"/>
        <v>0</v>
      </c>
      <c r="BK168" s="111">
        <f t="shared" si="515"/>
        <v>0</v>
      </c>
      <c r="BL168" s="111">
        <f t="shared" si="515"/>
        <v>0</v>
      </c>
      <c r="BM168" s="111">
        <f t="shared" si="515"/>
        <v>0</v>
      </c>
      <c r="BN168" s="111">
        <f t="shared" si="515"/>
        <v>0</v>
      </c>
      <c r="BO168" s="111">
        <f t="shared" si="515"/>
        <v>0</v>
      </c>
      <c r="BP168" s="111">
        <f t="shared" si="515"/>
        <v>0</v>
      </c>
      <c r="BQ168" s="111">
        <f t="shared" si="515"/>
        <v>0</v>
      </c>
      <c r="BR168" s="111">
        <f t="shared" si="515"/>
        <v>0</v>
      </c>
      <c r="BS168" s="111">
        <f t="shared" ref="BS168:CB170" si="516">Y168-M168</f>
        <v>0</v>
      </c>
      <c r="BT168" s="111">
        <f t="shared" si="516"/>
        <v>0</v>
      </c>
      <c r="BU168" s="111">
        <f t="shared" si="516"/>
        <v>0</v>
      </c>
      <c r="BV168" s="111">
        <f t="shared" si="516"/>
        <v>0</v>
      </c>
      <c r="BW168" s="111">
        <f t="shared" si="516"/>
        <v>0</v>
      </c>
      <c r="BX168" s="111">
        <f t="shared" si="516"/>
        <v>0</v>
      </c>
      <c r="BY168" s="111">
        <f t="shared" si="516"/>
        <v>0</v>
      </c>
      <c r="BZ168" s="111">
        <f t="shared" si="516"/>
        <v>0</v>
      </c>
      <c r="CA168" s="280">
        <f t="shared" si="516"/>
        <v>0</v>
      </c>
      <c r="CB168" s="280">
        <f t="shared" si="516"/>
        <v>0</v>
      </c>
      <c r="CC168" s="280">
        <f t="shared" ref="CC168:CL170" si="517">AI168-W168</f>
        <v>0</v>
      </c>
      <c r="CD168" s="204">
        <f t="shared" si="517"/>
        <v>0</v>
      </c>
      <c r="CE168" s="316">
        <f t="shared" si="517"/>
        <v>0</v>
      </c>
      <c r="CF168" s="316">
        <f t="shared" si="517"/>
        <v>0</v>
      </c>
      <c r="CG168" s="316">
        <f t="shared" si="517"/>
        <v>0</v>
      </c>
      <c r="CH168" s="316">
        <f t="shared" si="517"/>
        <v>0</v>
      </c>
      <c r="CI168" s="316">
        <f t="shared" si="517"/>
        <v>0</v>
      </c>
      <c r="CJ168" s="316">
        <f t="shared" si="517"/>
        <v>0</v>
      </c>
      <c r="CK168" s="316">
        <f t="shared" si="517"/>
        <v>0</v>
      </c>
      <c r="CL168" s="316">
        <f t="shared" si="517"/>
        <v>0</v>
      </c>
      <c r="CM168" s="316">
        <f t="shared" ref="CM168:CS170" si="518">AS168-AG168</f>
        <v>0</v>
      </c>
      <c r="CN168" s="316">
        <f t="shared" si="518"/>
        <v>0</v>
      </c>
      <c r="CO168" s="316">
        <f t="shared" si="518"/>
        <v>0</v>
      </c>
      <c r="CP168" s="316">
        <f t="shared" si="518"/>
        <v>0</v>
      </c>
      <c r="CQ168" s="316">
        <f t="shared" si="518"/>
        <v>0</v>
      </c>
      <c r="CR168" s="316">
        <f t="shared" si="518"/>
        <v>0</v>
      </c>
      <c r="CS168" s="316">
        <f t="shared" si="518"/>
        <v>0</v>
      </c>
      <c r="CT168" s="348"/>
      <c r="CU168" s="67">
        <f>'MONTHLY SUMMARIES'!H124</f>
        <v>0</v>
      </c>
    </row>
    <row r="169" spans="1:10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15"/>
        <v>0</v>
      </c>
      <c r="BJ169" s="111">
        <f t="shared" si="515"/>
        <v>0</v>
      </c>
      <c r="BK169" s="111">
        <f t="shared" si="515"/>
        <v>0</v>
      </c>
      <c r="BL169" s="111">
        <f t="shared" si="515"/>
        <v>0</v>
      </c>
      <c r="BM169" s="111">
        <f t="shared" si="515"/>
        <v>0</v>
      </c>
      <c r="BN169" s="111">
        <f t="shared" si="515"/>
        <v>0</v>
      </c>
      <c r="BO169" s="111">
        <f t="shared" si="515"/>
        <v>0</v>
      </c>
      <c r="BP169" s="111">
        <f t="shared" si="515"/>
        <v>0</v>
      </c>
      <c r="BQ169" s="111">
        <f t="shared" si="515"/>
        <v>0</v>
      </c>
      <c r="BR169" s="111">
        <f t="shared" si="515"/>
        <v>0</v>
      </c>
      <c r="BS169" s="111">
        <f t="shared" si="516"/>
        <v>0</v>
      </c>
      <c r="BT169" s="111">
        <f t="shared" si="516"/>
        <v>0</v>
      </c>
      <c r="BU169" s="111">
        <f t="shared" si="516"/>
        <v>0</v>
      </c>
      <c r="BV169" s="111">
        <f t="shared" si="516"/>
        <v>0</v>
      </c>
      <c r="BW169" s="111">
        <f t="shared" si="516"/>
        <v>0</v>
      </c>
      <c r="BX169" s="111">
        <f t="shared" si="516"/>
        <v>0</v>
      </c>
      <c r="BY169" s="111">
        <f t="shared" si="516"/>
        <v>0</v>
      </c>
      <c r="BZ169" s="111">
        <f t="shared" si="516"/>
        <v>0</v>
      </c>
      <c r="CA169" s="280">
        <f t="shared" si="516"/>
        <v>0</v>
      </c>
      <c r="CB169" s="280">
        <f t="shared" si="516"/>
        <v>0</v>
      </c>
      <c r="CC169" s="280">
        <f t="shared" si="517"/>
        <v>0</v>
      </c>
      <c r="CD169" s="204">
        <f t="shared" si="517"/>
        <v>0</v>
      </c>
      <c r="CE169" s="316">
        <f t="shared" si="517"/>
        <v>0</v>
      </c>
      <c r="CF169" s="316">
        <f t="shared" si="517"/>
        <v>0</v>
      </c>
      <c r="CG169" s="316">
        <f t="shared" si="517"/>
        <v>0</v>
      </c>
      <c r="CH169" s="316">
        <f t="shared" si="517"/>
        <v>0</v>
      </c>
      <c r="CI169" s="316">
        <f t="shared" si="517"/>
        <v>0</v>
      </c>
      <c r="CJ169" s="316">
        <f t="shared" si="517"/>
        <v>0</v>
      </c>
      <c r="CK169" s="316">
        <f t="shared" si="517"/>
        <v>0</v>
      </c>
      <c r="CL169" s="316">
        <f t="shared" si="517"/>
        <v>0</v>
      </c>
      <c r="CM169" s="316">
        <f t="shared" si="518"/>
        <v>0</v>
      </c>
      <c r="CN169" s="316">
        <f t="shared" si="518"/>
        <v>0</v>
      </c>
      <c r="CO169" s="316">
        <f t="shared" si="518"/>
        <v>0</v>
      </c>
      <c r="CP169" s="316">
        <f t="shared" si="518"/>
        <v>0</v>
      </c>
      <c r="CQ169" s="316">
        <f t="shared" si="518"/>
        <v>0</v>
      </c>
      <c r="CR169" s="316">
        <f t="shared" si="518"/>
        <v>0</v>
      </c>
      <c r="CS169" s="316">
        <f t="shared" si="518"/>
        <v>0</v>
      </c>
      <c r="CT169" s="348"/>
      <c r="CU169" s="67">
        <f>'MONTHLY SUMMARIES'!H125</f>
        <v>0</v>
      </c>
    </row>
    <row r="170" spans="1:10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15"/>
        <v>0</v>
      </c>
      <c r="BJ170" s="111">
        <f t="shared" si="515"/>
        <v>0</v>
      </c>
      <c r="BK170" s="111">
        <f t="shared" si="515"/>
        <v>0</v>
      </c>
      <c r="BL170" s="111">
        <f t="shared" si="515"/>
        <v>0</v>
      </c>
      <c r="BM170" s="111">
        <f t="shared" si="515"/>
        <v>0</v>
      </c>
      <c r="BN170" s="111">
        <f t="shared" si="515"/>
        <v>0</v>
      </c>
      <c r="BO170" s="111">
        <f t="shared" si="515"/>
        <v>0</v>
      </c>
      <c r="BP170" s="111">
        <f t="shared" si="515"/>
        <v>0</v>
      </c>
      <c r="BQ170" s="111">
        <f t="shared" si="515"/>
        <v>0</v>
      </c>
      <c r="BR170" s="111">
        <f t="shared" si="515"/>
        <v>0</v>
      </c>
      <c r="BS170" s="111">
        <f t="shared" si="516"/>
        <v>0</v>
      </c>
      <c r="BT170" s="111">
        <f t="shared" si="516"/>
        <v>0</v>
      </c>
      <c r="BU170" s="111">
        <f t="shared" si="516"/>
        <v>0</v>
      </c>
      <c r="BV170" s="111">
        <f t="shared" si="516"/>
        <v>0</v>
      </c>
      <c r="BW170" s="111">
        <f t="shared" si="516"/>
        <v>0</v>
      </c>
      <c r="BX170" s="111">
        <f t="shared" si="516"/>
        <v>0</v>
      </c>
      <c r="BY170" s="111">
        <f t="shared" si="516"/>
        <v>0</v>
      </c>
      <c r="BZ170" s="111">
        <f t="shared" si="516"/>
        <v>0</v>
      </c>
      <c r="CA170" s="280">
        <f t="shared" si="516"/>
        <v>0</v>
      </c>
      <c r="CB170" s="280">
        <f t="shared" si="516"/>
        <v>0</v>
      </c>
      <c r="CC170" s="280">
        <f t="shared" si="517"/>
        <v>0</v>
      </c>
      <c r="CD170" s="204">
        <f t="shared" si="517"/>
        <v>0</v>
      </c>
      <c r="CE170" s="316">
        <f t="shared" si="517"/>
        <v>0</v>
      </c>
      <c r="CF170" s="316">
        <f t="shared" si="517"/>
        <v>0</v>
      </c>
      <c r="CG170" s="316">
        <f t="shared" si="517"/>
        <v>0</v>
      </c>
      <c r="CH170" s="316">
        <f t="shared" si="517"/>
        <v>0</v>
      </c>
      <c r="CI170" s="316">
        <f t="shared" si="517"/>
        <v>0</v>
      </c>
      <c r="CJ170" s="316">
        <f t="shared" si="517"/>
        <v>0</v>
      </c>
      <c r="CK170" s="316">
        <f t="shared" si="517"/>
        <v>0</v>
      </c>
      <c r="CL170" s="316">
        <f t="shared" si="517"/>
        <v>0</v>
      </c>
      <c r="CM170" s="316">
        <f t="shared" si="518"/>
        <v>0</v>
      </c>
      <c r="CN170" s="316">
        <f t="shared" si="518"/>
        <v>0</v>
      </c>
      <c r="CO170" s="316">
        <f t="shared" si="518"/>
        <v>0</v>
      </c>
      <c r="CP170" s="316">
        <f t="shared" si="518"/>
        <v>0</v>
      </c>
      <c r="CQ170" s="316">
        <f t="shared" si="518"/>
        <v>0</v>
      </c>
      <c r="CR170" s="316">
        <f t="shared" si="518"/>
        <v>0</v>
      </c>
      <c r="CS170" s="316">
        <f t="shared" si="518"/>
        <v>0</v>
      </c>
      <c r="CT170" s="348"/>
      <c r="CU170" s="67">
        <f>'MONTHLY SUMMARIES'!H126</f>
        <v>0</v>
      </c>
    </row>
    <row r="171" spans="1:100" s="76" customFormat="1" x14ac:dyDescent="0.3">
      <c r="A171" s="151"/>
      <c r="B171" s="63" t="s">
        <v>42</v>
      </c>
      <c r="C171" s="125">
        <f t="shared" ref="C171:V171" si="519">SUM(C162:C170)</f>
        <v>641</v>
      </c>
      <c r="D171" s="126">
        <f t="shared" si="519"/>
        <v>672</v>
      </c>
      <c r="E171" s="126">
        <f t="shared" si="519"/>
        <v>819</v>
      </c>
      <c r="F171" s="127">
        <f t="shared" si="519"/>
        <v>867</v>
      </c>
      <c r="G171" s="126">
        <f t="shared" si="519"/>
        <v>889</v>
      </c>
      <c r="H171" s="127">
        <f t="shared" si="519"/>
        <v>933</v>
      </c>
      <c r="I171" s="126">
        <f t="shared" si="519"/>
        <v>945</v>
      </c>
      <c r="J171" s="127">
        <f t="shared" si="519"/>
        <v>964</v>
      </c>
      <c r="K171" s="126">
        <f t="shared" si="519"/>
        <v>978</v>
      </c>
      <c r="L171" s="128">
        <f t="shared" si="519"/>
        <v>917</v>
      </c>
      <c r="M171" s="127">
        <f t="shared" si="519"/>
        <v>849</v>
      </c>
      <c r="N171" s="127">
        <f t="shared" si="519"/>
        <v>807</v>
      </c>
      <c r="O171" s="127">
        <f t="shared" si="519"/>
        <v>836</v>
      </c>
      <c r="P171" s="127">
        <f t="shared" si="519"/>
        <v>819</v>
      </c>
      <c r="Q171" s="127">
        <f t="shared" si="519"/>
        <v>867</v>
      </c>
      <c r="R171" s="127">
        <f t="shared" si="519"/>
        <v>892</v>
      </c>
      <c r="S171" s="127">
        <f t="shared" si="519"/>
        <v>902</v>
      </c>
      <c r="T171" s="127">
        <f t="shared" si="519"/>
        <v>871</v>
      </c>
      <c r="U171" s="127">
        <f t="shared" si="519"/>
        <v>803</v>
      </c>
      <c r="V171" s="127">
        <f t="shared" si="519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195</v>
      </c>
      <c r="BJ171" s="129">
        <f t="shared" ref="BJ171:BK171" si="520">SUM(BJ162:BJ170)</f>
        <v>147</v>
      </c>
      <c r="BK171" s="129">
        <f t="shared" si="520"/>
        <v>48</v>
      </c>
      <c r="BL171" s="129">
        <f t="shared" ref="BL171:BM171" si="521">SUM(BL162:BL170)</f>
        <v>25</v>
      </c>
      <c r="BM171" s="129">
        <f t="shared" si="521"/>
        <v>13</v>
      </c>
      <c r="BN171" s="129">
        <f t="shared" ref="BN171:BO171" si="522">SUM(BN162:BN170)</f>
        <v>-62</v>
      </c>
      <c r="BO171" s="129">
        <f t="shared" si="522"/>
        <v>-142</v>
      </c>
      <c r="BP171" s="129">
        <f t="shared" ref="BP171:BQ171" si="523">SUM(BP162:BP170)</f>
        <v>-67</v>
      </c>
      <c r="BQ171" s="129">
        <f t="shared" si="523"/>
        <v>41</v>
      </c>
      <c r="BR171" s="129">
        <f t="shared" ref="BR171:BS171" si="524">SUM(BR162:BR170)</f>
        <v>142</v>
      </c>
      <c r="BS171" s="129">
        <f t="shared" si="524"/>
        <v>364</v>
      </c>
      <c r="BT171" s="129">
        <f t="shared" ref="BT171:BU171" si="525">SUM(BT162:BT170)</f>
        <v>650</v>
      </c>
      <c r="BU171" s="129">
        <f t="shared" si="525"/>
        <v>764</v>
      </c>
      <c r="BV171" s="129">
        <f t="shared" ref="BV171:BW171" si="526">SUM(BV162:BV170)</f>
        <v>1082</v>
      </c>
      <c r="BW171" s="129">
        <f t="shared" si="526"/>
        <v>1151</v>
      </c>
      <c r="BX171" s="129">
        <f t="shared" ref="BX171:BY171" si="527">SUM(BX162:BX170)</f>
        <v>1319</v>
      </c>
      <c r="BY171" s="129">
        <f t="shared" si="527"/>
        <v>1718</v>
      </c>
      <c r="BZ171" s="129">
        <f t="shared" ref="BZ171:CA171" si="528">SUM(BZ162:BZ170)</f>
        <v>2125</v>
      </c>
      <c r="CA171" s="281">
        <f t="shared" si="528"/>
        <v>2410</v>
      </c>
      <c r="CB171" s="281">
        <f t="shared" ref="CB171:CC171" si="529">SUM(CB162:CB170)</f>
        <v>2466</v>
      </c>
      <c r="CC171" s="281">
        <f t="shared" si="529"/>
        <v>2194</v>
      </c>
      <c r="CD171" s="205">
        <f t="shared" ref="CD171:CE171" si="530">SUM(CD162:CD170)</f>
        <v>2066</v>
      </c>
      <c r="CE171" s="317">
        <f t="shared" si="530"/>
        <v>1755</v>
      </c>
      <c r="CF171" s="317">
        <f t="shared" ref="CF171:CG171" si="531">SUM(CF162:CF170)</f>
        <v>1262</v>
      </c>
      <c r="CG171" s="317">
        <f t="shared" si="531"/>
        <v>831</v>
      </c>
      <c r="CH171" s="317">
        <f t="shared" ref="CH171:CI171" si="532">SUM(CH162:CH170)</f>
        <v>269</v>
      </c>
      <c r="CI171" s="317">
        <f t="shared" si="532"/>
        <v>-51</v>
      </c>
      <c r="CJ171" s="317">
        <f t="shared" ref="CJ171" si="533">SUM(CJ162:CJ170)</f>
        <v>-314</v>
      </c>
      <c r="CK171" s="317">
        <f t="shared" ref="CK171" si="534">SUM(CK162:CK170)</f>
        <v>-697</v>
      </c>
      <c r="CL171" s="317">
        <f t="shared" ref="CL171" si="535">SUM(CL162:CL170)</f>
        <v>-1207</v>
      </c>
      <c r="CM171" s="317">
        <f t="shared" ref="CM171" si="536">SUM(CM162:CM170)</f>
        <v>-1355</v>
      </c>
      <c r="CN171" s="317">
        <f t="shared" ref="CN171" si="537">SUM(CN162:CN170)</f>
        <v>-1468</v>
      </c>
      <c r="CO171" s="317">
        <f t="shared" ref="CO171" si="538">SUM(CO162:CO170)</f>
        <v>-1395</v>
      </c>
      <c r="CP171" s="317">
        <f t="shared" ref="CP171" si="539">SUM(CP162:CP170)</f>
        <v>-1334</v>
      </c>
      <c r="CQ171" s="317">
        <f t="shared" ref="CQ171:CS171" si="540">SUM(CQ162:CQ170)</f>
        <v>-1347</v>
      </c>
      <c r="CR171" s="317">
        <f t="shared" ref="CR171:CS171" si="541">SUM(CR162:CR170)</f>
        <v>-1277</v>
      </c>
      <c r="CS171" s="317">
        <f t="shared" si="541"/>
        <v>-1143</v>
      </c>
      <c r="CT171" s="349"/>
      <c r="CU171" s="262">
        <f>CU162+CU165+CU168+CU169+CU170</f>
        <v>1288</v>
      </c>
    </row>
    <row r="172" spans="1:10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48"/>
      <c r="CU172" s="93"/>
    </row>
    <row r="173" spans="1:100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S173" si="542">O173-C173</f>
        <v>-47</v>
      </c>
      <c r="BJ173" s="112">
        <f t="shared" si="542"/>
        <v>-173</v>
      </c>
      <c r="BK173" s="112">
        <f t="shared" si="542"/>
        <v>-502</v>
      </c>
      <c r="BL173" s="112">
        <f t="shared" si="542"/>
        <v>-468</v>
      </c>
      <c r="BM173" s="112">
        <f t="shared" si="542"/>
        <v>-487</v>
      </c>
      <c r="BN173" s="112">
        <f t="shared" si="542"/>
        <v>-575</v>
      </c>
      <c r="BO173" s="112">
        <f t="shared" si="542"/>
        <v>-690</v>
      </c>
      <c r="BP173" s="112">
        <f t="shared" si="542"/>
        <v>-806</v>
      </c>
      <c r="BQ173" s="112">
        <f t="shared" si="542"/>
        <v>-118</v>
      </c>
      <c r="BR173" s="112">
        <f t="shared" si="542"/>
        <v>-19</v>
      </c>
      <c r="BS173" s="112">
        <f t="shared" si="542"/>
        <v>-179</v>
      </c>
      <c r="BT173" s="112">
        <f t="shared" si="542"/>
        <v>-186</v>
      </c>
      <c r="BU173" s="112">
        <f t="shared" si="542"/>
        <v>-118</v>
      </c>
      <c r="BV173" s="112">
        <f t="shared" si="542"/>
        <v>0</v>
      </c>
      <c r="BW173" s="112">
        <f t="shared" si="542"/>
        <v>0</v>
      </c>
      <c r="BX173" s="112">
        <f t="shared" si="542"/>
        <v>0</v>
      </c>
      <c r="BY173" s="112">
        <f t="shared" si="542"/>
        <v>488</v>
      </c>
      <c r="BZ173" s="112">
        <f t="shared" si="542"/>
        <v>652</v>
      </c>
      <c r="CA173" s="204">
        <f t="shared" si="542"/>
        <v>649</v>
      </c>
      <c r="CB173" s="204">
        <f t="shared" si="542"/>
        <v>478</v>
      </c>
      <c r="CC173" s="204">
        <f t="shared" si="542"/>
        <v>246</v>
      </c>
      <c r="CD173" s="204">
        <f t="shared" si="542"/>
        <v>10</v>
      </c>
      <c r="CE173" s="316">
        <f t="shared" si="542"/>
        <v>0</v>
      </c>
      <c r="CF173" s="316">
        <f t="shared" si="542"/>
        <v>1</v>
      </c>
      <c r="CG173" s="316">
        <f t="shared" si="542"/>
        <v>9</v>
      </c>
      <c r="CH173" s="316">
        <f t="shared" si="542"/>
        <v>115</v>
      </c>
      <c r="CI173" s="316">
        <f t="shared" si="542"/>
        <v>856</v>
      </c>
      <c r="CJ173" s="316">
        <f t="shared" si="542"/>
        <v>793</v>
      </c>
      <c r="CK173" s="316">
        <f t="shared" si="542"/>
        <v>213</v>
      </c>
      <c r="CL173" s="316">
        <f t="shared" si="542"/>
        <v>-47</v>
      </c>
      <c r="CM173" s="316">
        <f t="shared" si="542"/>
        <v>-70</v>
      </c>
      <c r="CN173" s="316">
        <f t="shared" si="542"/>
        <v>53</v>
      </c>
      <c r="CO173" s="316">
        <f t="shared" si="542"/>
        <v>-79</v>
      </c>
      <c r="CP173" s="316">
        <f t="shared" si="542"/>
        <v>32</v>
      </c>
      <c r="CQ173" s="316">
        <f t="shared" si="542"/>
        <v>29</v>
      </c>
      <c r="CR173" s="316">
        <f t="shared" si="542"/>
        <v>41</v>
      </c>
      <c r="CS173" s="316">
        <f t="shared" si="542"/>
        <v>102</v>
      </c>
      <c r="CT173" s="348"/>
      <c r="CU173" s="67">
        <f>'MONTHLY SUMMARIES'!H129</f>
        <v>111</v>
      </c>
      <c r="CV173" s="76"/>
    </row>
    <row r="174" spans="1:100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48"/>
      <c r="CU174" s="81">
        <f>CU173-CU175</f>
        <v>111</v>
      </c>
      <c r="CV174" s="76"/>
    </row>
    <row r="175" spans="1:100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48"/>
      <c r="CU175" s="67">
        <f>IF(ISERROR(GETPIVOTDATA("VALUE",'CRS ESCO pvt'!$I$2,"DATE_FILE",$CU$8,"COMPANY",$CU$6,"TRIM_CAT","Resdiential-ESCO","TRIM_LINE",A172))=TRUE,0,GETPIVOTDATA("VALUE",'CRS ESCO pvt'!$I$2,"DATE_FILE",$CU$8,"COMPANY",$CU$6,"TRIM_CAT","Resdiential-ESCO","TRIM_LINE",A172))</f>
        <v>0</v>
      </c>
      <c r="CV175" s="76"/>
    </row>
    <row r="176" spans="1:100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S176" si="543">O176-C176</f>
        <v>1</v>
      </c>
      <c r="BJ176" s="112">
        <f t="shared" si="543"/>
        <v>-45</v>
      </c>
      <c r="BK176" s="112">
        <f t="shared" si="543"/>
        <v>-182</v>
      </c>
      <c r="BL176" s="112">
        <f t="shared" si="543"/>
        <v>-164</v>
      </c>
      <c r="BM176" s="112">
        <f t="shared" si="543"/>
        <v>-216</v>
      </c>
      <c r="BN176" s="112">
        <f t="shared" si="543"/>
        <v>-260</v>
      </c>
      <c r="BO176" s="112">
        <f t="shared" si="543"/>
        <v>-292</v>
      </c>
      <c r="BP176" s="112">
        <f t="shared" si="543"/>
        <v>-307</v>
      </c>
      <c r="BQ176" s="112">
        <f t="shared" si="543"/>
        <v>-13</v>
      </c>
      <c r="BR176" s="112">
        <f t="shared" si="543"/>
        <v>0</v>
      </c>
      <c r="BS176" s="112">
        <f t="shared" si="543"/>
        <v>0</v>
      </c>
      <c r="BT176" s="112">
        <f t="shared" si="543"/>
        <v>0</v>
      </c>
      <c r="BU176" s="112">
        <f t="shared" si="543"/>
        <v>-1</v>
      </c>
      <c r="BV176" s="112">
        <f t="shared" si="543"/>
        <v>0</v>
      </c>
      <c r="BW176" s="112">
        <f t="shared" si="543"/>
        <v>0</v>
      </c>
      <c r="BX176" s="112">
        <f t="shared" si="543"/>
        <v>0</v>
      </c>
      <c r="BY176" s="112">
        <f t="shared" si="543"/>
        <v>0</v>
      </c>
      <c r="BZ176" s="112">
        <f t="shared" si="543"/>
        <v>312</v>
      </c>
      <c r="CA176" s="204">
        <f t="shared" si="543"/>
        <v>402</v>
      </c>
      <c r="CB176" s="204">
        <f t="shared" si="543"/>
        <v>239</v>
      </c>
      <c r="CC176" s="204">
        <f t="shared" si="543"/>
        <v>93</v>
      </c>
      <c r="CD176" s="204">
        <f t="shared" si="543"/>
        <v>0</v>
      </c>
      <c r="CE176" s="316">
        <f t="shared" si="543"/>
        <v>0</v>
      </c>
      <c r="CF176" s="316">
        <f t="shared" si="543"/>
        <v>0</v>
      </c>
      <c r="CG176" s="316">
        <f t="shared" si="543"/>
        <v>0</v>
      </c>
      <c r="CH176" s="316">
        <f t="shared" si="543"/>
        <v>21</v>
      </c>
      <c r="CI176" s="316">
        <f t="shared" si="543"/>
        <v>360</v>
      </c>
      <c r="CJ176" s="316">
        <f t="shared" si="543"/>
        <v>290</v>
      </c>
      <c r="CK176" s="316">
        <f t="shared" si="543"/>
        <v>257</v>
      </c>
      <c r="CL176" s="316">
        <f t="shared" si="543"/>
        <v>-66</v>
      </c>
      <c r="CM176" s="316">
        <f t="shared" si="543"/>
        <v>-107</v>
      </c>
      <c r="CN176" s="316">
        <f t="shared" si="543"/>
        <v>101</v>
      </c>
      <c r="CO176" s="316">
        <f t="shared" si="543"/>
        <v>52</v>
      </c>
      <c r="CP176" s="316">
        <f t="shared" si="543"/>
        <v>1</v>
      </c>
      <c r="CQ176" s="316">
        <f t="shared" si="543"/>
        <v>0</v>
      </c>
      <c r="CR176" s="316">
        <f t="shared" si="543"/>
        <v>1</v>
      </c>
      <c r="CS176" s="316">
        <f t="shared" si="543"/>
        <v>2</v>
      </c>
      <c r="CT176" s="348"/>
      <c r="CU176" s="67">
        <f>'MONTHLY SUMMARIES'!H130</f>
        <v>2</v>
      </c>
      <c r="CV176" s="76"/>
    </row>
    <row r="177" spans="1:100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48"/>
      <c r="CU177" s="81">
        <f>CU176-CU178</f>
        <v>2</v>
      </c>
      <c r="CV177" s="76"/>
    </row>
    <row r="178" spans="1:100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48"/>
      <c r="CU178" s="67">
        <f>IF(ISERROR(GETPIVOTDATA("VALUE",'CRS ESCO pvt'!$I$2,"DATE_FILE",$CU$8,"COMPANY",$CU$6,"TRIM_CAT","Low Income Resdiential-ESCO","TRIM_LINE",A172))=TRUE,0,GETPIVOTDATA("VALUE",'CRS ESCO pvt'!$I$2,"DATE_FILE",$CU$8,"COMPANY",$CU$6,"TRIM_CAT","Low Income Resdiential-ESCO","TRIM_LINE",A172))</f>
        <v>0</v>
      </c>
      <c r="CV178" s="76"/>
    </row>
    <row r="179" spans="1:100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44">O179-C179</f>
        <v>-72</v>
      </c>
      <c r="BJ179" s="112">
        <f t="shared" si="544"/>
        <v>-94</v>
      </c>
      <c r="BK179" s="112">
        <f t="shared" si="544"/>
        <v>-82</v>
      </c>
      <c r="BL179" s="112">
        <f t="shared" si="544"/>
        <v>-68</v>
      </c>
      <c r="BM179" s="112">
        <f t="shared" si="544"/>
        <v>-90</v>
      </c>
      <c r="BN179" s="112">
        <f t="shared" si="544"/>
        <v>-63</v>
      </c>
      <c r="BO179" s="112">
        <f t="shared" si="544"/>
        <v>-59</v>
      </c>
      <c r="BP179" s="112">
        <f t="shared" si="544"/>
        <v>-44</v>
      </c>
      <c r="BQ179" s="112">
        <f t="shared" si="544"/>
        <v>-40</v>
      </c>
      <c r="BR179" s="112">
        <f t="shared" si="544"/>
        <v>13</v>
      </c>
      <c r="BS179" s="112">
        <f t="shared" ref="BS179:CB181" si="545">Y179-M179</f>
        <v>-33</v>
      </c>
      <c r="BT179" s="112">
        <f t="shared" si="545"/>
        <v>-40</v>
      </c>
      <c r="BU179" s="112">
        <f t="shared" si="545"/>
        <v>-3</v>
      </c>
      <c r="BV179" s="112">
        <f t="shared" si="545"/>
        <v>30</v>
      </c>
      <c r="BW179" s="112">
        <f t="shared" si="545"/>
        <v>24</v>
      </c>
      <c r="BX179" s="112">
        <f t="shared" si="545"/>
        <v>27</v>
      </c>
      <c r="BY179" s="112">
        <f t="shared" si="545"/>
        <v>16</v>
      </c>
      <c r="BZ179" s="112">
        <f t="shared" si="545"/>
        <v>13</v>
      </c>
      <c r="CA179" s="204">
        <f t="shared" si="545"/>
        <v>36</v>
      </c>
      <c r="CB179" s="204">
        <f t="shared" si="545"/>
        <v>55</v>
      </c>
      <c r="CC179" s="204">
        <f t="shared" ref="CC179:CL181" si="546">AI179-W179</f>
        <v>25</v>
      </c>
      <c r="CD179" s="204">
        <f t="shared" si="546"/>
        <v>2</v>
      </c>
      <c r="CE179" s="316">
        <f t="shared" si="546"/>
        <v>-9</v>
      </c>
      <c r="CF179" s="316">
        <f t="shared" si="546"/>
        <v>-4</v>
      </c>
      <c r="CG179" s="316">
        <f t="shared" si="546"/>
        <v>60</v>
      </c>
      <c r="CH179" s="316">
        <f t="shared" si="546"/>
        <v>117</v>
      </c>
      <c r="CI179" s="316">
        <f t="shared" si="546"/>
        <v>99</v>
      </c>
      <c r="CJ179" s="316">
        <f t="shared" si="546"/>
        <v>58</v>
      </c>
      <c r="CK179" s="316">
        <f t="shared" si="546"/>
        <v>95</v>
      </c>
      <c r="CL179" s="316">
        <f t="shared" si="546"/>
        <v>61</v>
      </c>
      <c r="CM179" s="316">
        <f t="shared" ref="CM179:CS181" si="547">AS179-AG179</f>
        <v>23</v>
      </c>
      <c r="CN179" s="316">
        <f t="shared" si="547"/>
        <v>-6</v>
      </c>
      <c r="CO179" s="316">
        <f t="shared" si="547"/>
        <v>-1</v>
      </c>
      <c r="CP179" s="316">
        <f t="shared" si="547"/>
        <v>2</v>
      </c>
      <c r="CQ179" s="316">
        <f t="shared" si="547"/>
        <v>21</v>
      </c>
      <c r="CR179" s="316">
        <f t="shared" si="547"/>
        <v>27</v>
      </c>
      <c r="CS179" s="316">
        <f t="shared" si="547"/>
        <v>-10</v>
      </c>
      <c r="CT179" s="348"/>
      <c r="CU179" s="67">
        <f>'MONTHLY SUMMARIES'!H131</f>
        <v>69</v>
      </c>
    </row>
    <row r="180" spans="1:100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44"/>
        <v>-25</v>
      </c>
      <c r="BJ180" s="112">
        <f t="shared" si="544"/>
        <v>-21</v>
      </c>
      <c r="BK180" s="112">
        <f t="shared" si="544"/>
        <v>-18</v>
      </c>
      <c r="BL180" s="112">
        <f t="shared" si="544"/>
        <v>-14</v>
      </c>
      <c r="BM180" s="112">
        <f t="shared" si="544"/>
        <v>-12</v>
      </c>
      <c r="BN180" s="112">
        <f t="shared" si="544"/>
        <v>-16</v>
      </c>
      <c r="BO180" s="112">
        <f t="shared" si="544"/>
        <v>-15</v>
      </c>
      <c r="BP180" s="112">
        <f t="shared" si="544"/>
        <v>-10</v>
      </c>
      <c r="BQ180" s="112">
        <f t="shared" si="544"/>
        <v>-6</v>
      </c>
      <c r="BR180" s="112">
        <f t="shared" si="544"/>
        <v>4</v>
      </c>
      <c r="BS180" s="112">
        <f t="shared" si="545"/>
        <v>-8</v>
      </c>
      <c r="BT180" s="112">
        <f t="shared" si="545"/>
        <v>-5</v>
      </c>
      <c r="BU180" s="112">
        <f t="shared" si="545"/>
        <v>-1</v>
      </c>
      <c r="BV180" s="112">
        <f t="shared" si="545"/>
        <v>8</v>
      </c>
      <c r="BW180" s="112">
        <f t="shared" si="545"/>
        <v>4</v>
      </c>
      <c r="BX180" s="112">
        <f t="shared" si="545"/>
        <v>10</v>
      </c>
      <c r="BY180" s="112">
        <f t="shared" si="545"/>
        <v>6</v>
      </c>
      <c r="BZ180" s="112">
        <f t="shared" si="545"/>
        <v>3</v>
      </c>
      <c r="CA180" s="204">
        <f t="shared" si="545"/>
        <v>11</v>
      </c>
      <c r="CB180" s="204">
        <f t="shared" si="545"/>
        <v>15</v>
      </c>
      <c r="CC180" s="204">
        <f t="shared" si="546"/>
        <v>8</v>
      </c>
      <c r="CD180" s="204">
        <f t="shared" si="546"/>
        <v>0</v>
      </c>
      <c r="CE180" s="316">
        <f t="shared" si="546"/>
        <v>-4</v>
      </c>
      <c r="CF180" s="316">
        <f t="shared" si="546"/>
        <v>-2</v>
      </c>
      <c r="CG180" s="316">
        <f t="shared" si="546"/>
        <v>21</v>
      </c>
      <c r="CH180" s="316">
        <f t="shared" si="546"/>
        <v>16</v>
      </c>
      <c r="CI180" s="316">
        <f t="shared" si="546"/>
        <v>17</v>
      </c>
      <c r="CJ180" s="316">
        <f t="shared" si="546"/>
        <v>9</v>
      </c>
      <c r="CK180" s="316">
        <f t="shared" si="546"/>
        <v>7</v>
      </c>
      <c r="CL180" s="316">
        <f t="shared" si="546"/>
        <v>13</v>
      </c>
      <c r="CM180" s="316">
        <f t="shared" si="547"/>
        <v>-5</v>
      </c>
      <c r="CN180" s="316">
        <f t="shared" si="547"/>
        <v>-3</v>
      </c>
      <c r="CO180" s="316">
        <f t="shared" si="547"/>
        <v>2</v>
      </c>
      <c r="CP180" s="316">
        <f t="shared" si="547"/>
        <v>-3</v>
      </c>
      <c r="CQ180" s="316">
        <f t="shared" si="547"/>
        <v>6</v>
      </c>
      <c r="CR180" s="316">
        <f t="shared" si="547"/>
        <v>6</v>
      </c>
      <c r="CS180" s="316">
        <f t="shared" si="547"/>
        <v>-4</v>
      </c>
      <c r="CT180" s="348"/>
      <c r="CU180" s="67">
        <f>'MONTHLY SUMMARIES'!H132</f>
        <v>21</v>
      </c>
    </row>
    <row r="181" spans="1:10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44"/>
        <v>0</v>
      </c>
      <c r="BJ181" s="112">
        <f t="shared" si="544"/>
        <v>0</v>
      </c>
      <c r="BK181" s="112">
        <f t="shared" si="544"/>
        <v>0</v>
      </c>
      <c r="BL181" s="112">
        <f t="shared" si="544"/>
        <v>0</v>
      </c>
      <c r="BM181" s="112">
        <f t="shared" si="544"/>
        <v>0</v>
      </c>
      <c r="BN181" s="112">
        <f t="shared" si="544"/>
        <v>0</v>
      </c>
      <c r="BO181" s="112">
        <f t="shared" si="544"/>
        <v>0</v>
      </c>
      <c r="BP181" s="112">
        <f t="shared" si="544"/>
        <v>0</v>
      </c>
      <c r="BQ181" s="112">
        <f t="shared" si="544"/>
        <v>0</v>
      </c>
      <c r="BR181" s="112">
        <f t="shared" si="544"/>
        <v>2</v>
      </c>
      <c r="BS181" s="112">
        <f t="shared" si="545"/>
        <v>5</v>
      </c>
      <c r="BT181" s="112">
        <f t="shared" si="545"/>
        <v>2</v>
      </c>
      <c r="BU181" s="112">
        <f t="shared" si="545"/>
        <v>2</v>
      </c>
      <c r="BV181" s="112">
        <f t="shared" si="545"/>
        <v>5</v>
      </c>
      <c r="BW181" s="112">
        <f t="shared" si="545"/>
        <v>2</v>
      </c>
      <c r="BX181" s="112">
        <f t="shared" si="545"/>
        <v>3</v>
      </c>
      <c r="BY181" s="112">
        <f t="shared" si="545"/>
        <v>5</v>
      </c>
      <c r="BZ181" s="112">
        <f t="shared" si="545"/>
        <v>3</v>
      </c>
      <c r="CA181" s="204">
        <f t="shared" si="545"/>
        <v>2</v>
      </c>
      <c r="CB181" s="204">
        <f t="shared" si="545"/>
        <v>5</v>
      </c>
      <c r="CC181" s="204">
        <f t="shared" si="546"/>
        <v>3</v>
      </c>
      <c r="CD181" s="204">
        <f t="shared" si="546"/>
        <v>3</v>
      </c>
      <c r="CE181" s="316">
        <f t="shared" si="546"/>
        <v>-5</v>
      </c>
      <c r="CF181" s="316">
        <f t="shared" si="546"/>
        <v>-2</v>
      </c>
      <c r="CG181" s="316">
        <f t="shared" si="546"/>
        <v>6</v>
      </c>
      <c r="CH181" s="316">
        <f t="shared" si="546"/>
        <v>8</v>
      </c>
      <c r="CI181" s="316">
        <f t="shared" si="546"/>
        <v>9</v>
      </c>
      <c r="CJ181" s="316">
        <f t="shared" si="546"/>
        <v>4</v>
      </c>
      <c r="CK181" s="316">
        <f t="shared" si="546"/>
        <v>-1</v>
      </c>
      <c r="CL181" s="316">
        <f t="shared" si="546"/>
        <v>-1</v>
      </c>
      <c r="CM181" s="316">
        <f t="shared" si="547"/>
        <v>2</v>
      </c>
      <c r="CN181" s="316">
        <f t="shared" si="547"/>
        <v>-1</v>
      </c>
      <c r="CO181" s="316">
        <f t="shared" si="547"/>
        <v>-1</v>
      </c>
      <c r="CP181" s="316">
        <f t="shared" si="547"/>
        <v>-3</v>
      </c>
      <c r="CQ181" s="316">
        <f t="shared" si="547"/>
        <v>0</v>
      </c>
      <c r="CR181" s="316">
        <f t="shared" si="547"/>
        <v>1</v>
      </c>
      <c r="CS181" s="316">
        <f t="shared" si="547"/>
        <v>3</v>
      </c>
      <c r="CT181" s="348"/>
      <c r="CU181" s="67">
        <f>'MONTHLY SUMMARIES'!H133</f>
        <v>11</v>
      </c>
    </row>
    <row r="182" spans="1:100" s="76" customFormat="1" x14ac:dyDescent="0.3">
      <c r="A182" s="151"/>
      <c r="B182" s="63" t="s">
        <v>42</v>
      </c>
      <c r="C182" s="121">
        <f t="shared" ref="C182:V182" si="548">SUM(C173:C181)</f>
        <v>289</v>
      </c>
      <c r="D182" s="122">
        <f t="shared" si="548"/>
        <v>333</v>
      </c>
      <c r="E182" s="122">
        <f t="shared" si="548"/>
        <v>784</v>
      </c>
      <c r="F182" s="122">
        <f t="shared" si="548"/>
        <v>714</v>
      </c>
      <c r="G182" s="122">
        <f t="shared" si="548"/>
        <v>805</v>
      </c>
      <c r="H182" s="123">
        <f t="shared" si="548"/>
        <v>914</v>
      </c>
      <c r="I182" s="122">
        <f t="shared" si="548"/>
        <v>1056</v>
      </c>
      <c r="J182" s="123">
        <f t="shared" si="548"/>
        <v>1167</v>
      </c>
      <c r="K182" s="122">
        <f t="shared" si="548"/>
        <v>181</v>
      </c>
      <c r="L182" s="124">
        <f t="shared" si="548"/>
        <v>24</v>
      </c>
      <c r="M182" s="123">
        <f t="shared" si="548"/>
        <v>233</v>
      </c>
      <c r="N182" s="127">
        <f t="shared" si="548"/>
        <v>237</v>
      </c>
      <c r="O182" s="127">
        <f t="shared" si="548"/>
        <v>146</v>
      </c>
      <c r="P182" s="127">
        <f t="shared" si="548"/>
        <v>0</v>
      </c>
      <c r="Q182" s="127">
        <f t="shared" si="548"/>
        <v>0</v>
      </c>
      <c r="R182" s="127">
        <f t="shared" si="548"/>
        <v>0</v>
      </c>
      <c r="S182" s="127">
        <f t="shared" si="548"/>
        <v>0</v>
      </c>
      <c r="T182" s="127">
        <f t="shared" si="548"/>
        <v>0</v>
      </c>
      <c r="U182" s="127">
        <f t="shared" si="548"/>
        <v>0</v>
      </c>
      <c r="V182" s="127">
        <f t="shared" si="548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549">SUM(Y173+Y176+Y179+Y180+Y181)</f>
        <v>18</v>
      </c>
      <c r="Z182" s="205">
        <f t="shared" si="549"/>
        <v>8</v>
      </c>
      <c r="AA182" s="205">
        <f t="shared" si="549"/>
        <v>25</v>
      </c>
      <c r="AB182" s="205">
        <f t="shared" si="549"/>
        <v>43</v>
      </c>
      <c r="AC182" s="205">
        <f t="shared" si="549"/>
        <v>30</v>
      </c>
      <c r="AD182" s="205">
        <f t="shared" si="549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-143</v>
      </c>
      <c r="BJ182" s="123">
        <f t="shared" ref="BJ182:BK182" si="550">SUM(BJ173:BJ181)</f>
        <v>-333</v>
      </c>
      <c r="BK182" s="123">
        <f t="shared" si="550"/>
        <v>-784</v>
      </c>
      <c r="BL182" s="123">
        <f t="shared" ref="BL182:BM182" si="551">SUM(BL173:BL181)</f>
        <v>-714</v>
      </c>
      <c r="BM182" s="123">
        <f t="shared" si="551"/>
        <v>-805</v>
      </c>
      <c r="BN182" s="123">
        <f t="shared" ref="BN182:BO182" si="552">SUM(BN173:BN181)</f>
        <v>-914</v>
      </c>
      <c r="BO182" s="123">
        <f t="shared" si="552"/>
        <v>-1056</v>
      </c>
      <c r="BP182" s="123">
        <f t="shared" ref="BP182:BQ182" si="553">SUM(BP173:BP181)</f>
        <v>-1167</v>
      </c>
      <c r="BQ182" s="123">
        <f t="shared" si="553"/>
        <v>-177</v>
      </c>
      <c r="BR182" s="123">
        <f t="shared" ref="BR182:BS182" si="554">SUM(BR173:BR181)</f>
        <v>0</v>
      </c>
      <c r="BS182" s="123">
        <f t="shared" si="554"/>
        <v>-215</v>
      </c>
      <c r="BT182" s="123">
        <f t="shared" ref="BT182:BU182" si="555">SUM(BT173:BT181)</f>
        <v>-229</v>
      </c>
      <c r="BU182" s="123">
        <f t="shared" si="555"/>
        <v>-121</v>
      </c>
      <c r="BV182" s="123">
        <f t="shared" ref="BV182:BW182" si="556">SUM(BV173:BV181)</f>
        <v>43</v>
      </c>
      <c r="BW182" s="123">
        <f t="shared" si="556"/>
        <v>30</v>
      </c>
      <c r="BX182" s="123">
        <f t="shared" ref="BX182:BY182" si="557">SUM(BX173:BX181)</f>
        <v>40</v>
      </c>
      <c r="BY182" s="123">
        <f t="shared" si="557"/>
        <v>515</v>
      </c>
      <c r="BZ182" s="123">
        <f t="shared" ref="BZ182:CA182" si="558">SUM(BZ173:BZ181)</f>
        <v>983</v>
      </c>
      <c r="CA182" s="205">
        <f t="shared" si="558"/>
        <v>1100</v>
      </c>
      <c r="CB182" s="205">
        <f t="shared" ref="CB182:CC182" si="559">SUM(CB173:CB181)</f>
        <v>792</v>
      </c>
      <c r="CC182" s="205">
        <f t="shared" si="559"/>
        <v>375</v>
      </c>
      <c r="CD182" s="205">
        <f t="shared" ref="CD182:CE182" si="560">SUM(CD173:CD181)</f>
        <v>15</v>
      </c>
      <c r="CE182" s="317">
        <f t="shared" si="560"/>
        <v>-18</v>
      </c>
      <c r="CF182" s="317">
        <f t="shared" ref="CF182:CG182" si="561">SUM(CF173:CF181)</f>
        <v>-7</v>
      </c>
      <c r="CG182" s="317">
        <f t="shared" si="561"/>
        <v>96</v>
      </c>
      <c r="CH182" s="317">
        <f t="shared" ref="CH182:CI182" si="562">SUM(CH173:CH181)</f>
        <v>277</v>
      </c>
      <c r="CI182" s="317">
        <f t="shared" si="562"/>
        <v>1341</v>
      </c>
      <c r="CJ182" s="317">
        <f t="shared" ref="CJ182" si="563">SUM(CJ173:CJ181)</f>
        <v>1154</v>
      </c>
      <c r="CK182" s="317">
        <f t="shared" ref="CK182" si="564">SUM(CK173:CK181)</f>
        <v>571</v>
      </c>
      <c r="CL182" s="317">
        <f t="shared" ref="CL182" si="565">SUM(CL173:CL181)</f>
        <v>-40</v>
      </c>
      <c r="CM182" s="317">
        <f t="shared" ref="CM182" si="566">SUM(CM173:CM181)</f>
        <v>-157</v>
      </c>
      <c r="CN182" s="317">
        <f t="shared" ref="CN182" si="567">SUM(CN173:CN181)</f>
        <v>144</v>
      </c>
      <c r="CO182" s="317">
        <f t="shared" ref="CO182" si="568">SUM(CO173:CO181)</f>
        <v>-27</v>
      </c>
      <c r="CP182" s="317">
        <f t="shared" ref="CP182" si="569">SUM(CP173:CP181)</f>
        <v>29</v>
      </c>
      <c r="CQ182" s="317">
        <f t="shared" ref="CQ182:CS182" si="570">SUM(CQ173:CQ181)</f>
        <v>56</v>
      </c>
      <c r="CR182" s="317">
        <f t="shared" ref="CR182:CS182" si="571">SUM(CR173:CR181)</f>
        <v>76</v>
      </c>
      <c r="CS182" s="317">
        <f t="shared" si="571"/>
        <v>93</v>
      </c>
      <c r="CT182" s="349"/>
      <c r="CU182" s="262">
        <f>CU173+CU176+CU179+CU180+CU181</f>
        <v>214</v>
      </c>
    </row>
    <row r="183" spans="1:100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48"/>
      <c r="CU183" s="93"/>
    </row>
    <row r="184" spans="1:10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48"/>
      <c r="CU184" s="67">
        <f>'MONTHLY SUMMARIES'!H136</f>
        <v>29</v>
      </c>
      <c r="CV184" s="204"/>
    </row>
    <row r="185" spans="1:100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48"/>
      <c r="CU185" s="81">
        <f>CU184-CU186</f>
        <v>29</v>
      </c>
      <c r="CV185" s="204"/>
    </row>
    <row r="186" spans="1:100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48"/>
      <c r="CU186" s="67">
        <f>IF(ISERROR(GETPIVOTDATA("VALUE",'CRS ESCO pvt'!$I$2,"DATE_FILE",$CU$8,"COMPANY",$CU$6,"TRIM_CAT","Resdiential-ESCO","TRIM_LINE",99))=TRUE,0,GETPIVOTDATA("VALUE",'CRS ESCO pvt'!$I$2,"DATE_FILE",$CU$8,"COMPANY",$CU$6,"TRIM_CAT","Resdiential-ESCO","TRIM_LINE",99))</f>
        <v>0</v>
      </c>
      <c r="CV186" s="204"/>
    </row>
    <row r="187" spans="1:10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48"/>
      <c r="CU187" s="67">
        <f>'MONTHLY SUMMARIES'!H137</f>
        <v>2</v>
      </c>
      <c r="CV187" s="204"/>
    </row>
    <row r="188" spans="1:100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48"/>
      <c r="CU188" s="81">
        <f>CU187-CU189</f>
        <v>1</v>
      </c>
      <c r="CV188" s="204"/>
    </row>
    <row r="189" spans="1:100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48"/>
      <c r="CU189" s="67">
        <f>IF(ISERROR(GETPIVOTDATA("VALUE",'CRS ESCO pvt'!$I$2,"DATE_FILE",$CU$8,"COMPANY",$CU$6,"TRIM_CAT","Low Income Resdiential-ESCO","TRIM_LINE",99))=TRUE,0,GETPIVOTDATA("VALUE",'CRS ESCO pvt'!$I$2,"DATE_FILE",$CU$8,"COMPANY",$CU$6,"TRIM_CAT","Low Income Resdiential-ESCO","TRIM_LINE",99))</f>
        <v>1</v>
      </c>
      <c r="CV189" s="204"/>
    </row>
    <row r="190" spans="1:10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48"/>
      <c r="CU190" s="67">
        <f>'MONTHLY SUMMARIES'!H138</f>
        <v>21</v>
      </c>
    </row>
    <row r="191" spans="1:10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48"/>
      <c r="CU191" s="67">
        <f>'MONTHLY SUMMARIES'!H139</f>
        <v>4</v>
      </c>
    </row>
    <row r="192" spans="1:10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48"/>
      <c r="CU192" s="67">
        <f>'MONTHLY SUMMARIES'!H140</f>
        <v>4</v>
      </c>
    </row>
    <row r="193" spans="1:9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49"/>
      <c r="CU193" s="262">
        <f>CU184+CU187+CU190+CU191+CU192</f>
        <v>60</v>
      </c>
    </row>
    <row r="194" spans="1:9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48"/>
      <c r="CU194" s="93"/>
    </row>
    <row r="195" spans="1:99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S195" si="572">O195-C195</f>
        <v>-2338</v>
      </c>
      <c r="BJ195" s="112">
        <f t="shared" si="572"/>
        <v>-4679</v>
      </c>
      <c r="BK195" s="112">
        <f t="shared" si="572"/>
        <v>-8737</v>
      </c>
      <c r="BL195" s="112">
        <f t="shared" si="572"/>
        <v>-9360</v>
      </c>
      <c r="BM195" s="112">
        <f t="shared" si="572"/>
        <v>-9101</v>
      </c>
      <c r="BN195" s="112">
        <f t="shared" si="572"/>
        <v>-8444</v>
      </c>
      <c r="BO195" s="112">
        <f t="shared" si="572"/>
        <v>-7810</v>
      </c>
      <c r="BP195" s="112">
        <f t="shared" si="572"/>
        <v>-7259</v>
      </c>
      <c r="BQ195" s="112">
        <f t="shared" si="572"/>
        <v>-5581</v>
      </c>
      <c r="BR195" s="112">
        <f t="shared" si="572"/>
        <v>-3710</v>
      </c>
      <c r="BS195" s="112">
        <f t="shared" si="572"/>
        <v>-1925</v>
      </c>
      <c r="BT195" s="112">
        <f t="shared" si="572"/>
        <v>-1298</v>
      </c>
      <c r="BU195" s="112">
        <f t="shared" si="572"/>
        <v>-602</v>
      </c>
      <c r="BV195" s="112">
        <f t="shared" si="572"/>
        <v>613</v>
      </c>
      <c r="BW195" s="112">
        <f t="shared" si="572"/>
        <v>2132</v>
      </c>
      <c r="BX195" s="112">
        <f t="shared" si="572"/>
        <v>4226</v>
      </c>
      <c r="BY195" s="112">
        <f t="shared" si="572"/>
        <v>8347</v>
      </c>
      <c r="BZ195" s="112">
        <f t="shared" si="572"/>
        <v>9770</v>
      </c>
      <c r="CA195" s="204">
        <f t="shared" si="572"/>
        <v>9980</v>
      </c>
      <c r="CB195" s="204">
        <f t="shared" si="572"/>
        <v>9754</v>
      </c>
      <c r="CC195" s="204">
        <f t="shared" si="572"/>
        <v>8852</v>
      </c>
      <c r="CD195" s="204">
        <f t="shared" si="572"/>
        <v>7439</v>
      </c>
      <c r="CE195" s="316">
        <f t="shared" si="572"/>
        <v>6191</v>
      </c>
      <c r="CF195" s="316">
        <f t="shared" si="572"/>
        <v>5397</v>
      </c>
      <c r="CG195" s="316">
        <f t="shared" si="572"/>
        <v>5228</v>
      </c>
      <c r="CH195" s="316">
        <f t="shared" si="572"/>
        <v>5466</v>
      </c>
      <c r="CI195" s="316">
        <f t="shared" si="572"/>
        <v>5603</v>
      </c>
      <c r="CJ195" s="316">
        <f t="shared" si="572"/>
        <v>3580</v>
      </c>
      <c r="CK195" s="316">
        <f t="shared" si="572"/>
        <v>-804</v>
      </c>
      <c r="CL195" s="316">
        <f t="shared" si="572"/>
        <v>-2233</v>
      </c>
      <c r="CM195" s="316">
        <f t="shared" si="572"/>
        <v>-2577</v>
      </c>
      <c r="CN195" s="316">
        <f t="shared" si="572"/>
        <v>-2780</v>
      </c>
      <c r="CO195" s="316">
        <f t="shared" si="572"/>
        <v>-2972</v>
      </c>
      <c r="CP195" s="316">
        <f t="shared" si="572"/>
        <v>-3020</v>
      </c>
      <c r="CQ195" s="316">
        <f t="shared" si="572"/>
        <v>-2883</v>
      </c>
      <c r="CR195" s="316">
        <f t="shared" si="572"/>
        <v>-2502</v>
      </c>
      <c r="CS195" s="316">
        <f t="shared" si="572"/>
        <v>-2351</v>
      </c>
      <c r="CT195" s="348"/>
      <c r="CU195" s="67">
        <f>'MONTHLY SUMMARIES'!H143</f>
        <v>5734</v>
      </c>
    </row>
    <row r="196" spans="1:99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48"/>
      <c r="CU196" s="81">
        <f>CU195-CU197</f>
        <v>5695</v>
      </c>
    </row>
    <row r="197" spans="1:99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48"/>
      <c r="CU197" s="67">
        <f>IF(ISERROR(GETPIVOTDATA("VALUE",'CRS ESCO pvt'!$I$2,"DATE_FILE",$CU$8,"COMPANY",$CU$6,"TRIM_CAT","Resdiential-ESCO","TRIM_LINE",A194))=TRUE,0,GETPIVOTDATA("VALUE",'CRS ESCO pvt'!$I$2,"DATE_FILE",$CU$8,"COMPANY",$CU$6,"TRIM_CAT","Resdiential-ESCO","TRIM_LINE",A194))</f>
        <v>39</v>
      </c>
    </row>
    <row r="198" spans="1:99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S198" si="573">O198-C198</f>
        <v>-288</v>
      </c>
      <c r="BJ198" s="112">
        <f t="shared" si="573"/>
        <v>-910</v>
      </c>
      <c r="BK198" s="112">
        <f t="shared" si="573"/>
        <v>-1994</v>
      </c>
      <c r="BL198" s="112">
        <f t="shared" si="573"/>
        <v>-2283</v>
      </c>
      <c r="BM198" s="112">
        <f t="shared" si="573"/>
        <v>-2316</v>
      </c>
      <c r="BN198" s="112">
        <f t="shared" si="573"/>
        <v>-2390</v>
      </c>
      <c r="BO198" s="112">
        <f t="shared" si="573"/>
        <v>-2438</v>
      </c>
      <c r="BP198" s="112">
        <f t="shared" si="573"/>
        <v>-2506</v>
      </c>
      <c r="BQ198" s="112">
        <f t="shared" si="573"/>
        <v>-2072</v>
      </c>
      <c r="BR198" s="112">
        <f t="shared" si="573"/>
        <v>-1447</v>
      </c>
      <c r="BS198" s="112">
        <f t="shared" si="573"/>
        <v>-787</v>
      </c>
      <c r="BT198" s="112">
        <f t="shared" si="573"/>
        <v>-469</v>
      </c>
      <c r="BU198" s="112">
        <f t="shared" si="573"/>
        <v>-280</v>
      </c>
      <c r="BV198" s="112">
        <f t="shared" si="573"/>
        <v>40</v>
      </c>
      <c r="BW198" s="112">
        <f t="shared" si="573"/>
        <v>508</v>
      </c>
      <c r="BX198" s="112">
        <f t="shared" si="573"/>
        <v>1157</v>
      </c>
      <c r="BY198" s="112">
        <f t="shared" si="573"/>
        <v>2383</v>
      </c>
      <c r="BZ198" s="112">
        <f t="shared" si="573"/>
        <v>3121</v>
      </c>
      <c r="CA198" s="204">
        <f t="shared" si="573"/>
        <v>3607</v>
      </c>
      <c r="CB198" s="204">
        <f t="shared" si="573"/>
        <v>3811</v>
      </c>
      <c r="CC198" s="204">
        <f t="shared" si="573"/>
        <v>3482</v>
      </c>
      <c r="CD198" s="204">
        <f t="shared" si="573"/>
        <v>2910</v>
      </c>
      <c r="CE198" s="316">
        <f t="shared" si="573"/>
        <v>2439</v>
      </c>
      <c r="CF198" s="316">
        <f t="shared" si="573"/>
        <v>2017</v>
      </c>
      <c r="CG198" s="316">
        <f t="shared" si="573"/>
        <v>1877</v>
      </c>
      <c r="CH198" s="316">
        <f t="shared" si="573"/>
        <v>1985</v>
      </c>
      <c r="CI198" s="316">
        <f t="shared" si="573"/>
        <v>2125</v>
      </c>
      <c r="CJ198" s="316">
        <f t="shared" si="573"/>
        <v>1612</v>
      </c>
      <c r="CK198" s="316">
        <f t="shared" si="573"/>
        <v>372</v>
      </c>
      <c r="CL198" s="316">
        <f t="shared" si="573"/>
        <v>-28</v>
      </c>
      <c r="CM198" s="316">
        <f t="shared" si="573"/>
        <v>-491</v>
      </c>
      <c r="CN198" s="316">
        <f t="shared" si="573"/>
        <v>-574</v>
      </c>
      <c r="CO198" s="316">
        <f t="shared" si="573"/>
        <v>-619</v>
      </c>
      <c r="CP198" s="316">
        <f t="shared" si="573"/>
        <v>-675</v>
      </c>
      <c r="CQ198" s="316">
        <f t="shared" si="573"/>
        <v>-582</v>
      </c>
      <c r="CR198" s="316">
        <f t="shared" si="573"/>
        <v>-562</v>
      </c>
      <c r="CS198" s="316">
        <f t="shared" si="573"/>
        <v>-330</v>
      </c>
      <c r="CT198" s="348"/>
      <c r="CU198" s="67">
        <f>'MONTHLY SUMMARIES'!H144</f>
        <v>2482</v>
      </c>
    </row>
    <row r="199" spans="1:99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48"/>
      <c r="CU199" s="81">
        <f>CU198-CU200</f>
        <v>2470</v>
      </c>
    </row>
    <row r="200" spans="1:99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48"/>
      <c r="CU200" s="67">
        <f>IF(ISERROR(GETPIVOTDATA("VALUE",'CRS ESCO pvt'!$I$2,"DATE_FILE",$CU$8,"COMPANY",$CU$6,"TRIM_CAT","Low Income Resdiential-ESCO","TRIM_LINE",A194))=TRUE,0,GETPIVOTDATA("VALUE",'CRS ESCO pvt'!$I$2,"DATE_FILE",$CU$8,"COMPANY",$CU$6,"TRIM_CAT","Low Income Resdiential-ESCO","TRIM_LINE",A194))</f>
        <v>12</v>
      </c>
    </row>
    <row r="201" spans="1:99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74">O201-C201</f>
        <v>-74</v>
      </c>
      <c r="BJ201" s="112">
        <f t="shared" si="574"/>
        <v>-98</v>
      </c>
      <c r="BK201" s="112">
        <f t="shared" si="574"/>
        <v>-136</v>
      </c>
      <c r="BL201" s="112">
        <f t="shared" si="574"/>
        <v>-132</v>
      </c>
      <c r="BM201" s="112">
        <f t="shared" si="574"/>
        <v>-87</v>
      </c>
      <c r="BN201" s="112">
        <f t="shared" si="574"/>
        <v>3</v>
      </c>
      <c r="BO201" s="112">
        <f t="shared" si="574"/>
        <v>12</v>
      </c>
      <c r="BP201" s="112">
        <f t="shared" si="574"/>
        <v>44</v>
      </c>
      <c r="BQ201" s="112">
        <f t="shared" si="574"/>
        <v>130</v>
      </c>
      <c r="BR201" s="112">
        <f t="shared" si="574"/>
        <v>167</v>
      </c>
      <c r="BS201" s="112">
        <f t="shared" ref="BS201:CB203" si="575">Y201-M201</f>
        <v>181</v>
      </c>
      <c r="BT201" s="112">
        <f t="shared" si="575"/>
        <v>169</v>
      </c>
      <c r="BU201" s="112">
        <f t="shared" si="575"/>
        <v>166</v>
      </c>
      <c r="BV201" s="112">
        <f t="shared" si="575"/>
        <v>161</v>
      </c>
      <c r="BW201" s="112">
        <f t="shared" si="575"/>
        <v>161</v>
      </c>
      <c r="BX201" s="112">
        <f t="shared" si="575"/>
        <v>157</v>
      </c>
      <c r="BY201" s="112">
        <f t="shared" si="575"/>
        <v>142</v>
      </c>
      <c r="BZ201" s="112">
        <f t="shared" si="575"/>
        <v>107</v>
      </c>
      <c r="CA201" s="204">
        <f t="shared" si="575"/>
        <v>131</v>
      </c>
      <c r="CB201" s="204">
        <f t="shared" si="575"/>
        <v>125</v>
      </c>
      <c r="CC201" s="204">
        <f t="shared" ref="CC201:CL203" si="576">AI201-W201</f>
        <v>49</v>
      </c>
      <c r="CD201" s="204">
        <f t="shared" si="576"/>
        <v>28</v>
      </c>
      <c r="CE201" s="316">
        <f t="shared" si="576"/>
        <v>0</v>
      </c>
      <c r="CF201" s="316">
        <f t="shared" si="576"/>
        <v>-14</v>
      </c>
      <c r="CG201" s="316">
        <f t="shared" si="576"/>
        <v>22</v>
      </c>
      <c r="CH201" s="316">
        <f t="shared" si="576"/>
        <v>61</v>
      </c>
      <c r="CI201" s="316">
        <f t="shared" si="576"/>
        <v>74</v>
      </c>
      <c r="CJ201" s="316">
        <f t="shared" si="576"/>
        <v>43</v>
      </c>
      <c r="CK201" s="316">
        <f t="shared" si="576"/>
        <v>-18</v>
      </c>
      <c r="CL201" s="316">
        <f t="shared" si="576"/>
        <v>-55</v>
      </c>
      <c r="CM201" s="316">
        <f t="shared" ref="CM201:CS203" si="577">AS201-AG201</f>
        <v>-88</v>
      </c>
      <c r="CN201" s="316">
        <f t="shared" si="577"/>
        <v>-139</v>
      </c>
      <c r="CO201" s="316">
        <f t="shared" si="577"/>
        <v>-130</v>
      </c>
      <c r="CP201" s="316">
        <f t="shared" si="577"/>
        <v>-160</v>
      </c>
      <c r="CQ201" s="316">
        <f t="shared" si="577"/>
        <v>-118</v>
      </c>
      <c r="CR201" s="316">
        <f t="shared" si="577"/>
        <v>-71</v>
      </c>
      <c r="CS201" s="316">
        <f t="shared" si="577"/>
        <v>-86</v>
      </c>
      <c r="CT201" s="348"/>
      <c r="CU201" s="67">
        <f>'MONTHLY SUMMARIES'!H145</f>
        <v>193</v>
      </c>
    </row>
    <row r="202" spans="1:99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74"/>
        <v>-25</v>
      </c>
      <c r="BJ202" s="112">
        <f t="shared" si="574"/>
        <v>-39</v>
      </c>
      <c r="BK202" s="112">
        <f t="shared" si="574"/>
        <v>-44</v>
      </c>
      <c r="BL202" s="112">
        <f t="shared" si="574"/>
        <v>-35</v>
      </c>
      <c r="BM202" s="112">
        <f t="shared" si="574"/>
        <v>-16</v>
      </c>
      <c r="BN202" s="112">
        <f t="shared" si="574"/>
        <v>-14</v>
      </c>
      <c r="BO202" s="112">
        <f t="shared" si="574"/>
        <v>5</v>
      </c>
      <c r="BP202" s="112">
        <f t="shared" si="574"/>
        <v>23</v>
      </c>
      <c r="BQ202" s="112">
        <f t="shared" si="574"/>
        <v>45</v>
      </c>
      <c r="BR202" s="112">
        <f t="shared" si="574"/>
        <v>50</v>
      </c>
      <c r="BS202" s="112">
        <f t="shared" si="575"/>
        <v>54</v>
      </c>
      <c r="BT202" s="112">
        <f t="shared" si="575"/>
        <v>50</v>
      </c>
      <c r="BU202" s="112">
        <f t="shared" si="575"/>
        <v>50</v>
      </c>
      <c r="BV202" s="112">
        <f t="shared" si="575"/>
        <v>48</v>
      </c>
      <c r="BW202" s="112">
        <f t="shared" si="575"/>
        <v>45</v>
      </c>
      <c r="BX202" s="112">
        <f t="shared" si="575"/>
        <v>48</v>
      </c>
      <c r="BY202" s="112">
        <f t="shared" si="575"/>
        <v>55</v>
      </c>
      <c r="BZ202" s="112">
        <f t="shared" si="575"/>
        <v>63</v>
      </c>
      <c r="CA202" s="204">
        <f t="shared" si="575"/>
        <v>46</v>
      </c>
      <c r="CB202" s="204">
        <f t="shared" si="575"/>
        <v>32</v>
      </c>
      <c r="CC202" s="204">
        <f t="shared" si="576"/>
        <v>18</v>
      </c>
      <c r="CD202" s="204">
        <f t="shared" si="576"/>
        <v>10</v>
      </c>
      <c r="CE202" s="316">
        <f t="shared" si="576"/>
        <v>-2</v>
      </c>
      <c r="CF202" s="316">
        <f t="shared" si="576"/>
        <v>-12</v>
      </c>
      <c r="CG202" s="316">
        <f t="shared" si="576"/>
        <v>-3</v>
      </c>
      <c r="CH202" s="316">
        <f t="shared" si="576"/>
        <v>15</v>
      </c>
      <c r="CI202" s="316">
        <f t="shared" si="576"/>
        <v>14</v>
      </c>
      <c r="CJ202" s="316">
        <f t="shared" si="576"/>
        <v>8</v>
      </c>
      <c r="CK202" s="316">
        <f t="shared" si="576"/>
        <v>-11</v>
      </c>
      <c r="CL202" s="316">
        <f t="shared" si="576"/>
        <v>-21</v>
      </c>
      <c r="CM202" s="316">
        <f t="shared" si="577"/>
        <v>-27</v>
      </c>
      <c r="CN202" s="316">
        <f t="shared" si="577"/>
        <v>-43</v>
      </c>
      <c r="CO202" s="316">
        <f t="shared" si="577"/>
        <v>-53</v>
      </c>
      <c r="CP202" s="316">
        <f t="shared" si="577"/>
        <v>-49</v>
      </c>
      <c r="CQ202" s="316">
        <f t="shared" si="577"/>
        <v>-35</v>
      </c>
      <c r="CR202" s="316">
        <f t="shared" si="577"/>
        <v>-34</v>
      </c>
      <c r="CS202" s="316">
        <f t="shared" si="577"/>
        <v>-26</v>
      </c>
      <c r="CT202" s="348"/>
      <c r="CU202" s="67">
        <f>'MONTHLY SUMMARIES'!H146</f>
        <v>57</v>
      </c>
    </row>
    <row r="203" spans="1:99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74"/>
        <v>-2</v>
      </c>
      <c r="BJ203" s="112">
        <f t="shared" si="574"/>
        <v>-4</v>
      </c>
      <c r="BK203" s="112">
        <f t="shared" si="574"/>
        <v>-8</v>
      </c>
      <c r="BL203" s="112">
        <f t="shared" si="574"/>
        <v>-10</v>
      </c>
      <c r="BM203" s="112">
        <f t="shared" si="574"/>
        <v>-4</v>
      </c>
      <c r="BN203" s="112">
        <f t="shared" si="574"/>
        <v>-5</v>
      </c>
      <c r="BO203" s="112">
        <f t="shared" si="574"/>
        <v>12</v>
      </c>
      <c r="BP203" s="112">
        <f t="shared" si="574"/>
        <v>19</v>
      </c>
      <c r="BQ203" s="112">
        <f t="shared" si="574"/>
        <v>21</v>
      </c>
      <c r="BR203" s="112">
        <f t="shared" si="574"/>
        <v>24</v>
      </c>
      <c r="BS203" s="112">
        <f t="shared" si="575"/>
        <v>19</v>
      </c>
      <c r="BT203" s="112">
        <f t="shared" si="575"/>
        <v>9</v>
      </c>
      <c r="BU203" s="112">
        <f t="shared" si="575"/>
        <v>16</v>
      </c>
      <c r="BV203" s="112">
        <f t="shared" si="575"/>
        <v>23</v>
      </c>
      <c r="BW203" s="112">
        <f t="shared" si="575"/>
        <v>27</v>
      </c>
      <c r="BX203" s="112">
        <f t="shared" si="575"/>
        <v>30</v>
      </c>
      <c r="BY203" s="112">
        <f t="shared" si="575"/>
        <v>34</v>
      </c>
      <c r="BZ203" s="112">
        <f t="shared" si="575"/>
        <v>27</v>
      </c>
      <c r="CA203" s="204">
        <f t="shared" si="575"/>
        <v>12</v>
      </c>
      <c r="CB203" s="204">
        <f t="shared" si="575"/>
        <v>4</v>
      </c>
      <c r="CC203" s="204">
        <f t="shared" si="576"/>
        <v>-2</v>
      </c>
      <c r="CD203" s="204">
        <f t="shared" si="576"/>
        <v>2</v>
      </c>
      <c r="CE203" s="316">
        <f t="shared" si="576"/>
        <v>5</v>
      </c>
      <c r="CF203" s="316">
        <f t="shared" si="576"/>
        <v>7</v>
      </c>
      <c r="CG203" s="316">
        <f t="shared" si="576"/>
        <v>7</v>
      </c>
      <c r="CH203" s="316">
        <f t="shared" si="576"/>
        <v>-8</v>
      </c>
      <c r="CI203" s="316">
        <f t="shared" si="576"/>
        <v>-6</v>
      </c>
      <c r="CJ203" s="316">
        <f t="shared" si="576"/>
        <v>-17</v>
      </c>
      <c r="CK203" s="316">
        <f t="shared" si="576"/>
        <v>-24</v>
      </c>
      <c r="CL203" s="316">
        <f t="shared" si="576"/>
        <v>-19</v>
      </c>
      <c r="CM203" s="316">
        <f t="shared" si="577"/>
        <v>-25</v>
      </c>
      <c r="CN203" s="316">
        <f t="shared" si="577"/>
        <v>-23</v>
      </c>
      <c r="CO203" s="316">
        <f t="shared" si="577"/>
        <v>-20</v>
      </c>
      <c r="CP203" s="316">
        <f t="shared" si="577"/>
        <v>-27</v>
      </c>
      <c r="CQ203" s="316">
        <f t="shared" si="577"/>
        <v>-27</v>
      </c>
      <c r="CR203" s="316">
        <f t="shared" si="577"/>
        <v>-22</v>
      </c>
      <c r="CS203" s="316">
        <f t="shared" si="577"/>
        <v>-24</v>
      </c>
      <c r="CT203" s="348"/>
      <c r="CU203" s="67">
        <f>'MONTHLY SUMMARIES'!H147</f>
        <v>19</v>
      </c>
    </row>
    <row r="204" spans="1:99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578">SUM(D195:D203)</f>
        <v>9673</v>
      </c>
      <c r="E204" s="118">
        <f t="shared" si="578"/>
        <v>14441</v>
      </c>
      <c r="F204" s="118">
        <f t="shared" si="578"/>
        <v>15432</v>
      </c>
      <c r="G204" s="118">
        <f t="shared" si="578"/>
        <v>14933</v>
      </c>
      <c r="H204" s="119">
        <f t="shared" si="578"/>
        <v>14138</v>
      </c>
      <c r="I204" s="118">
        <f t="shared" si="578"/>
        <v>13502</v>
      </c>
      <c r="J204" s="119">
        <f t="shared" si="578"/>
        <v>12923</v>
      </c>
      <c r="K204" s="118">
        <f t="shared" si="578"/>
        <v>10657</v>
      </c>
      <c r="L204" s="120">
        <f t="shared" si="578"/>
        <v>8121</v>
      </c>
      <c r="M204" s="119">
        <f t="shared" si="578"/>
        <v>5744</v>
      </c>
      <c r="N204" s="119">
        <f t="shared" si="578"/>
        <v>5146</v>
      </c>
      <c r="O204" s="119">
        <f t="shared" si="578"/>
        <v>4821</v>
      </c>
      <c r="P204" s="119">
        <f t="shared" si="578"/>
        <v>3943</v>
      </c>
      <c r="Q204" s="119">
        <f t="shared" si="578"/>
        <v>3522</v>
      </c>
      <c r="R204" s="119">
        <f t="shared" si="578"/>
        <v>3612</v>
      </c>
      <c r="S204" s="119">
        <f t="shared" si="578"/>
        <v>3409</v>
      </c>
      <c r="T204" s="119">
        <f t="shared" si="578"/>
        <v>3288</v>
      </c>
      <c r="U204" s="119">
        <f t="shared" si="578"/>
        <v>3283</v>
      </c>
      <c r="V204" s="119">
        <f t="shared" si="578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79">SUM(BI195:BI203)</f>
        <v>-2727</v>
      </c>
      <c r="BJ204" s="119">
        <f t="shared" ref="BJ204:BK204" si="580">SUM(BJ195:BJ203)</f>
        <v>-5730</v>
      </c>
      <c r="BK204" s="119">
        <f t="shared" si="580"/>
        <v>-10919</v>
      </c>
      <c r="BL204" s="119">
        <f t="shared" ref="BL204:BM204" si="581">SUM(BL195:BL203)</f>
        <v>-11820</v>
      </c>
      <c r="BM204" s="119">
        <f t="shared" si="581"/>
        <v>-11524</v>
      </c>
      <c r="BN204" s="119">
        <f t="shared" ref="BN204:BO204" si="582">SUM(BN195:BN203)</f>
        <v>-10850</v>
      </c>
      <c r="BO204" s="119">
        <f t="shared" si="582"/>
        <v>-10219</v>
      </c>
      <c r="BP204" s="119">
        <f t="shared" ref="BP204:BQ204" si="583">SUM(BP195:BP203)</f>
        <v>-9679</v>
      </c>
      <c r="BQ204" s="119">
        <f t="shared" si="583"/>
        <v>-7457</v>
      </c>
      <c r="BR204" s="119">
        <f t="shared" ref="BR204:BS204" si="584">SUM(BR195:BR203)</f>
        <v>-4916</v>
      </c>
      <c r="BS204" s="119">
        <f t="shared" si="584"/>
        <v>-2458</v>
      </c>
      <c r="BT204" s="119">
        <f t="shared" ref="BT204:BU204" si="585">SUM(BT195:BT203)</f>
        <v>-1539</v>
      </c>
      <c r="BU204" s="119">
        <f t="shared" si="585"/>
        <v>-650</v>
      </c>
      <c r="BV204" s="119">
        <f t="shared" ref="BV204:BW204" si="586">SUM(BV195:BV203)</f>
        <v>885</v>
      </c>
      <c r="BW204" s="119">
        <f t="shared" si="586"/>
        <v>2873</v>
      </c>
      <c r="BX204" s="119">
        <f t="shared" ref="BX204:BY204" si="587">SUM(BX195:BX203)</f>
        <v>5618</v>
      </c>
      <c r="BY204" s="119">
        <f t="shared" si="587"/>
        <v>10961</v>
      </c>
      <c r="BZ204" s="119">
        <f t="shared" ref="BZ204:CA204" si="588">SUM(BZ195:BZ203)</f>
        <v>13088</v>
      </c>
      <c r="CA204" s="206">
        <f t="shared" si="588"/>
        <v>13776</v>
      </c>
      <c r="CB204" s="206">
        <f t="shared" ref="CB204:CC204" si="589">SUM(CB195:CB203)</f>
        <v>13726</v>
      </c>
      <c r="CC204" s="206">
        <f t="shared" si="589"/>
        <v>12399</v>
      </c>
      <c r="CD204" s="206">
        <f t="shared" ref="CD204:CE204" si="590">SUM(CD195:CD203)</f>
        <v>10389</v>
      </c>
      <c r="CE204" s="120">
        <f t="shared" si="590"/>
        <v>8633</v>
      </c>
      <c r="CF204" s="120">
        <f t="shared" ref="CF204:CG204" si="591">SUM(CF195:CF203)</f>
        <v>7395</v>
      </c>
      <c r="CG204" s="120">
        <f t="shared" si="591"/>
        <v>7131</v>
      </c>
      <c r="CH204" s="120">
        <f t="shared" ref="CH204:CI204" si="592">SUM(CH195:CH203)</f>
        <v>7519</v>
      </c>
      <c r="CI204" s="120">
        <f t="shared" si="592"/>
        <v>7810</v>
      </c>
      <c r="CJ204" s="120">
        <f t="shared" ref="CJ204" si="593">SUM(CJ195:CJ203)</f>
        <v>5226</v>
      </c>
      <c r="CK204" s="120">
        <f t="shared" ref="CK204" si="594">SUM(CK195:CK203)</f>
        <v>-485</v>
      </c>
      <c r="CL204" s="120">
        <f t="shared" ref="CL204" si="595">SUM(CL195:CL203)</f>
        <v>-2356</v>
      </c>
      <c r="CM204" s="120">
        <f t="shared" ref="CM204" si="596">SUM(CM195:CM203)</f>
        <v>-3208</v>
      </c>
      <c r="CN204" s="120">
        <f t="shared" ref="CN204" si="597">SUM(CN195:CN203)</f>
        <v>-3559</v>
      </c>
      <c r="CO204" s="120">
        <f t="shared" ref="CO204" si="598">SUM(CO195:CO203)</f>
        <v>-3794</v>
      </c>
      <c r="CP204" s="206">
        <f t="shared" ref="CP204" si="599">SUM(CP195:CP203)</f>
        <v>-3931</v>
      </c>
      <c r="CQ204" s="206">
        <f t="shared" ref="CQ204:CS204" si="600">SUM(CQ195:CQ203)</f>
        <v>-3645</v>
      </c>
      <c r="CR204" s="206">
        <f t="shared" ref="CR204:CS204" si="601">SUM(CR195:CR203)</f>
        <v>-3191</v>
      </c>
      <c r="CS204" s="206">
        <f t="shared" si="601"/>
        <v>-2817</v>
      </c>
      <c r="CT204" s="349"/>
      <c r="CU204" s="119">
        <f>CU195+CU198+CU201+CU202+CU203</f>
        <v>8485</v>
      </c>
    </row>
    <row r="205" spans="1:99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48"/>
      <c r="CU205" s="81"/>
    </row>
    <row r="206" spans="1:99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S206" si="602">O206-C206</f>
        <v>-22095294.449999996</v>
      </c>
      <c r="BJ206" s="232">
        <f t="shared" si="602"/>
        <v>-4477118.7599999979</v>
      </c>
      <c r="BK206" s="232">
        <f t="shared" si="602"/>
        <v>1440551.5399999991</v>
      </c>
      <c r="BL206" s="232">
        <f t="shared" si="602"/>
        <v>-5190737.4699999988</v>
      </c>
      <c r="BM206" s="232">
        <f t="shared" si="602"/>
        <v>-119102.03999999911</v>
      </c>
      <c r="BN206" s="232">
        <f t="shared" si="602"/>
        <v>-1646991.3200000003</v>
      </c>
      <c r="BO206" s="232">
        <f t="shared" si="602"/>
        <v>740520.50999999978</v>
      </c>
      <c r="BP206" s="232">
        <f t="shared" si="602"/>
        <v>802152.25</v>
      </c>
      <c r="BQ206" s="232">
        <f t="shared" si="602"/>
        <v>-4161383.5199999996</v>
      </c>
      <c r="BR206" s="232">
        <f t="shared" si="602"/>
        <v>-6005314.1199999973</v>
      </c>
      <c r="BS206" s="232">
        <f t="shared" si="602"/>
        <v>1913973.7400000021</v>
      </c>
      <c r="BT206" s="232">
        <f t="shared" si="602"/>
        <v>9541830.4200000018</v>
      </c>
      <c r="BU206" s="232">
        <f t="shared" si="602"/>
        <v>7518542.2599999979</v>
      </c>
      <c r="BV206" s="232">
        <f t="shared" si="602"/>
        <v>-426200.06000000238</v>
      </c>
      <c r="BW206" s="232">
        <f t="shared" si="602"/>
        <v>-4630692</v>
      </c>
      <c r="BX206" s="232">
        <f t="shared" si="602"/>
        <v>324497</v>
      </c>
      <c r="BY206" s="232">
        <f t="shared" si="602"/>
        <v>321119</v>
      </c>
      <c r="BZ206" s="232">
        <f t="shared" si="602"/>
        <v>-1080828</v>
      </c>
      <c r="CA206" s="282">
        <f t="shared" si="602"/>
        <v>-427415</v>
      </c>
      <c r="CB206" s="282">
        <f t="shared" si="602"/>
        <v>-1144807</v>
      </c>
      <c r="CC206" s="282">
        <f t="shared" si="602"/>
        <v>1688071</v>
      </c>
      <c r="CD206" s="204">
        <f t="shared" si="602"/>
        <v>11338301</v>
      </c>
      <c r="CE206" s="316">
        <f t="shared" si="602"/>
        <v>21732992</v>
      </c>
      <c r="CF206" s="316">
        <f t="shared" si="602"/>
        <v>9707291</v>
      </c>
      <c r="CG206" s="316">
        <f t="shared" si="602"/>
        <v>11885007</v>
      </c>
      <c r="CH206" s="316">
        <f t="shared" si="602"/>
        <v>13671358</v>
      </c>
      <c r="CI206" s="316">
        <f t="shared" si="602"/>
        <v>10209395</v>
      </c>
      <c r="CJ206" s="316">
        <f t="shared" si="602"/>
        <v>4936298</v>
      </c>
      <c r="CK206" s="316">
        <f t="shared" si="602"/>
        <v>5463416</v>
      </c>
      <c r="CL206" s="316">
        <f t="shared" si="602"/>
        <v>4385030</v>
      </c>
      <c r="CM206" s="316">
        <f t="shared" si="602"/>
        <v>3808495</v>
      </c>
      <c r="CN206" s="316">
        <f t="shared" si="602"/>
        <v>8778861</v>
      </c>
      <c r="CO206" s="316">
        <f t="shared" si="602"/>
        <v>12612754</v>
      </c>
      <c r="CP206" s="316">
        <f t="shared" si="602"/>
        <v>17969110</v>
      </c>
      <c r="CQ206" s="316">
        <f t="shared" si="602"/>
        <v>-5344458</v>
      </c>
      <c r="CR206" s="316">
        <f t="shared" si="602"/>
        <v>3583853</v>
      </c>
      <c r="CS206" s="316">
        <f t="shared" si="602"/>
        <v>3607676</v>
      </c>
      <c r="CT206" s="348"/>
      <c r="CU206" s="67">
        <f>'MONTHLY SUMMARIES'!H150</f>
        <v>68542668</v>
      </c>
    </row>
    <row r="207" spans="1:99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48"/>
      <c r="CU207" s="81">
        <f>CU206-CU208</f>
        <v>66994183</v>
      </c>
    </row>
    <row r="208" spans="1:99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48"/>
      <c r="CU208" s="67">
        <f>GETPIVOTDATA("VALUE",'CRS ESCO pvt'!$I$2,"DATE_FILE",$CU$8,"COMPANY",$CU$6,"TRIM_CAT","Resdiential-ESCO","TRIM_LINE",A205)</f>
        <v>1548485</v>
      </c>
    </row>
    <row r="209" spans="1:99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S209" si="603">O209-C209</f>
        <v>-2359682.09</v>
      </c>
      <c r="BJ209" s="232">
        <f t="shared" si="603"/>
        <v>-935133.46999999974</v>
      </c>
      <c r="BK209" s="232">
        <f t="shared" si="603"/>
        <v>-549284.39999999991</v>
      </c>
      <c r="BL209" s="232">
        <f t="shared" si="603"/>
        <v>-551206.96</v>
      </c>
      <c r="BM209" s="232">
        <f t="shared" si="603"/>
        <v>1072.3400000000838</v>
      </c>
      <c r="BN209" s="232">
        <f t="shared" si="603"/>
        <v>-210559.60000000009</v>
      </c>
      <c r="BO209" s="232">
        <f t="shared" si="603"/>
        <v>-21301.899999999907</v>
      </c>
      <c r="BP209" s="232">
        <f t="shared" si="603"/>
        <v>-48264.810000000056</v>
      </c>
      <c r="BQ209" s="232">
        <f t="shared" si="603"/>
        <v>-130453.29999999981</v>
      </c>
      <c r="BR209" s="232">
        <f t="shared" si="603"/>
        <v>-775315.90000000037</v>
      </c>
      <c r="BS209" s="232">
        <f t="shared" si="603"/>
        <v>1105953.9299999997</v>
      </c>
      <c r="BT209" s="232">
        <f t="shared" si="603"/>
        <v>2098201.59</v>
      </c>
      <c r="BU209" s="232">
        <f t="shared" si="603"/>
        <v>1581425.8899999997</v>
      </c>
      <c r="BV209" s="232">
        <f t="shared" si="603"/>
        <v>1081135.1200000001</v>
      </c>
      <c r="BW209" s="232">
        <f t="shared" si="603"/>
        <v>673386</v>
      </c>
      <c r="BX209" s="232">
        <f t="shared" si="603"/>
        <v>828648</v>
      </c>
      <c r="BY209" s="232">
        <f t="shared" si="603"/>
        <v>665320</v>
      </c>
      <c r="BZ209" s="232">
        <f t="shared" si="603"/>
        <v>280965</v>
      </c>
      <c r="CA209" s="282">
        <f t="shared" si="603"/>
        <v>225076</v>
      </c>
      <c r="CB209" s="282">
        <f t="shared" si="603"/>
        <v>391401</v>
      </c>
      <c r="CC209" s="282">
        <f t="shared" si="603"/>
        <v>597727</v>
      </c>
      <c r="CD209" s="204">
        <f t="shared" si="603"/>
        <v>1066538</v>
      </c>
      <c r="CE209" s="316">
        <f t="shared" si="603"/>
        <v>1051469</v>
      </c>
      <c r="CF209" s="316">
        <f t="shared" si="603"/>
        <v>1207177</v>
      </c>
      <c r="CG209" s="316">
        <f t="shared" si="603"/>
        <v>1529139</v>
      </c>
      <c r="CH209" s="316">
        <f t="shared" si="603"/>
        <v>1317488</v>
      </c>
      <c r="CI209" s="316">
        <f t="shared" si="603"/>
        <v>1419311</v>
      </c>
      <c r="CJ209" s="316">
        <f t="shared" si="603"/>
        <v>751721</v>
      </c>
      <c r="CK209" s="316">
        <f t="shared" si="603"/>
        <v>668747</v>
      </c>
      <c r="CL209" s="316">
        <f t="shared" si="603"/>
        <v>670026</v>
      </c>
      <c r="CM209" s="316">
        <f t="shared" si="603"/>
        <v>460504</v>
      </c>
      <c r="CN209" s="316">
        <f t="shared" si="603"/>
        <v>1075872</v>
      </c>
      <c r="CO209" s="316">
        <f t="shared" si="603"/>
        <v>1449724</v>
      </c>
      <c r="CP209" s="316">
        <f t="shared" si="603"/>
        <v>3623042</v>
      </c>
      <c r="CQ209" s="316">
        <f t="shared" si="603"/>
        <v>2404637</v>
      </c>
      <c r="CR209" s="316">
        <f t="shared" si="603"/>
        <v>2197859</v>
      </c>
      <c r="CS209" s="316">
        <f t="shared" si="603"/>
        <v>-7635853</v>
      </c>
      <c r="CT209" s="348"/>
      <c r="CU209" s="67">
        <f>'MONTHLY SUMMARIES'!H151</f>
        <v>0</v>
      </c>
    </row>
    <row r="210" spans="1:99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48"/>
      <c r="CU210" s="81">
        <f>CU209-CU211</f>
        <v>-229702</v>
      </c>
    </row>
    <row r="211" spans="1:99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48"/>
      <c r="CU211" s="67">
        <f>GETPIVOTDATA("VALUE",'CRS ESCO pvt'!$I$2,"DATE_FILE",$CU$8,"COMPANY",$CU$6,"TRIM_CAT","Low Income Resdiential-ESCO","TRIM_LINE",A205)</f>
        <v>229702</v>
      </c>
    </row>
    <row r="212" spans="1:99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604">O212-C212</f>
        <v>-3051567.67</v>
      </c>
      <c r="BJ212" s="232">
        <f t="shared" si="604"/>
        <v>-489781.41000000015</v>
      </c>
      <c r="BK212" s="232">
        <f t="shared" si="604"/>
        <v>147916.85000000009</v>
      </c>
      <c r="BL212" s="232">
        <f t="shared" si="604"/>
        <v>-701921.75</v>
      </c>
      <c r="BM212" s="232">
        <f t="shared" si="604"/>
        <v>-86747.899999999907</v>
      </c>
      <c r="BN212" s="232">
        <f t="shared" si="604"/>
        <v>-284149.53000000003</v>
      </c>
      <c r="BO212" s="232">
        <f t="shared" si="604"/>
        <v>-159670.35000000009</v>
      </c>
      <c r="BP212" s="232">
        <f t="shared" si="604"/>
        <v>-25751.669999999925</v>
      </c>
      <c r="BQ212" s="232">
        <f t="shared" si="604"/>
        <v>-949263.48</v>
      </c>
      <c r="BR212" s="232">
        <f t="shared" si="604"/>
        <v>-1752722.1100000003</v>
      </c>
      <c r="BS212" s="232">
        <f t="shared" ref="BS212:CB214" si="605">Y212-M212</f>
        <v>732271.45000000019</v>
      </c>
      <c r="BT212" s="232">
        <f t="shared" si="605"/>
        <v>1393432.9100000001</v>
      </c>
      <c r="BU212" s="232">
        <f t="shared" si="605"/>
        <v>785415.98000000045</v>
      </c>
      <c r="BV212" s="232">
        <f t="shared" si="605"/>
        <v>-667303.46</v>
      </c>
      <c r="BW212" s="232">
        <f t="shared" si="605"/>
        <v>-599857</v>
      </c>
      <c r="BX212" s="232">
        <f t="shared" si="605"/>
        <v>99091</v>
      </c>
      <c r="BY212" s="232">
        <f t="shared" si="605"/>
        <v>175710</v>
      </c>
      <c r="BZ212" s="232">
        <f t="shared" si="605"/>
        <v>-34887</v>
      </c>
      <c r="CA212" s="282">
        <f t="shared" si="605"/>
        <v>167585</v>
      </c>
      <c r="CB212" s="282">
        <f t="shared" si="605"/>
        <v>119265</v>
      </c>
      <c r="CC212" s="282">
        <f t="shared" ref="CC212:CL214" si="606">AI212-W212</f>
        <v>373612</v>
      </c>
      <c r="CD212" s="204">
        <f t="shared" si="606"/>
        <v>1961763</v>
      </c>
      <c r="CE212" s="316">
        <f t="shared" si="606"/>
        <v>3048887</v>
      </c>
      <c r="CF212" s="316">
        <f t="shared" si="606"/>
        <v>1515806</v>
      </c>
      <c r="CG212" s="316">
        <f t="shared" si="606"/>
        <v>2256958</v>
      </c>
      <c r="CH212" s="316">
        <f t="shared" si="606"/>
        <v>1895458</v>
      </c>
      <c r="CI212" s="316">
        <f t="shared" si="606"/>
        <v>1187438</v>
      </c>
      <c r="CJ212" s="316">
        <f t="shared" si="606"/>
        <v>610629</v>
      </c>
      <c r="CK212" s="316">
        <f t="shared" si="606"/>
        <v>650331</v>
      </c>
      <c r="CL212" s="316">
        <f t="shared" si="606"/>
        <v>427566</v>
      </c>
      <c r="CM212" s="316">
        <f t="shared" ref="CM212:CS214" si="607">AS212-AG212</f>
        <v>474257</v>
      </c>
      <c r="CN212" s="316">
        <f t="shared" si="607"/>
        <v>1072318</v>
      </c>
      <c r="CO212" s="316">
        <f t="shared" si="607"/>
        <v>1669886</v>
      </c>
      <c r="CP212" s="316">
        <f t="shared" si="607"/>
        <v>2904932</v>
      </c>
      <c r="CQ212" s="316">
        <f t="shared" si="607"/>
        <v>-391368</v>
      </c>
      <c r="CR212" s="316">
        <f t="shared" si="607"/>
        <v>179140</v>
      </c>
      <c r="CS212" s="316">
        <f t="shared" si="607"/>
        <v>-9180482</v>
      </c>
      <c r="CT212" s="348"/>
      <c r="CU212" s="67">
        <f>'MONTHLY SUMMARIES'!H152</f>
        <v>0</v>
      </c>
    </row>
    <row r="213" spans="1:99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604"/>
        <v>-2934832.24</v>
      </c>
      <c r="BJ213" s="232">
        <f t="shared" si="604"/>
        <v>-572394.48000000045</v>
      </c>
      <c r="BK213" s="232">
        <f t="shared" si="604"/>
        <v>138021.29000000004</v>
      </c>
      <c r="BL213" s="232">
        <f t="shared" si="604"/>
        <v>-596235.16999999993</v>
      </c>
      <c r="BM213" s="232">
        <f t="shared" si="604"/>
        <v>-445246.09000000008</v>
      </c>
      <c r="BN213" s="232">
        <f t="shared" si="604"/>
        <v>-451279.39999999991</v>
      </c>
      <c r="BO213" s="232">
        <f t="shared" si="604"/>
        <v>-271338.62000000011</v>
      </c>
      <c r="BP213" s="232">
        <f t="shared" si="604"/>
        <v>-167437.18000000017</v>
      </c>
      <c r="BQ213" s="232">
        <f t="shared" si="604"/>
        <v>-548100.66000000015</v>
      </c>
      <c r="BR213" s="232">
        <f t="shared" si="604"/>
        <v>-1842940.33</v>
      </c>
      <c r="BS213" s="232">
        <f t="shared" si="605"/>
        <v>1193239.3899999997</v>
      </c>
      <c r="BT213" s="232">
        <f t="shared" si="605"/>
        <v>1974422.17</v>
      </c>
      <c r="BU213" s="232">
        <f t="shared" si="605"/>
        <v>958177.50999999978</v>
      </c>
      <c r="BV213" s="232">
        <f t="shared" si="605"/>
        <v>-911529.63999999966</v>
      </c>
      <c r="BW213" s="232">
        <f t="shared" si="605"/>
        <v>-615948</v>
      </c>
      <c r="BX213" s="232">
        <f t="shared" si="605"/>
        <v>98706</v>
      </c>
      <c r="BY213" s="232">
        <f t="shared" si="605"/>
        <v>313130</v>
      </c>
      <c r="BZ213" s="232">
        <f t="shared" si="605"/>
        <v>114735</v>
      </c>
      <c r="CA213" s="282">
        <f t="shared" si="605"/>
        <v>245210</v>
      </c>
      <c r="CB213" s="282">
        <f t="shared" si="605"/>
        <v>197244</v>
      </c>
      <c r="CC213" s="282">
        <f t="shared" si="606"/>
        <v>443667</v>
      </c>
      <c r="CD213" s="204">
        <f t="shared" si="606"/>
        <v>2337289</v>
      </c>
      <c r="CE213" s="316">
        <f t="shared" si="606"/>
        <v>2617390</v>
      </c>
      <c r="CF213" s="316">
        <f t="shared" si="606"/>
        <v>1234510</v>
      </c>
      <c r="CG213" s="316">
        <f t="shared" si="606"/>
        <v>1931544</v>
      </c>
      <c r="CH213" s="316">
        <f t="shared" si="606"/>
        <v>1843725</v>
      </c>
      <c r="CI213" s="316">
        <f t="shared" si="606"/>
        <v>1494481</v>
      </c>
      <c r="CJ213" s="316">
        <f t="shared" si="606"/>
        <v>770586</v>
      </c>
      <c r="CK213" s="316">
        <f t="shared" si="606"/>
        <v>654330</v>
      </c>
      <c r="CL213" s="316">
        <f t="shared" si="606"/>
        <v>526834</v>
      </c>
      <c r="CM213" s="316">
        <f t="shared" si="607"/>
        <v>663564</v>
      </c>
      <c r="CN213" s="316">
        <f t="shared" si="607"/>
        <v>1307436</v>
      </c>
      <c r="CO213" s="316">
        <f t="shared" si="607"/>
        <v>1456673</v>
      </c>
      <c r="CP213" s="316">
        <f t="shared" si="607"/>
        <v>2308397</v>
      </c>
      <c r="CQ213" s="316">
        <f t="shared" si="607"/>
        <v>201599</v>
      </c>
      <c r="CR213" s="316">
        <f t="shared" si="607"/>
        <v>-19707</v>
      </c>
      <c r="CS213" s="316">
        <f t="shared" si="607"/>
        <v>-430240</v>
      </c>
      <c r="CT213" s="348"/>
      <c r="CU213" s="67">
        <f>'MONTHLY SUMMARIES'!H153</f>
        <v>9194292</v>
      </c>
    </row>
    <row r="214" spans="1:99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604"/>
        <v>-4816575.57</v>
      </c>
      <c r="BJ214" s="232">
        <f t="shared" si="604"/>
        <v>-4842137.82</v>
      </c>
      <c r="BK214" s="232">
        <f t="shared" si="604"/>
        <v>4085962.0500000007</v>
      </c>
      <c r="BL214" s="232">
        <f t="shared" si="604"/>
        <v>-2324049.7799999993</v>
      </c>
      <c r="BM214" s="232">
        <f t="shared" si="604"/>
        <v>-902065.13999999966</v>
      </c>
      <c r="BN214" s="232">
        <f t="shared" si="604"/>
        <v>-1974263.1600000001</v>
      </c>
      <c r="BO214" s="232">
        <f t="shared" si="604"/>
        <v>-612869.29</v>
      </c>
      <c r="BP214" s="232">
        <f t="shared" si="604"/>
        <v>-1526031.3900000006</v>
      </c>
      <c r="BQ214" s="232">
        <f t="shared" si="604"/>
        <v>-1665069.1199999992</v>
      </c>
      <c r="BR214" s="232">
        <f t="shared" si="604"/>
        <v>-4513700.66</v>
      </c>
      <c r="BS214" s="232">
        <f t="shared" si="605"/>
        <v>2183571.120000001</v>
      </c>
      <c r="BT214" s="232">
        <f t="shared" si="605"/>
        <v>2199867.370000001</v>
      </c>
      <c r="BU214" s="232">
        <f t="shared" si="605"/>
        <v>1011249.4699999988</v>
      </c>
      <c r="BV214" s="232">
        <f t="shared" si="605"/>
        <v>-5220896.5300000012</v>
      </c>
      <c r="BW214" s="232">
        <f t="shared" si="605"/>
        <v>-6059407</v>
      </c>
      <c r="BX214" s="232">
        <f t="shared" si="605"/>
        <v>222819</v>
      </c>
      <c r="BY214" s="232">
        <f t="shared" si="605"/>
        <v>1128958</v>
      </c>
      <c r="BZ214" s="232">
        <f t="shared" si="605"/>
        <v>-316536</v>
      </c>
      <c r="CA214" s="282">
        <f t="shared" si="605"/>
        <v>974191</v>
      </c>
      <c r="CB214" s="282">
        <f t="shared" si="605"/>
        <v>-31470</v>
      </c>
      <c r="CC214" s="282">
        <f t="shared" si="606"/>
        <v>888371</v>
      </c>
      <c r="CD214" s="204">
        <f t="shared" si="606"/>
        <v>8297875</v>
      </c>
      <c r="CE214" s="316">
        <f t="shared" si="606"/>
        <v>10643751</v>
      </c>
      <c r="CF214" s="316">
        <f t="shared" si="606"/>
        <v>7588713</v>
      </c>
      <c r="CG214" s="316">
        <f t="shared" si="606"/>
        <v>6966948</v>
      </c>
      <c r="CH214" s="316">
        <f t="shared" si="606"/>
        <v>4646259</v>
      </c>
      <c r="CI214" s="316">
        <f t="shared" si="606"/>
        <v>5931259</v>
      </c>
      <c r="CJ214" s="316">
        <f t="shared" si="606"/>
        <v>3192871</v>
      </c>
      <c r="CK214" s="316">
        <f t="shared" si="606"/>
        <v>2206258</v>
      </c>
      <c r="CL214" s="316">
        <f t="shared" si="606"/>
        <v>2621830</v>
      </c>
      <c r="CM214" s="316">
        <f t="shared" si="607"/>
        <v>504108</v>
      </c>
      <c r="CN214" s="316">
        <f t="shared" si="607"/>
        <v>3331988</v>
      </c>
      <c r="CO214" s="316">
        <f t="shared" si="607"/>
        <v>6528866</v>
      </c>
      <c r="CP214" s="316">
        <f t="shared" si="607"/>
        <v>14628</v>
      </c>
      <c r="CQ214" s="316">
        <f t="shared" si="607"/>
        <v>1299631</v>
      </c>
      <c r="CR214" s="316">
        <f t="shared" si="607"/>
        <v>-2022151</v>
      </c>
      <c r="CS214" s="316">
        <f t="shared" si="607"/>
        <v>-33667415</v>
      </c>
      <c r="CT214" s="348"/>
      <c r="CU214" s="67">
        <f>'MONTHLY SUMMARIES'!H154</f>
        <v>0</v>
      </c>
    </row>
    <row r="215" spans="1:99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608">SUM(D206:D214)</f>
        <v>92389187.50999999</v>
      </c>
      <c r="E215" s="227">
        <f t="shared" si="608"/>
        <v>50398877.670000002</v>
      </c>
      <c r="F215" s="228">
        <f t="shared" si="608"/>
        <v>37525145.130000003</v>
      </c>
      <c r="G215" s="227">
        <f t="shared" si="608"/>
        <v>26042999.829999998</v>
      </c>
      <c r="H215" s="228">
        <f t="shared" si="608"/>
        <v>27851743.010000002</v>
      </c>
      <c r="I215" s="227">
        <f t="shared" si="608"/>
        <v>24820625.649999999</v>
      </c>
      <c r="J215" s="228">
        <f t="shared" si="608"/>
        <v>30764815.799999997</v>
      </c>
      <c r="K215" s="227">
        <f t="shared" si="608"/>
        <v>53818671.079999991</v>
      </c>
      <c r="L215" s="229">
        <f t="shared" si="608"/>
        <v>104993989.11999999</v>
      </c>
      <c r="M215" s="228">
        <f t="shared" si="608"/>
        <v>112606560.36999999</v>
      </c>
      <c r="N215" s="228">
        <f t="shared" si="608"/>
        <v>116070985.53999999</v>
      </c>
      <c r="O215" s="228">
        <f t="shared" si="608"/>
        <v>88618866.890000015</v>
      </c>
      <c r="P215" s="228">
        <f t="shared" si="608"/>
        <v>81072621.570000008</v>
      </c>
      <c r="Q215" s="228">
        <f t="shared" si="608"/>
        <v>55662045</v>
      </c>
      <c r="R215" s="228">
        <f t="shared" si="608"/>
        <v>28160994</v>
      </c>
      <c r="S215" s="228">
        <f t="shared" si="608"/>
        <v>24490911</v>
      </c>
      <c r="T215" s="228">
        <f t="shared" si="608"/>
        <v>23284500</v>
      </c>
      <c r="U215" s="228">
        <f t="shared" si="608"/>
        <v>24495966</v>
      </c>
      <c r="V215" s="228">
        <f t="shared" si="608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ref="BI215:BK215" si="609">SUM(BI206:BI214)</f>
        <v>-35257952.019999996</v>
      </c>
      <c r="BJ215" s="234">
        <f t="shared" si="609"/>
        <v>-11316565.939999998</v>
      </c>
      <c r="BK215" s="234">
        <f t="shared" si="609"/>
        <v>5263167.33</v>
      </c>
      <c r="BL215" s="234">
        <f t="shared" ref="BL215:BM215" si="610">SUM(BL206:BL214)</f>
        <v>-9364151.129999999</v>
      </c>
      <c r="BM215" s="234">
        <f t="shared" si="610"/>
        <v>-1552088.8299999987</v>
      </c>
      <c r="BN215" s="234">
        <f t="shared" ref="BN215:BO215" si="611">SUM(BN206:BN214)</f>
        <v>-4567243.01</v>
      </c>
      <c r="BO215" s="234">
        <f t="shared" si="611"/>
        <v>-324659.65000000037</v>
      </c>
      <c r="BP215" s="234">
        <f t="shared" ref="BP215:BQ215" si="612">SUM(BP206:BP214)</f>
        <v>-965332.80000000075</v>
      </c>
      <c r="BQ215" s="234">
        <f t="shared" si="612"/>
        <v>-7454270.0799999982</v>
      </c>
      <c r="BR215" s="234">
        <f t="shared" ref="BR215:BS215" si="613">SUM(BR206:BR214)</f>
        <v>-14889993.119999999</v>
      </c>
      <c r="BS215" s="234">
        <f t="shared" si="613"/>
        <v>7129009.6300000027</v>
      </c>
      <c r="BT215" s="234">
        <f t="shared" ref="BT215:BU215" si="614">SUM(BT206:BT214)</f>
        <v>17207754.460000001</v>
      </c>
      <c r="BU215" s="234">
        <f t="shared" si="614"/>
        <v>11854811.109999998</v>
      </c>
      <c r="BV215" s="234">
        <f t="shared" ref="BV215:BW215" si="615">SUM(BV206:BV214)</f>
        <v>-6144794.5700000031</v>
      </c>
      <c r="BW215" s="234">
        <f t="shared" si="615"/>
        <v>-11232518</v>
      </c>
      <c r="BX215" s="234">
        <f t="shared" ref="BX215:BY215" si="616">SUM(BX206:BX214)</f>
        <v>1573761</v>
      </c>
      <c r="BY215" s="234">
        <f t="shared" si="616"/>
        <v>2604237</v>
      </c>
      <c r="BZ215" s="234">
        <f t="shared" ref="BZ215:CA215" si="617">SUM(BZ206:BZ214)</f>
        <v>-1036551</v>
      </c>
      <c r="CA215" s="283">
        <f t="shared" si="617"/>
        <v>1184647</v>
      </c>
      <c r="CB215" s="283">
        <f t="shared" ref="CB215" si="618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619">SUM(CE206:CE214)</f>
        <v>39094489</v>
      </c>
      <c r="CF215" s="317">
        <f t="shared" ref="CF215:CK215" si="620">SUM(CF206:CF214)</f>
        <v>21253497</v>
      </c>
      <c r="CG215" s="317">
        <f t="shared" si="620"/>
        <v>24569596</v>
      </c>
      <c r="CH215" s="317">
        <f t="shared" si="620"/>
        <v>23374288</v>
      </c>
      <c r="CI215" s="317">
        <f t="shared" si="620"/>
        <v>20241884</v>
      </c>
      <c r="CJ215" s="317">
        <f t="shared" si="620"/>
        <v>10262105</v>
      </c>
      <c r="CK215" s="317">
        <f t="shared" si="620"/>
        <v>9643082</v>
      </c>
      <c r="CL215" s="317">
        <f t="shared" ref="CL215" si="621">SUM(CL206:CL214)</f>
        <v>8631286</v>
      </c>
      <c r="CM215" s="317">
        <f t="shared" ref="CM215" si="622">SUM(CM206:CM214)</f>
        <v>5910928</v>
      </c>
      <c r="CN215" s="317">
        <f t="shared" ref="CN215" si="623">SUM(CN206:CN214)</f>
        <v>15566475</v>
      </c>
      <c r="CO215" s="317">
        <f t="shared" ref="CO215" si="624">SUM(CO206:CO214)</f>
        <v>23717903</v>
      </c>
      <c r="CP215" s="317">
        <f t="shared" ref="CP215" si="625">SUM(CP206:CP214)</f>
        <v>26820109</v>
      </c>
      <c r="CQ215" s="317">
        <f t="shared" ref="CQ215:CS215" si="626">SUM(CQ206:CQ214)</f>
        <v>-1829959</v>
      </c>
      <c r="CR215" s="317">
        <f t="shared" ref="CR215:CS215" si="627">SUM(CR206:CR214)</f>
        <v>3918994</v>
      </c>
      <c r="CS215" s="317">
        <f t="shared" si="627"/>
        <v>-47306314</v>
      </c>
      <c r="CT215" s="349"/>
      <c r="CU215" s="262">
        <f>CU206+CU209+CU212+CU213+CU214</f>
        <v>77736960</v>
      </c>
    </row>
    <row r="216" spans="1:99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48"/>
      <c r="CU216" s="93"/>
    </row>
    <row r="217" spans="1:99" s="62" customFormat="1" x14ac:dyDescent="0.3">
      <c r="A217" s="150"/>
      <c r="B217" s="63" t="s">
        <v>37</v>
      </c>
      <c r="C217" s="115"/>
      <c r="D217" s="176">
        <f t="shared" ref="D217:AE217" si="628">(C98+C206+D130-D98-D206)/(C98+C206+D130-D206)</f>
        <v>0.54314619805228581</v>
      </c>
      <c r="E217" s="177">
        <f t="shared" si="628"/>
        <v>0.47574703808415769</v>
      </c>
      <c r="F217" s="177">
        <f t="shared" si="628"/>
        <v>0.34527761976382626</v>
      </c>
      <c r="G217" s="177">
        <f t="shared" si="628"/>
        <v>0.31248439460211197</v>
      </c>
      <c r="H217" s="178">
        <f t="shared" si="628"/>
        <v>0.28423452583587056</v>
      </c>
      <c r="I217" s="177">
        <f t="shared" si="628"/>
        <v>0.32141498015096165</v>
      </c>
      <c r="J217" s="178">
        <f t="shared" si="628"/>
        <v>0.37121509282758908</v>
      </c>
      <c r="K217" s="177">
        <f t="shared" si="628"/>
        <v>0.44147289346533169</v>
      </c>
      <c r="L217" s="179">
        <f t="shared" si="628"/>
        <v>0.65179259706093662</v>
      </c>
      <c r="M217" s="178">
        <f t="shared" si="628"/>
        <v>0.66023628508142429</v>
      </c>
      <c r="N217" s="178">
        <f t="shared" si="628"/>
        <v>0.62426681179311383</v>
      </c>
      <c r="O217" s="178">
        <f t="shared" si="628"/>
        <v>0.61841672163934125</v>
      </c>
      <c r="P217" s="178">
        <f t="shared" si="628"/>
        <v>0.52672371150863684</v>
      </c>
      <c r="Q217" s="178">
        <f t="shared" si="628"/>
        <v>0.46070205915842249</v>
      </c>
      <c r="R217" s="178">
        <f t="shared" si="628"/>
        <v>0.32641164116051846</v>
      </c>
      <c r="S217" s="178">
        <f t="shared" si="628"/>
        <v>0.26984475919203155</v>
      </c>
      <c r="T217" s="178">
        <f t="shared" si="628"/>
        <v>0.21467707424481836</v>
      </c>
      <c r="U217" s="178">
        <f t="shared" si="628"/>
        <v>0.23951925122408391</v>
      </c>
      <c r="V217" s="178">
        <f t="shared" si="628"/>
        <v>0.24415251723021128</v>
      </c>
      <c r="W217" s="178">
        <f t="shared" si="628"/>
        <v>0.38573730269713041</v>
      </c>
      <c r="X217" s="179">
        <f t="shared" si="628"/>
        <v>0.55629385315932556</v>
      </c>
      <c r="Y217" s="178">
        <f t="shared" si="628"/>
        <v>0.59460252181624962</v>
      </c>
      <c r="Z217" s="178">
        <f t="shared" si="628"/>
        <v>0.61067351883125587</v>
      </c>
      <c r="AA217" s="178">
        <f t="shared" si="628"/>
        <v>0.63249909553827521</v>
      </c>
      <c r="AB217" s="178">
        <f t="shared" si="628"/>
        <v>0.49881656992956891</v>
      </c>
      <c r="AC217" s="178">
        <f t="shared" si="628"/>
        <v>0.40611993521025658</v>
      </c>
      <c r="AD217" s="178">
        <f t="shared" si="628"/>
        <v>0.31274472768869011</v>
      </c>
      <c r="AE217" s="178">
        <f t="shared" si="628"/>
        <v>0.28687549962294184</v>
      </c>
      <c r="AF217" s="178">
        <f t="shared" ref="AF217:AY217" si="629">(AE98+AE206+AF130-AF98-AF206)/(AE98+AE206+AF130-AF206)</f>
        <v>0.27561056063971218</v>
      </c>
      <c r="AG217" s="178">
        <f t="shared" si="629"/>
        <v>0.26343447900180694</v>
      </c>
      <c r="AH217" s="178">
        <f t="shared" si="629"/>
        <v>0.28292776809435882</v>
      </c>
      <c r="AI217" s="178">
        <f t="shared" si="629"/>
        <v>0.4389759111914362</v>
      </c>
      <c r="AJ217" s="178">
        <f t="shared" si="629"/>
        <v>0.61682527903224171</v>
      </c>
      <c r="AK217" s="178">
        <f t="shared" si="629"/>
        <v>0.64209791108173131</v>
      </c>
      <c r="AL217" s="178">
        <f t="shared" si="629"/>
        <v>0.67267416470436348</v>
      </c>
      <c r="AM217" s="178">
        <f t="shared" si="629"/>
        <v>0.66532747998953501</v>
      </c>
      <c r="AN217" s="178">
        <f t="shared" si="629"/>
        <v>0.53454692129472681</v>
      </c>
      <c r="AO217" s="178">
        <f t="shared" si="629"/>
        <v>0.49104504512132652</v>
      </c>
      <c r="AP217" s="178">
        <f t="shared" si="629"/>
        <v>0.38593061452698524</v>
      </c>
      <c r="AQ217" s="178">
        <f t="shared" si="629"/>
        <v>0.31946007076805411</v>
      </c>
      <c r="AR217" s="178">
        <f t="shared" si="629"/>
        <v>0.31646759736716285</v>
      </c>
      <c r="AS217" s="178">
        <f t="shared" si="629"/>
        <v>0.29510178608372928</v>
      </c>
      <c r="AT217" s="178">
        <f t="shared" si="629"/>
        <v>0.3710203707841791</v>
      </c>
      <c r="AU217" s="178">
        <f t="shared" si="629"/>
        <v>0.44007030328656194</v>
      </c>
      <c r="AV217" s="284">
        <f t="shared" si="629"/>
        <v>0.62914726381851449</v>
      </c>
      <c r="AW217" s="391">
        <f t="shared" si="629"/>
        <v>0.68103236024411973</v>
      </c>
      <c r="AX217" s="391">
        <f t="shared" si="629"/>
        <v>0.64086360735987746</v>
      </c>
      <c r="AY217" s="391">
        <f t="shared" si="629"/>
        <v>0.65794732781674636</v>
      </c>
      <c r="AZ217" s="178"/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30">P217-D217</f>
        <v>-1.6422486543648973E-2</v>
      </c>
      <c r="BK217" s="178">
        <f t="shared" si="630"/>
        <v>-1.5044978925735197E-2</v>
      </c>
      <c r="BL217" s="178">
        <f t="shared" si="630"/>
        <v>-1.8865978603307798E-2</v>
      </c>
      <c r="BM217" s="178">
        <f t="shared" si="630"/>
        <v>-4.2639635410080423E-2</v>
      </c>
      <c r="BN217" s="178">
        <f t="shared" si="630"/>
        <v>-6.95574515910522E-2</v>
      </c>
      <c r="BO217" s="178">
        <f t="shared" si="630"/>
        <v>-8.1895728926877742E-2</v>
      </c>
      <c r="BP217" s="178">
        <f t="shared" si="630"/>
        <v>-0.1270625755973778</v>
      </c>
      <c r="BQ217" s="178">
        <f t="shared" si="630"/>
        <v>-5.5735590768201282E-2</v>
      </c>
      <c r="BR217" s="178">
        <f t="shared" si="630"/>
        <v>-9.5498743901611061E-2</v>
      </c>
      <c r="BS217" s="178">
        <f t="shared" si="630"/>
        <v>-6.5633763265174672E-2</v>
      </c>
      <c r="BT217" s="178">
        <f t="shared" si="630"/>
        <v>-1.3593292961857961E-2</v>
      </c>
      <c r="BU217" s="178">
        <f t="shared" si="630"/>
        <v>1.4082373898933964E-2</v>
      </c>
      <c r="BV217" s="178">
        <f t="shared" si="630"/>
        <v>-2.7907141579067929E-2</v>
      </c>
      <c r="BW217" s="178">
        <f t="shared" si="630"/>
        <v>-5.4582123948165917E-2</v>
      </c>
      <c r="BX217" s="178">
        <f t="shared" si="630"/>
        <v>-1.3666913471828357E-2</v>
      </c>
      <c r="BY217" s="178">
        <f t="shared" si="630"/>
        <v>1.7030740430910296E-2</v>
      </c>
      <c r="BZ217" s="178">
        <f t="shared" si="630"/>
        <v>6.0933486394893821E-2</v>
      </c>
      <c r="CA217" s="284">
        <f t="shared" si="630"/>
        <v>2.3915227777723036E-2</v>
      </c>
      <c r="CB217" s="284">
        <f t="shared" si="630"/>
        <v>3.8775250864147542E-2</v>
      </c>
      <c r="CC217" s="284">
        <f t="shared" si="630"/>
        <v>5.3238608494305784E-2</v>
      </c>
      <c r="CD217" s="355">
        <f>AJ217-X217</f>
        <v>6.0531425872916156E-2</v>
      </c>
      <c r="CE217" s="356">
        <f t="shared" si="630"/>
        <v>4.7495389265481691E-2</v>
      </c>
      <c r="CF217" s="356">
        <f t="shared" ref="CF217:CS217" si="631">AL217-Z217</f>
        <v>6.2000645873107607E-2</v>
      </c>
      <c r="CG217" s="356">
        <f t="shared" si="631"/>
        <v>3.2828384451259796E-2</v>
      </c>
      <c r="CH217" s="356">
        <f t="shared" si="631"/>
        <v>3.5730351365157897E-2</v>
      </c>
      <c r="CI217" s="356">
        <f t="shared" si="631"/>
        <v>8.492510991106994E-2</v>
      </c>
      <c r="CJ217" s="356">
        <f t="shared" si="631"/>
        <v>7.3185886838295133E-2</v>
      </c>
      <c r="CK217" s="356">
        <f t="shared" si="631"/>
        <v>3.2584571145112262E-2</v>
      </c>
      <c r="CL217" s="356">
        <f t="shared" si="631"/>
        <v>4.0857036727450669E-2</v>
      </c>
      <c r="CM217" s="356">
        <f t="shared" si="631"/>
        <v>3.1667307081922336E-2</v>
      </c>
      <c r="CN217" s="356">
        <f t="shared" si="631"/>
        <v>8.8092602689820276E-2</v>
      </c>
      <c r="CO217" s="356">
        <f t="shared" si="631"/>
        <v>1.0943920951257402E-3</v>
      </c>
      <c r="CP217" s="356">
        <f t="shared" si="631"/>
        <v>1.2321984786272777E-2</v>
      </c>
      <c r="CQ217" s="356">
        <f t="shared" si="631"/>
        <v>3.8934449162388418E-2</v>
      </c>
      <c r="CR217" s="356">
        <f t="shared" si="631"/>
        <v>-3.1810557344486012E-2</v>
      </c>
      <c r="CS217" s="356">
        <f t="shared" si="631"/>
        <v>-7.3801521727886454E-3</v>
      </c>
      <c r="CT217" s="348"/>
      <c r="CU217" s="67"/>
    </row>
    <row r="218" spans="1:99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32">(W99+W207+X131-X99-X207)/(W99+W207+X131-X207)</f>
        <v>0.55588915971507624</v>
      </c>
      <c r="Y218" s="246">
        <f t="shared" si="632"/>
        <v>0.59424096679938987</v>
      </c>
      <c r="Z218" s="246">
        <f t="shared" si="632"/>
        <v>0.6100157211693833</v>
      </c>
      <c r="AA218" s="246">
        <f t="shared" si="632"/>
        <v>0.63111667633247015</v>
      </c>
      <c r="AB218" s="246">
        <f t="shared" si="632"/>
        <v>0.49694982376349472</v>
      </c>
      <c r="AC218" s="246">
        <f t="shared" si="632"/>
        <v>0.40351221792311348</v>
      </c>
      <c r="AD218" s="246">
        <f t="shared" si="632"/>
        <v>0.31065738683133476</v>
      </c>
      <c r="AE218" s="246">
        <f t="shared" si="632"/>
        <v>0.28385370101145996</v>
      </c>
      <c r="AF218" s="246">
        <f t="shared" ref="AF218:AY218" si="633">(AE99+AE207+AF131-AF99-AF207)/(AE99+AE207+AF131-AF207)</f>
        <v>0.2737462583318418</v>
      </c>
      <c r="AG218" s="246">
        <f t="shared" si="633"/>
        <v>0.2616615818374779</v>
      </c>
      <c r="AH218" s="246">
        <f t="shared" si="633"/>
        <v>0.28142929619184087</v>
      </c>
      <c r="AI218" s="246">
        <f t="shared" si="633"/>
        <v>0.43738455221362293</v>
      </c>
      <c r="AJ218" s="178">
        <f t="shared" si="633"/>
        <v>0.61564704919598967</v>
      </c>
      <c r="AK218" s="178">
        <f t="shared" si="633"/>
        <v>0.64145222108573741</v>
      </c>
      <c r="AL218" s="178">
        <f t="shared" si="633"/>
        <v>0.67170062302910916</v>
      </c>
      <c r="AM218" s="178">
        <f t="shared" si="633"/>
        <v>0.66370122219085526</v>
      </c>
      <c r="AN218" s="178">
        <f t="shared" si="633"/>
        <v>0.53304863676950365</v>
      </c>
      <c r="AO218" s="178">
        <f t="shared" si="633"/>
        <v>0.48946458204098947</v>
      </c>
      <c r="AP218" s="178">
        <f t="shared" si="633"/>
        <v>0.38455259648534984</v>
      </c>
      <c r="AQ218" s="178">
        <f t="shared" si="633"/>
        <v>0.31777216005024284</v>
      </c>
      <c r="AR218" s="178">
        <f t="shared" si="633"/>
        <v>0.31372277247155284</v>
      </c>
      <c r="AS218" s="178">
        <f t="shared" si="633"/>
        <v>0.29386197337882958</v>
      </c>
      <c r="AT218" s="178">
        <f t="shared" si="633"/>
        <v>0.36864788630175965</v>
      </c>
      <c r="AU218" s="178">
        <f t="shared" si="633"/>
        <v>0.44365228451286404</v>
      </c>
      <c r="AV218" s="284">
        <f t="shared" si="633"/>
        <v>0.63299382567500562</v>
      </c>
      <c r="AW218" s="391">
        <f t="shared" si="633"/>
        <v>0.68352004099813535</v>
      </c>
      <c r="AX218" s="391">
        <f t="shared" si="633"/>
        <v>0.64318768322293585</v>
      </c>
      <c r="AY218" s="391">
        <f t="shared" si="633"/>
        <v>0.65552509336834808</v>
      </c>
      <c r="AZ218" s="178"/>
      <c r="BA218" s="178"/>
      <c r="BB218" s="178"/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48"/>
      <c r="CU218" s="67"/>
    </row>
    <row r="219" spans="1:99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32"/>
        <v>0.57045448903921292</v>
      </c>
      <c r="Y219" s="246">
        <f t="shared" si="632"/>
        <v>0.60752309940131521</v>
      </c>
      <c r="Z219" s="246">
        <f t="shared" si="632"/>
        <v>0.63392584766903359</v>
      </c>
      <c r="AA219" s="246">
        <f t="shared" si="632"/>
        <v>0.68576885587880954</v>
      </c>
      <c r="AB219" s="246">
        <f t="shared" si="632"/>
        <v>0.57209762097417416</v>
      </c>
      <c r="AC219" s="246">
        <f t="shared" si="632"/>
        <v>0.50970691829129577</v>
      </c>
      <c r="AD219" s="246">
        <f t="shared" si="632"/>
        <v>0.4010196990740868</v>
      </c>
      <c r="AE219" s="246">
        <f t="shared" si="632"/>
        <v>0.42397828863081477</v>
      </c>
      <c r="AF219" s="246">
        <f t="shared" ref="AF219:AY219" si="634">(AE100+AE208+AF132-AF100-AF208)/(AE100+AE208+AF132-AF208)</f>
        <v>0.36667753292229321</v>
      </c>
      <c r="AG219" s="246">
        <f t="shared" si="634"/>
        <v>0.3513550102610547</v>
      </c>
      <c r="AH219" s="246">
        <f t="shared" si="634"/>
        <v>0.35975188616077314</v>
      </c>
      <c r="AI219" s="246">
        <f t="shared" si="634"/>
        <v>0.51670941680618054</v>
      </c>
      <c r="AJ219" s="178">
        <f t="shared" si="634"/>
        <v>0.67105876600301839</v>
      </c>
      <c r="AK219" s="178">
        <f t="shared" si="634"/>
        <v>0.6727045899673747</v>
      </c>
      <c r="AL219" s="178">
        <f t="shared" si="634"/>
        <v>0.71528503541683652</v>
      </c>
      <c r="AM219" s="178">
        <f t="shared" si="634"/>
        <v>0.73755296887766386</v>
      </c>
      <c r="AN219" s="178">
        <f t="shared" si="634"/>
        <v>0.60844951514984669</v>
      </c>
      <c r="AO219" s="178">
        <f t="shared" si="634"/>
        <v>0.56997364925878724</v>
      </c>
      <c r="AP219" s="178">
        <f t="shared" si="634"/>
        <v>0.45889019561427147</v>
      </c>
      <c r="AQ219" s="178">
        <f t="shared" si="634"/>
        <v>0.41672820805112482</v>
      </c>
      <c r="AR219" s="178">
        <f t="shared" si="634"/>
        <v>0.4809914683772169</v>
      </c>
      <c r="AS219" s="178">
        <f t="shared" si="634"/>
        <v>0.37906115632767423</v>
      </c>
      <c r="AT219" s="178">
        <f t="shared" si="634"/>
        <v>0.52837608583322027</v>
      </c>
      <c r="AU219" s="178">
        <f t="shared" si="634"/>
        <v>-0.25775027483956803</v>
      </c>
      <c r="AV219" s="284">
        <f t="shared" si="634"/>
        <v>-1.198193967958632</v>
      </c>
      <c r="AW219" s="391">
        <f t="shared" si="634"/>
        <v>0.11552213224622707</v>
      </c>
      <c r="AX219" s="391">
        <f t="shared" si="634"/>
        <v>0.13948023725695935</v>
      </c>
      <c r="AY219" s="391">
        <f t="shared" si="634"/>
        <v>0.79177896409840542</v>
      </c>
      <c r="AZ219" s="178"/>
      <c r="BA219" s="178"/>
      <c r="BB219" s="178"/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48"/>
      <c r="CU219" s="67"/>
    </row>
    <row r="220" spans="1:99" s="62" customFormat="1" x14ac:dyDescent="0.3">
      <c r="A220" s="150"/>
      <c r="B220" s="63" t="s">
        <v>38</v>
      </c>
      <c r="C220" s="115"/>
      <c r="D220" s="177">
        <f t="shared" ref="D220:AY220" si="635">(C101+C209+D133-D101-D209)/(C101+C209+D133-D209)</f>
        <v>0.20273567917603566</v>
      </c>
      <c r="E220" s="177">
        <f t="shared" si="635"/>
        <v>0.17662090668729624</v>
      </c>
      <c r="F220" s="177">
        <f t="shared" si="635"/>
        <v>0.12811433946282402</v>
      </c>
      <c r="G220" s="177">
        <f t="shared" si="635"/>
        <v>8.1160763965648711E-2</v>
      </c>
      <c r="H220" s="178">
        <f t="shared" si="635"/>
        <v>8.0436199480448417E-2</v>
      </c>
      <c r="I220" s="177">
        <f t="shared" si="635"/>
        <v>7.1214011567541535E-2</v>
      </c>
      <c r="J220" s="178">
        <f t="shared" si="635"/>
        <v>8.5073797522745728E-2</v>
      </c>
      <c r="K220" s="177">
        <f t="shared" si="635"/>
        <v>9.4098686848085505E-2</v>
      </c>
      <c r="L220" s="179">
        <f t="shared" si="635"/>
        <v>0.16616893467926888</v>
      </c>
      <c r="M220" s="178">
        <f t="shared" si="635"/>
        <v>0.19143662685261018</v>
      </c>
      <c r="N220" s="178">
        <f t="shared" si="635"/>
        <v>0.20389756339357623</v>
      </c>
      <c r="O220" s="178">
        <f t="shared" si="635"/>
        <v>0.19698201418325942</v>
      </c>
      <c r="P220" s="178">
        <f t="shared" si="635"/>
        <v>0.16636263834703069</v>
      </c>
      <c r="Q220" s="178">
        <f t="shared" si="635"/>
        <v>0.13472333204061429</v>
      </c>
      <c r="R220" s="178">
        <f t="shared" si="635"/>
        <v>9.1036458192685854E-2</v>
      </c>
      <c r="S220" s="178">
        <f t="shared" si="635"/>
        <v>3.6232243036508342E-2</v>
      </c>
      <c r="T220" s="178">
        <f t="shared" si="635"/>
        <v>5.1103285129970935E-2</v>
      </c>
      <c r="U220" s="178">
        <f t="shared" si="635"/>
        <v>4.0239857064650032E-2</v>
      </c>
      <c r="V220" s="178">
        <f t="shared" si="635"/>
        <v>4.9686947180841677E-2</v>
      </c>
      <c r="W220" s="178">
        <f t="shared" si="635"/>
        <v>8.4488974029999026E-2</v>
      </c>
      <c r="X220" s="179">
        <f t="shared" si="635"/>
        <v>0.15251218494950178</v>
      </c>
      <c r="Y220" s="178">
        <f t="shared" si="635"/>
        <v>0.19119484708288739</v>
      </c>
      <c r="Z220" s="178">
        <f t="shared" si="635"/>
        <v>0.20387283714689544</v>
      </c>
      <c r="AA220" s="178">
        <f t="shared" si="635"/>
        <v>0.22550488958251297</v>
      </c>
      <c r="AB220" s="178">
        <f t="shared" si="635"/>
        <v>0.16733694838134211</v>
      </c>
      <c r="AC220" s="178">
        <f t="shared" si="635"/>
        <v>0.12871650529210207</v>
      </c>
      <c r="AD220" s="178">
        <f t="shared" si="635"/>
        <v>9.2313504423548659E-2</v>
      </c>
      <c r="AE220" s="178">
        <f t="shared" si="635"/>
        <v>0.10685670114242629</v>
      </c>
      <c r="AF220" s="178">
        <f t="shared" si="635"/>
        <v>0.10323301031983602</v>
      </c>
      <c r="AG220" s="178">
        <f t="shared" si="635"/>
        <v>8.8348987377760743E-2</v>
      </c>
      <c r="AH220" s="178">
        <f t="shared" si="635"/>
        <v>8.4005929784754713E-2</v>
      </c>
      <c r="AI220" s="178">
        <f t="shared" si="635"/>
        <v>0.1167550125511166</v>
      </c>
      <c r="AJ220" s="178">
        <f t="shared" si="635"/>
        <v>0.23056772617714963</v>
      </c>
      <c r="AK220" s="178">
        <f t="shared" si="635"/>
        <v>0.2253251469956635</v>
      </c>
      <c r="AL220" s="178">
        <f t="shared" si="635"/>
        <v>0.24781761123675602</v>
      </c>
      <c r="AM220" s="178">
        <f t="shared" si="635"/>
        <v>0.26255490036026408</v>
      </c>
      <c r="AN220" s="178">
        <f t="shared" si="635"/>
        <v>0.1899857230851108</v>
      </c>
      <c r="AO220" s="178">
        <f t="shared" si="635"/>
        <v>0.18082889395094484</v>
      </c>
      <c r="AP220" s="178">
        <f t="shared" si="635"/>
        <v>0.1397753477943274</v>
      </c>
      <c r="AQ220" s="178">
        <f t="shared" si="635"/>
        <v>0.12157637897072607</v>
      </c>
      <c r="AR220" s="178">
        <f t="shared" si="635"/>
        <v>8.7279292377320697E-2</v>
      </c>
      <c r="AS220" s="178">
        <f t="shared" si="635"/>
        <v>9.1730154435818972E-2</v>
      </c>
      <c r="AT220" s="178">
        <f t="shared" si="635"/>
        <v>0.11796222239040156</v>
      </c>
      <c r="AU220" s="178">
        <f t="shared" si="635"/>
        <v>0.12306071469951015</v>
      </c>
      <c r="AV220" s="284">
        <f t="shared" si="635"/>
        <v>0.21129213443077297</v>
      </c>
      <c r="AW220" s="391">
        <f t="shared" si="635"/>
        <v>0.24877613797857989</v>
      </c>
      <c r="AX220" s="391">
        <f t="shared" si="635"/>
        <v>0.23322935302866818</v>
      </c>
      <c r="AY220" s="391">
        <f t="shared" si="635"/>
        <v>0.34164026575415418</v>
      </c>
      <c r="AZ220" s="178"/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36">P220-D220</f>
        <v>-3.6373040829004971E-2</v>
      </c>
      <c r="BK220" s="178">
        <f t="shared" si="636"/>
        <v>-4.1897574646681951E-2</v>
      </c>
      <c r="BL220" s="178">
        <f t="shared" si="636"/>
        <v>-3.7077881270138169E-2</v>
      </c>
      <c r="BM220" s="178">
        <f t="shared" si="636"/>
        <v>-4.4928520929140368E-2</v>
      </c>
      <c r="BN220" s="178">
        <f t="shared" si="636"/>
        <v>-2.9332914350477482E-2</v>
      </c>
      <c r="BO220" s="178">
        <f t="shared" si="636"/>
        <v>-3.0974154502891503E-2</v>
      </c>
      <c r="BP220" s="178">
        <f t="shared" si="636"/>
        <v>-3.5386850341904051E-2</v>
      </c>
      <c r="BQ220" s="178">
        <f t="shared" si="636"/>
        <v>-9.6097128180864799E-3</v>
      </c>
      <c r="BR220" s="178">
        <f t="shared" si="636"/>
        <v>-1.3656749729767104E-2</v>
      </c>
      <c r="BS220" s="178">
        <f t="shared" si="636"/>
        <v>-2.4177976972278303E-4</v>
      </c>
      <c r="BT220" s="178">
        <f t="shared" si="636"/>
        <v>-2.4726246680789599E-5</v>
      </c>
      <c r="BU220" s="178">
        <f t="shared" si="636"/>
        <v>2.852287539925355E-2</v>
      </c>
      <c r="BV220" s="178">
        <f t="shared" si="636"/>
        <v>9.7431003431142083E-4</v>
      </c>
      <c r="BW220" s="178">
        <f t="shared" si="636"/>
        <v>-6.0068267485122173E-3</v>
      </c>
      <c r="BX220" s="178">
        <f t="shared" si="636"/>
        <v>1.277046230862805E-3</v>
      </c>
      <c r="BY220" s="178">
        <f t="shared" si="636"/>
        <v>7.0624458105917942E-2</v>
      </c>
      <c r="BZ220" s="178">
        <f t="shared" si="636"/>
        <v>5.2129725189865084E-2</v>
      </c>
      <c r="CA220" s="284">
        <f t="shared" si="636"/>
        <v>4.8109130313110711E-2</v>
      </c>
      <c r="CB220" s="284">
        <f t="shared" si="636"/>
        <v>3.4318982603913036E-2</v>
      </c>
      <c r="CC220" s="284">
        <f t="shared" si="636"/>
        <v>3.2266038521117577E-2</v>
      </c>
      <c r="CD220" s="355">
        <f t="shared" si="636"/>
        <v>7.8055541227647851E-2</v>
      </c>
      <c r="CE220" s="356">
        <f t="shared" si="636"/>
        <v>3.4130299912776108E-2</v>
      </c>
      <c r="CF220" s="356">
        <f t="shared" ref="CF220:CS220" si="637">AL220-Z220</f>
        <v>4.3944774089860583E-2</v>
      </c>
      <c r="CG220" s="356">
        <f t="shared" si="637"/>
        <v>3.7050010777751108E-2</v>
      </c>
      <c r="CH220" s="356">
        <f t="shared" si="637"/>
        <v>2.2648774703768693E-2</v>
      </c>
      <c r="CI220" s="356">
        <f t="shared" si="637"/>
        <v>5.2112388658842768E-2</v>
      </c>
      <c r="CJ220" s="356">
        <f t="shared" si="637"/>
        <v>4.7461843370778745E-2</v>
      </c>
      <c r="CK220" s="356">
        <f t="shared" si="637"/>
        <v>1.4719677828299776E-2</v>
      </c>
      <c r="CL220" s="356">
        <f t="shared" si="637"/>
        <v>-1.5953717942515322E-2</v>
      </c>
      <c r="CM220" s="356">
        <f t="shared" si="637"/>
        <v>3.3811670580582293E-3</v>
      </c>
      <c r="CN220" s="356">
        <f t="shared" si="637"/>
        <v>3.3956292605646851E-2</v>
      </c>
      <c r="CO220" s="356">
        <f t="shared" si="637"/>
        <v>6.3057021483935438E-3</v>
      </c>
      <c r="CP220" s="356">
        <f t="shared" si="637"/>
        <v>-1.9275591746376664E-2</v>
      </c>
      <c r="CQ220" s="356">
        <f t="shared" si="637"/>
        <v>2.3450990982916392E-2</v>
      </c>
      <c r="CR220" s="356">
        <f t="shared" si="637"/>
        <v>-1.4588258208087845E-2</v>
      </c>
      <c r="CS220" s="356">
        <f t="shared" si="637"/>
        <v>7.9085365393890106E-2</v>
      </c>
      <c r="CT220" s="348"/>
      <c r="CU220" s="67"/>
    </row>
    <row r="221" spans="1:99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38">(W102+W210+X134-X102-X210)/(W102+W210+X134-X210)</f>
        <v>0.14916606018774201</v>
      </c>
      <c r="Y221" s="246">
        <f t="shared" si="638"/>
        <v>0.18638975879031236</v>
      </c>
      <c r="Z221" s="246">
        <f t="shared" si="638"/>
        <v>0.19990975056042223</v>
      </c>
      <c r="AA221" s="246">
        <f t="shared" si="638"/>
        <v>0.22256441505950128</v>
      </c>
      <c r="AB221" s="246">
        <f t="shared" si="638"/>
        <v>0.16439891346578508</v>
      </c>
      <c r="AC221" s="246">
        <f t="shared" si="638"/>
        <v>0.12580628970290811</v>
      </c>
      <c r="AD221" s="246">
        <f t="shared" si="638"/>
        <v>8.9815831025799153E-2</v>
      </c>
      <c r="AE221" s="246">
        <f t="shared" si="638"/>
        <v>0.10622003711509491</v>
      </c>
      <c r="AF221" s="246">
        <f t="shared" ref="AF221:AY221" si="639">(AE102+AE210+AF134-AF102-AF210)/(AE102+AE210+AF134-AF210)</f>
        <v>0.10257708088204995</v>
      </c>
      <c r="AG221" s="246">
        <f t="shared" si="639"/>
        <v>8.8604184356889382E-2</v>
      </c>
      <c r="AH221" s="246">
        <f t="shared" si="639"/>
        <v>8.3324569289616235E-2</v>
      </c>
      <c r="AI221" s="246">
        <f t="shared" si="639"/>
        <v>0.11530436685468277</v>
      </c>
      <c r="AJ221" s="178">
        <f t="shared" si="639"/>
        <v>0.22873484984204587</v>
      </c>
      <c r="AK221" s="178">
        <f t="shared" si="639"/>
        <v>0.22300587826737231</v>
      </c>
      <c r="AL221" s="178">
        <f t="shared" si="639"/>
        <v>0.24398579255758282</v>
      </c>
      <c r="AM221" s="178">
        <f t="shared" si="639"/>
        <v>0.25913329690964271</v>
      </c>
      <c r="AN221" s="178">
        <f t="shared" si="639"/>
        <v>0.18829612194628709</v>
      </c>
      <c r="AO221" s="178">
        <f t="shared" si="639"/>
        <v>0.17945842772967599</v>
      </c>
      <c r="AP221" s="178">
        <f t="shared" si="639"/>
        <v>0.138563745613137</v>
      </c>
      <c r="AQ221" s="178">
        <f t="shared" si="639"/>
        <v>0.11972807863633746</v>
      </c>
      <c r="AR221" s="178">
        <f t="shared" si="639"/>
        <v>7.8700153399509087E-2</v>
      </c>
      <c r="AS221" s="178">
        <f t="shared" si="639"/>
        <v>9.0396358422714415E-2</v>
      </c>
      <c r="AT221" s="178">
        <f t="shared" si="639"/>
        <v>0.11695881120719097</v>
      </c>
      <c r="AU221" s="178">
        <f t="shared" si="639"/>
        <v>0.12460824771803759</v>
      </c>
      <c r="AV221" s="284">
        <f t="shared" si="639"/>
        <v>0.21439777875117774</v>
      </c>
      <c r="AW221" s="391">
        <f t="shared" si="639"/>
        <v>0.25122723676757208</v>
      </c>
      <c r="AX221" s="391">
        <f t="shared" si="639"/>
        <v>0.23506185937565063</v>
      </c>
      <c r="AY221" s="391">
        <f t="shared" si="639"/>
        <v>0.33912877750776399</v>
      </c>
      <c r="AZ221" s="178"/>
      <c r="BA221" s="178"/>
      <c r="BB221" s="178"/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48"/>
      <c r="CU221" s="67"/>
    </row>
    <row r="222" spans="1:99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38"/>
        <v>0.24838251214524468</v>
      </c>
      <c r="Y222" s="246">
        <f t="shared" si="638"/>
        <v>0.32941409682213268</v>
      </c>
      <c r="Z222" s="246">
        <f t="shared" si="638"/>
        <v>0.32109317393993575</v>
      </c>
      <c r="AA222" s="246">
        <f t="shared" si="638"/>
        <v>0.31753544310203341</v>
      </c>
      <c r="AB222" s="246">
        <f t="shared" si="638"/>
        <v>0.26133372142343508</v>
      </c>
      <c r="AC222" s="246">
        <f t="shared" si="638"/>
        <v>0.22529340435955408</v>
      </c>
      <c r="AD222" s="246">
        <f t="shared" si="638"/>
        <v>0.18098954528225658</v>
      </c>
      <c r="AE222" s="246">
        <f t="shared" si="638"/>
        <v>0.13094332121310845</v>
      </c>
      <c r="AF222" s="246">
        <f t="shared" ref="AF222:AY222" si="640">(AE103+AE211+AF135-AF103-AF211)/(AE103+AE211+AF135-AF211)</f>
        <v>0.12768683387225732</v>
      </c>
      <c r="AG222" s="246">
        <f t="shared" si="640"/>
        <v>7.8917097215246382E-2</v>
      </c>
      <c r="AH222" s="246">
        <f t="shared" si="640"/>
        <v>0.10807434343582044</v>
      </c>
      <c r="AI222" s="246">
        <f t="shared" si="640"/>
        <v>0.16663492386510786</v>
      </c>
      <c r="AJ222" s="178">
        <f t="shared" si="640"/>
        <v>0.29156616212465924</v>
      </c>
      <c r="AK222" s="178">
        <f t="shared" si="640"/>
        <v>0.30283330688997445</v>
      </c>
      <c r="AL222" s="178">
        <f t="shared" si="640"/>
        <v>0.37261950542560485</v>
      </c>
      <c r="AM222" s="178">
        <f t="shared" si="640"/>
        <v>0.37926641541483092</v>
      </c>
      <c r="AN222" s="178">
        <f t="shared" si="640"/>
        <v>0.25373637857399672</v>
      </c>
      <c r="AO222" s="178">
        <f t="shared" si="640"/>
        <v>0.23413863062649806</v>
      </c>
      <c r="AP222" s="178">
        <f t="shared" si="640"/>
        <v>0.18854717501897539</v>
      </c>
      <c r="AQ222" s="178">
        <f t="shared" si="640"/>
        <v>0.19945391727825659</v>
      </c>
      <c r="AR222" s="178">
        <f t="shared" si="640"/>
        <v>0.47033003688878422</v>
      </c>
      <c r="AS222" s="178">
        <f t="shared" si="640"/>
        <v>0.18766785385363466</v>
      </c>
      <c r="AT222" s="178">
        <f t="shared" si="640"/>
        <v>0.19113816990656213</v>
      </c>
      <c r="AU222" s="178">
        <f t="shared" si="640"/>
        <v>-2.6540360962888053E-2</v>
      </c>
      <c r="AV222" s="284">
        <f t="shared" si="640"/>
        <v>-0.17038962266379984</v>
      </c>
      <c r="AW222" s="391">
        <f t="shared" si="640"/>
        <v>-1.9787781590332686E-2</v>
      </c>
      <c r="AX222" s="391">
        <f t="shared" si="640"/>
        <v>4.4201788625920252E-2</v>
      </c>
      <c r="AY222" s="391">
        <f t="shared" si="640"/>
        <v>0.50637832645768877</v>
      </c>
      <c r="AZ222" s="178"/>
      <c r="BA222" s="178"/>
      <c r="BB222" s="178"/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48"/>
      <c r="CU222" s="67"/>
    </row>
    <row r="223" spans="1:99" s="62" customFormat="1" x14ac:dyDescent="0.3">
      <c r="A223" s="150"/>
      <c r="B223" s="63" t="s">
        <v>39</v>
      </c>
      <c r="C223" s="115"/>
      <c r="D223" s="177">
        <f t="shared" ref="D223:AY223" si="641">(C104+C212+D136-D104-D212)/(C104+C212+D136-D212)</f>
        <v>0.72248524125503888</v>
      </c>
      <c r="E223" s="177">
        <f t="shared" si="641"/>
        <v>0.71103749546697848</v>
      </c>
      <c r="F223" s="177">
        <f t="shared" si="641"/>
        <v>0.61327129654385304</v>
      </c>
      <c r="G223" s="177">
        <f t="shared" si="641"/>
        <v>0.58220487129053633</v>
      </c>
      <c r="H223" s="178">
        <f t="shared" si="641"/>
        <v>0.56059690309406085</v>
      </c>
      <c r="I223" s="177">
        <f t="shared" si="641"/>
        <v>0.57676841023233272</v>
      </c>
      <c r="J223" s="178">
        <f t="shared" si="641"/>
        <v>0.63428710136978339</v>
      </c>
      <c r="K223" s="177">
        <f t="shared" si="641"/>
        <v>0.63530826255483308</v>
      </c>
      <c r="L223" s="179">
        <f t="shared" si="641"/>
        <v>0.77548195329391634</v>
      </c>
      <c r="M223" s="178">
        <f t="shared" si="641"/>
        <v>0.80573008935342338</v>
      </c>
      <c r="N223" s="178">
        <f t="shared" si="641"/>
        <v>0.74468677065528732</v>
      </c>
      <c r="O223" s="178">
        <f t="shared" si="641"/>
        <v>0.74489797460360718</v>
      </c>
      <c r="P223" s="178">
        <f t="shared" si="641"/>
        <v>0.56517662997918117</v>
      </c>
      <c r="Q223" s="178">
        <f t="shared" si="641"/>
        <v>0.58156650642791152</v>
      </c>
      <c r="R223" s="178">
        <f t="shared" si="641"/>
        <v>0.50556262414473752</v>
      </c>
      <c r="S223" s="178">
        <f t="shared" si="641"/>
        <v>0.44959544835664794</v>
      </c>
      <c r="T223" s="178">
        <f t="shared" si="641"/>
        <v>0.38574938807062631</v>
      </c>
      <c r="U223" s="178">
        <f t="shared" si="641"/>
        <v>0.41965306422516485</v>
      </c>
      <c r="V223" s="178">
        <f t="shared" si="641"/>
        <v>0.42344459438301935</v>
      </c>
      <c r="W223" s="178">
        <f t="shared" si="641"/>
        <v>0.52427618309097312</v>
      </c>
      <c r="X223" s="179">
        <f t="shared" si="641"/>
        <v>0.6717443568269299</v>
      </c>
      <c r="Y223" s="178">
        <f t="shared" si="641"/>
        <v>0.66180548536982986</v>
      </c>
      <c r="Z223" s="178">
        <f t="shared" si="641"/>
        <v>0.70381646169895229</v>
      </c>
      <c r="AA223" s="178">
        <f t="shared" si="641"/>
        <v>0.76168144542722127</v>
      </c>
      <c r="AB223" s="178">
        <f t="shared" si="641"/>
        <v>0.65085512491249642</v>
      </c>
      <c r="AC223" s="178">
        <f t="shared" si="641"/>
        <v>0.57753483650958359</v>
      </c>
      <c r="AD223" s="178">
        <f t="shared" si="641"/>
        <v>0.47794763919582184</v>
      </c>
      <c r="AE223" s="178">
        <f t="shared" si="641"/>
        <v>0.42126868762707903</v>
      </c>
      <c r="AF223" s="178">
        <f t="shared" si="641"/>
        <v>0.43996508033843007</v>
      </c>
      <c r="AG223" s="178">
        <f t="shared" si="641"/>
        <v>0.44421495950685902</v>
      </c>
      <c r="AH223" s="178">
        <f t="shared" si="641"/>
        <v>0.44636673383715569</v>
      </c>
      <c r="AI223" s="178">
        <f t="shared" si="641"/>
        <v>0.57756905374381806</v>
      </c>
      <c r="AJ223" s="178">
        <f t="shared" si="641"/>
        <v>0.6789625305980338</v>
      </c>
      <c r="AK223" s="178">
        <f t="shared" si="641"/>
        <v>0.62724353712168024</v>
      </c>
      <c r="AL223" s="178">
        <f t="shared" si="641"/>
        <v>0.73086016675555365</v>
      </c>
      <c r="AM223" s="178">
        <f t="shared" si="641"/>
        <v>0.73212996011768994</v>
      </c>
      <c r="AN223" s="178">
        <f t="shared" si="641"/>
        <v>0.69191169352711446</v>
      </c>
      <c r="AO223" s="178">
        <f t="shared" si="641"/>
        <v>0.65414927369803144</v>
      </c>
      <c r="AP223" s="178">
        <f t="shared" si="641"/>
        <v>0.56816767558725545</v>
      </c>
      <c r="AQ223" s="178">
        <f t="shared" si="641"/>
        <v>0.52590153901273862</v>
      </c>
      <c r="AR223" s="178">
        <f t="shared" si="641"/>
        <v>0.54261682414321921</v>
      </c>
      <c r="AS223" s="178">
        <f t="shared" si="641"/>
        <v>0.48707854401861206</v>
      </c>
      <c r="AT223" s="178">
        <f t="shared" si="641"/>
        <v>0.54435292384017231</v>
      </c>
      <c r="AU223" s="178">
        <f t="shared" si="641"/>
        <v>0.59654789911869033</v>
      </c>
      <c r="AV223" s="284">
        <f t="shared" si="641"/>
        <v>0.69959464438487062</v>
      </c>
      <c r="AW223" s="391">
        <f t="shared" si="641"/>
        <v>0.76521944701135869</v>
      </c>
      <c r="AX223" s="391">
        <f t="shared" si="641"/>
        <v>0.75880474355473615</v>
      </c>
      <c r="AY223" s="391">
        <f t="shared" si="641"/>
        <v>0.83320278122268321</v>
      </c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6" si="642">P223-D223</f>
        <v>-0.15730861127585771</v>
      </c>
      <c r="BK223" s="178">
        <f t="shared" si="642"/>
        <v>-0.12947098903906695</v>
      </c>
      <c r="BL223" s="178">
        <f t="shared" si="642"/>
        <v>-0.10770867239911552</v>
      </c>
      <c r="BM223" s="178">
        <f t="shared" si="642"/>
        <v>-0.13260942293388839</v>
      </c>
      <c r="BN223" s="178">
        <f t="shared" si="642"/>
        <v>-0.17484751502343454</v>
      </c>
      <c r="BO223" s="178">
        <f t="shared" si="642"/>
        <v>-0.15711534600716787</v>
      </c>
      <c r="BP223" s="178">
        <f t="shared" si="642"/>
        <v>-0.21084250698676404</v>
      </c>
      <c r="BQ223" s="178">
        <f t="shared" si="642"/>
        <v>-0.11103207946385996</v>
      </c>
      <c r="BR223" s="178">
        <f t="shared" si="642"/>
        <v>-0.10373759646698644</v>
      </c>
      <c r="BS223" s="178">
        <f t="shared" si="642"/>
        <v>-0.14392460398359352</v>
      </c>
      <c r="BT223" s="178">
        <f t="shared" ref="BT223:CE226" si="643">Z223-N223</f>
        <v>-4.0870308956335033E-2</v>
      </c>
      <c r="BU223" s="178">
        <f t="shared" si="643"/>
        <v>1.6783470823614088E-2</v>
      </c>
      <c r="BV223" s="178">
        <f t="shared" si="643"/>
        <v>8.5678494933315252E-2</v>
      </c>
      <c r="BW223" s="178">
        <f t="shared" si="643"/>
        <v>-4.0316699183279292E-3</v>
      </c>
      <c r="BX223" s="178">
        <f t="shared" si="643"/>
        <v>-2.7614984948915677E-2</v>
      </c>
      <c r="BY223" s="178">
        <f t="shared" si="643"/>
        <v>-2.8326760729568912E-2</v>
      </c>
      <c r="BZ223" s="178">
        <f t="shared" si="643"/>
        <v>5.4215692267803761E-2</v>
      </c>
      <c r="CA223" s="284">
        <f t="shared" si="643"/>
        <v>2.4561895281694168E-2</v>
      </c>
      <c r="CB223" s="284">
        <f t="shared" si="643"/>
        <v>2.2922139454136348E-2</v>
      </c>
      <c r="CC223" s="284">
        <f t="shared" si="643"/>
        <v>5.3292870652844937E-2</v>
      </c>
      <c r="CD223" s="355">
        <f t="shared" si="643"/>
        <v>7.2181737711038974E-3</v>
      </c>
      <c r="CE223" s="356">
        <f t="shared" si="643"/>
        <v>-3.4561948248149621E-2</v>
      </c>
      <c r="CF223" s="356">
        <f t="shared" ref="CF223:CS226" si="644">AL223-Z223</f>
        <v>2.7043705056601364E-2</v>
      </c>
      <c r="CG223" s="356">
        <f t="shared" si="644"/>
        <v>-2.9551485309531333E-2</v>
      </c>
      <c r="CH223" s="356">
        <f t="shared" si="644"/>
        <v>4.1056568614618039E-2</v>
      </c>
      <c r="CI223" s="356">
        <f t="shared" si="644"/>
        <v>7.6614437188447848E-2</v>
      </c>
      <c r="CJ223" s="356">
        <f t="shared" si="644"/>
        <v>9.0220036391433611E-2</v>
      </c>
      <c r="CK223" s="356">
        <f t="shared" si="644"/>
        <v>0.10463285138565959</v>
      </c>
      <c r="CL223" s="356">
        <f t="shared" si="644"/>
        <v>0.10265174380478914</v>
      </c>
      <c r="CM223" s="356">
        <f t="shared" si="644"/>
        <v>4.2863584511753039E-2</v>
      </c>
      <c r="CN223" s="356">
        <f t="shared" si="644"/>
        <v>9.7986190003016616E-2</v>
      </c>
      <c r="CO223" s="356">
        <f t="shared" si="644"/>
        <v>1.8978845374872266E-2</v>
      </c>
      <c r="CP223" s="356">
        <f t="shared" si="644"/>
        <v>2.0632113786836825E-2</v>
      </c>
      <c r="CQ223" s="356">
        <f t="shared" si="644"/>
        <v>0.13797590988967845</v>
      </c>
      <c r="CR223" s="356">
        <f t="shared" si="644"/>
        <v>2.7944576799182497E-2</v>
      </c>
      <c r="CS223" s="356">
        <f t="shared" si="644"/>
        <v>0.10107282110499327</v>
      </c>
      <c r="CT223" s="348"/>
      <c r="CU223" s="67"/>
    </row>
    <row r="224" spans="1:99" s="62" customFormat="1" x14ac:dyDescent="0.3">
      <c r="A224" s="150"/>
      <c r="B224" s="63" t="s">
        <v>40</v>
      </c>
      <c r="C224" s="115"/>
      <c r="D224" s="177">
        <f t="shared" ref="D224:AY224" si="645">(C105+C213+D137-D105-D213)/(C105+C213+D137-D213)</f>
        <v>0.76788412236906411</v>
      </c>
      <c r="E224" s="177">
        <f t="shared" si="645"/>
        <v>0.76636769194828502</v>
      </c>
      <c r="F224" s="177">
        <f t="shared" si="645"/>
        <v>0.65647435371248042</v>
      </c>
      <c r="G224" s="177">
        <f t="shared" si="645"/>
        <v>0.60563474190824762</v>
      </c>
      <c r="H224" s="178">
        <f t="shared" si="645"/>
        <v>0.61048251882202198</v>
      </c>
      <c r="I224" s="177">
        <f t="shared" si="645"/>
        <v>0.66454504537917303</v>
      </c>
      <c r="J224" s="178">
        <f t="shared" si="645"/>
        <v>0.70224803100288957</v>
      </c>
      <c r="K224" s="177">
        <f t="shared" si="645"/>
        <v>0.72767272359411705</v>
      </c>
      <c r="L224" s="179">
        <f t="shared" si="645"/>
        <v>0.77258922766763272</v>
      </c>
      <c r="M224" s="178">
        <f t="shared" si="645"/>
        <v>0.84939266182797923</v>
      </c>
      <c r="N224" s="178">
        <f t="shared" si="645"/>
        <v>0.78517323582427589</v>
      </c>
      <c r="O224" s="178">
        <f t="shared" si="645"/>
        <v>0.79676420675907811</v>
      </c>
      <c r="P224" s="178">
        <f t="shared" si="645"/>
        <v>0.63487404990006213</v>
      </c>
      <c r="Q224" s="178">
        <f t="shared" si="645"/>
        <v>0.6622094846209724</v>
      </c>
      <c r="R224" s="178">
        <f t="shared" si="645"/>
        <v>0.57790894430732476</v>
      </c>
      <c r="S224" s="178">
        <f t="shared" si="645"/>
        <v>0.52886207874182656</v>
      </c>
      <c r="T224" s="178">
        <f t="shared" si="645"/>
        <v>0.45290824003586694</v>
      </c>
      <c r="U224" s="178">
        <f t="shared" si="645"/>
        <v>0.47411237059167999</v>
      </c>
      <c r="V224" s="178">
        <f t="shared" si="645"/>
        <v>0.51738298211404821</v>
      </c>
      <c r="W224" s="178">
        <f t="shared" si="645"/>
        <v>0.57570642787948301</v>
      </c>
      <c r="X224" s="179">
        <f t="shared" si="645"/>
        <v>0.71323339341921321</v>
      </c>
      <c r="Y224" s="178">
        <f t="shared" si="645"/>
        <v>0.70392607492331094</v>
      </c>
      <c r="Z224" s="178">
        <f t="shared" si="645"/>
        <v>0.72157020295429408</v>
      </c>
      <c r="AA224" s="178">
        <f t="shared" si="645"/>
        <v>0.80750228621772513</v>
      </c>
      <c r="AB224" s="178">
        <f t="shared" si="645"/>
        <v>0.71704679746349831</v>
      </c>
      <c r="AC224" s="178">
        <f t="shared" si="645"/>
        <v>0.65059090449519474</v>
      </c>
      <c r="AD224" s="178">
        <f t="shared" si="645"/>
        <v>0.54455942081446251</v>
      </c>
      <c r="AE224" s="178">
        <f t="shared" si="645"/>
        <v>0.54733053264463694</v>
      </c>
      <c r="AF224" s="178">
        <f t="shared" si="645"/>
        <v>0.54907147398719036</v>
      </c>
      <c r="AG224" s="178">
        <f t="shared" si="645"/>
        <v>0.50870406859240835</v>
      </c>
      <c r="AH224" s="178">
        <f t="shared" si="645"/>
        <v>0.537534593143985</v>
      </c>
      <c r="AI224" s="178">
        <f t="shared" si="645"/>
        <v>0.60487417357213502</v>
      </c>
      <c r="AJ224" s="178">
        <f t="shared" si="645"/>
        <v>0.69930866364297128</v>
      </c>
      <c r="AK224" s="178">
        <f t="shared" si="645"/>
        <v>0.63795848778940711</v>
      </c>
      <c r="AL224" s="178">
        <f t="shared" si="645"/>
        <v>0.74907184460575937</v>
      </c>
      <c r="AM224" s="178">
        <f t="shared" si="645"/>
        <v>0.75925923582647359</v>
      </c>
      <c r="AN224" s="178">
        <f t="shared" si="645"/>
        <v>0.74863773207174211</v>
      </c>
      <c r="AO224" s="178">
        <f t="shared" si="645"/>
        <v>0.6919884538547727</v>
      </c>
      <c r="AP224" s="178">
        <f t="shared" si="645"/>
        <v>0.64376529018618378</v>
      </c>
      <c r="AQ224" s="178">
        <f t="shared" si="645"/>
        <v>0.62072199173454701</v>
      </c>
      <c r="AR224" s="178">
        <f t="shared" si="645"/>
        <v>0.59670462313535444</v>
      </c>
      <c r="AS224" s="178">
        <f t="shared" si="645"/>
        <v>0.52521385107850027</v>
      </c>
      <c r="AT224" s="178">
        <f t="shared" si="645"/>
        <v>0.61840250997732338</v>
      </c>
      <c r="AU224" s="178">
        <f t="shared" si="645"/>
        <v>0.66519832745114194</v>
      </c>
      <c r="AV224" s="284">
        <f t="shared" si="645"/>
        <v>0.71444265235087934</v>
      </c>
      <c r="AW224" s="391">
        <f t="shared" si="645"/>
        <v>0.79278745363749792</v>
      </c>
      <c r="AX224" s="391">
        <f t="shared" si="645"/>
        <v>0.78853794013086764</v>
      </c>
      <c r="AY224" s="391">
        <f t="shared" si="645"/>
        <v>0.79729733550074211</v>
      </c>
      <c r="AZ224" s="178"/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42"/>
        <v>-0.13301007246900198</v>
      </c>
      <c r="BK224" s="178">
        <f t="shared" si="642"/>
        <v>-0.10415820732731262</v>
      </c>
      <c r="BL224" s="178">
        <f t="shared" si="642"/>
        <v>-7.8565409405155662E-2</v>
      </c>
      <c r="BM224" s="178">
        <f t="shared" si="642"/>
        <v>-7.6772663166421062E-2</v>
      </c>
      <c r="BN224" s="178">
        <f t="shared" si="642"/>
        <v>-0.15757427878615504</v>
      </c>
      <c r="BO224" s="178">
        <f t="shared" si="642"/>
        <v>-0.19043267478749304</v>
      </c>
      <c r="BP224" s="178">
        <f t="shared" si="642"/>
        <v>-0.18486504888884137</v>
      </c>
      <c r="BQ224" s="178">
        <f t="shared" si="642"/>
        <v>-0.15196629571463405</v>
      </c>
      <c r="BR224" s="178">
        <f t="shared" si="642"/>
        <v>-5.9355834248419503E-2</v>
      </c>
      <c r="BS224" s="178">
        <f t="shared" si="642"/>
        <v>-0.14546658690466829</v>
      </c>
      <c r="BT224" s="178">
        <f t="shared" si="643"/>
        <v>-6.3603032869981813E-2</v>
      </c>
      <c r="BU224" s="178">
        <f t="shared" si="643"/>
        <v>1.0738079458647021E-2</v>
      </c>
      <c r="BV224" s="178">
        <f t="shared" si="643"/>
        <v>8.2172747563436177E-2</v>
      </c>
      <c r="BW224" s="178">
        <f t="shared" si="643"/>
        <v>-1.1618580125777656E-2</v>
      </c>
      <c r="BX224" s="178">
        <f t="shared" si="643"/>
        <v>-3.3349523492862243E-2</v>
      </c>
      <c r="BY224" s="178">
        <f t="shared" si="643"/>
        <v>1.8468453902810378E-2</v>
      </c>
      <c r="BZ224" s="178">
        <f t="shared" si="643"/>
        <v>9.6163233951323424E-2</v>
      </c>
      <c r="CA224" s="284">
        <f t="shared" si="643"/>
        <v>3.4591698000728366E-2</v>
      </c>
      <c r="CB224" s="284">
        <f t="shared" si="643"/>
        <v>2.0151611029936789E-2</v>
      </c>
      <c r="CC224" s="284">
        <f t="shared" si="643"/>
        <v>2.9167745692652014E-2</v>
      </c>
      <c r="CD224" s="355">
        <f t="shared" si="643"/>
        <v>-1.3924729776241929E-2</v>
      </c>
      <c r="CE224" s="356">
        <f t="shared" si="643"/>
        <v>-6.5967587133903827E-2</v>
      </c>
      <c r="CF224" s="356">
        <f t="shared" si="644"/>
        <v>2.7501641651465292E-2</v>
      </c>
      <c r="CG224" s="356">
        <f t="shared" si="644"/>
        <v>-4.8243050391251541E-2</v>
      </c>
      <c r="CH224" s="356">
        <f t="shared" si="644"/>
        <v>3.1590934608243804E-2</v>
      </c>
      <c r="CI224" s="356">
        <f t="shared" si="644"/>
        <v>4.1397549359577956E-2</v>
      </c>
      <c r="CJ224" s="356">
        <f t="shared" si="644"/>
        <v>9.9205869371721267E-2</v>
      </c>
      <c r="CK224" s="356">
        <f t="shared" si="644"/>
        <v>7.3391459089910072E-2</v>
      </c>
      <c r="CL224" s="356">
        <f t="shared" si="644"/>
        <v>4.7633149148164078E-2</v>
      </c>
      <c r="CM224" s="356">
        <f t="shared" si="644"/>
        <v>1.6509782486091917E-2</v>
      </c>
      <c r="CN224" s="356">
        <f t="shared" si="644"/>
        <v>8.0867916833338382E-2</v>
      </c>
      <c r="CO224" s="356">
        <f t="shared" si="644"/>
        <v>6.0324153879006914E-2</v>
      </c>
      <c r="CP224" s="356">
        <f t="shared" si="644"/>
        <v>1.5133988707908053E-2</v>
      </c>
      <c r="CQ224" s="356">
        <f t="shared" si="644"/>
        <v>0.1548289658480908</v>
      </c>
      <c r="CR224" s="356">
        <f t="shared" si="644"/>
        <v>3.9466095525108269E-2</v>
      </c>
      <c r="CS224" s="356">
        <f t="shared" si="644"/>
        <v>3.8038099674268522E-2</v>
      </c>
      <c r="CT224" s="348"/>
      <c r="CU224" s="67"/>
    </row>
    <row r="225" spans="1:99" s="62" customFormat="1" x14ac:dyDescent="0.3">
      <c r="A225" s="150"/>
      <c r="B225" s="63" t="s">
        <v>41</v>
      </c>
      <c r="C225" s="115"/>
      <c r="D225" s="177">
        <f t="shared" ref="D225:AY225" si="646">(C106+C214+D138-D106-D214)/(C106+C214+D138-D214)</f>
        <v>0.77995007462862265</v>
      </c>
      <c r="E225" s="177">
        <f t="shared" si="646"/>
        <v>0.76326488383481228</v>
      </c>
      <c r="F225" s="177">
        <f t="shared" si="646"/>
        <v>0.60538559251066026</v>
      </c>
      <c r="G225" s="177">
        <f t="shared" si="646"/>
        <v>0.57361783727957982</v>
      </c>
      <c r="H225" s="178">
        <f t="shared" si="646"/>
        <v>0.56043741546688186</v>
      </c>
      <c r="I225" s="177">
        <f t="shared" si="646"/>
        <v>0.68021291816967178</v>
      </c>
      <c r="J225" s="178">
        <f t="shared" si="646"/>
        <v>0.71673283485465533</v>
      </c>
      <c r="K225" s="177">
        <f t="shared" si="646"/>
        <v>0.64218109706106019</v>
      </c>
      <c r="L225" s="179">
        <f t="shared" si="646"/>
        <v>0.7128933295116382</v>
      </c>
      <c r="M225" s="178">
        <f t="shared" si="646"/>
        <v>0.82560595029020667</v>
      </c>
      <c r="N225" s="178">
        <f t="shared" si="646"/>
        <v>0.70979505717162061</v>
      </c>
      <c r="O225" s="178">
        <f t="shared" si="646"/>
        <v>0.75878729623108443</v>
      </c>
      <c r="P225" s="178">
        <f t="shared" si="646"/>
        <v>0.60109779398465535</v>
      </c>
      <c r="Q225" s="178">
        <f t="shared" si="646"/>
        <v>0.66539207938865208</v>
      </c>
      <c r="R225" s="178">
        <f t="shared" si="646"/>
        <v>0.58519116241690705</v>
      </c>
      <c r="S225" s="178">
        <f t="shared" si="646"/>
        <v>0.50361194552246458</v>
      </c>
      <c r="T225" s="178">
        <f t="shared" si="646"/>
        <v>0.49804555920729371</v>
      </c>
      <c r="U225" s="178">
        <f t="shared" si="646"/>
        <v>0.4095000597611943</v>
      </c>
      <c r="V225" s="178">
        <f t="shared" si="646"/>
        <v>0.47398636733709376</v>
      </c>
      <c r="W225" s="178">
        <f t="shared" si="646"/>
        <v>0.48043034652419919</v>
      </c>
      <c r="X225" s="179">
        <f t="shared" si="646"/>
        <v>0.61337098334709428</v>
      </c>
      <c r="Y225" s="178">
        <f t="shared" si="646"/>
        <v>0.67294120507482513</v>
      </c>
      <c r="Z225" s="178">
        <f t="shared" si="646"/>
        <v>0.67923185701305266</v>
      </c>
      <c r="AA225" s="178">
        <f t="shared" si="646"/>
        <v>0.77574109007918179</v>
      </c>
      <c r="AB225" s="178">
        <f t="shared" si="646"/>
        <v>0.72801079777361344</v>
      </c>
      <c r="AC225" s="178">
        <f t="shared" si="646"/>
        <v>0.69448821776146841</v>
      </c>
      <c r="AD225" s="178">
        <f t="shared" si="646"/>
        <v>0.69772792540292328</v>
      </c>
      <c r="AE225" s="178">
        <f t="shared" si="646"/>
        <v>0.59475831711482519</v>
      </c>
      <c r="AF225" s="178">
        <f t="shared" si="646"/>
        <v>0.67128105466418764</v>
      </c>
      <c r="AG225" s="178">
        <f t="shared" si="646"/>
        <v>0.53891609097374127</v>
      </c>
      <c r="AH225" s="178">
        <f t="shared" si="646"/>
        <v>0.69832559658314197</v>
      </c>
      <c r="AI225" s="178">
        <f t="shared" si="646"/>
        <v>0.58019623022755817</v>
      </c>
      <c r="AJ225" s="178">
        <f t="shared" si="646"/>
        <v>0.63713581142910791</v>
      </c>
      <c r="AK225" s="178">
        <f t="shared" si="646"/>
        <v>0.61761246179724472</v>
      </c>
      <c r="AL225" s="178">
        <f t="shared" si="646"/>
        <v>0.69512166597503111</v>
      </c>
      <c r="AM225" s="178">
        <f t="shared" si="646"/>
        <v>0.75160584000710018</v>
      </c>
      <c r="AN225" s="178">
        <f t="shared" si="646"/>
        <v>0.74712594265345444</v>
      </c>
      <c r="AO225" s="178">
        <f t="shared" si="646"/>
        <v>0.70615464669447769</v>
      </c>
      <c r="AP225" s="178">
        <f t="shared" si="646"/>
        <v>0.62298325659751785</v>
      </c>
      <c r="AQ225" s="178">
        <f t="shared" si="646"/>
        <v>0.62774327968694532</v>
      </c>
      <c r="AR225" s="178">
        <f t="shared" si="646"/>
        <v>0.58329567988662945</v>
      </c>
      <c r="AS225" s="178">
        <f t="shared" si="646"/>
        <v>0.5263615974088538</v>
      </c>
      <c r="AT225" s="178">
        <f t="shared" si="646"/>
        <v>0.65624231646589526</v>
      </c>
      <c r="AU225" s="178">
        <f t="shared" si="646"/>
        <v>0.5791007400878847</v>
      </c>
      <c r="AV225" s="284">
        <f t="shared" si="646"/>
        <v>0.68365413038913303</v>
      </c>
      <c r="AW225" s="391">
        <f t="shared" si="646"/>
        <v>0.7509757552527847</v>
      </c>
      <c r="AX225" s="391">
        <f t="shared" si="646"/>
        <v>0.79364817210515382</v>
      </c>
      <c r="AY225" s="391">
        <f t="shared" si="646"/>
        <v>0.86501195977790957</v>
      </c>
      <c r="AZ225" s="178"/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42"/>
        <v>-0.1788522806439673</v>
      </c>
      <c r="BK225" s="178">
        <f t="shared" si="642"/>
        <v>-9.78728044461602E-2</v>
      </c>
      <c r="BL225" s="178">
        <f t="shared" si="642"/>
        <v>-2.0194430093753213E-2</v>
      </c>
      <c r="BM225" s="178">
        <f t="shared" si="642"/>
        <v>-7.0005891757115246E-2</v>
      </c>
      <c r="BN225" s="178">
        <f t="shared" si="642"/>
        <v>-6.2391856259588152E-2</v>
      </c>
      <c r="BO225" s="178">
        <f t="shared" si="642"/>
        <v>-0.27071285840847747</v>
      </c>
      <c r="BP225" s="178">
        <f t="shared" si="642"/>
        <v>-0.24274646751756157</v>
      </c>
      <c r="BQ225" s="178">
        <f t="shared" si="642"/>
        <v>-0.161750750536861</v>
      </c>
      <c r="BR225" s="178">
        <f t="shared" si="642"/>
        <v>-9.9522346164543918E-2</v>
      </c>
      <c r="BS225" s="178">
        <f t="shared" si="642"/>
        <v>-0.15266474521538154</v>
      </c>
      <c r="BT225" s="178">
        <f t="shared" si="643"/>
        <v>-3.0563200158567949E-2</v>
      </c>
      <c r="BU225" s="178">
        <f t="shared" si="643"/>
        <v>1.6953793848097365E-2</v>
      </c>
      <c r="BV225" s="178">
        <f t="shared" si="643"/>
        <v>0.12691300378895809</v>
      </c>
      <c r="BW225" s="178">
        <f t="shared" si="643"/>
        <v>2.9096138372816327E-2</v>
      </c>
      <c r="BX225" s="178">
        <f t="shared" si="643"/>
        <v>0.11253676298601623</v>
      </c>
      <c r="BY225" s="178">
        <f t="shared" si="643"/>
        <v>9.1146371592360609E-2</v>
      </c>
      <c r="BZ225" s="178">
        <f t="shared" si="643"/>
        <v>0.17323549545689393</v>
      </c>
      <c r="CA225" s="284">
        <f t="shared" si="643"/>
        <v>0.12941603121254697</v>
      </c>
      <c r="CB225" s="284">
        <f t="shared" si="643"/>
        <v>0.22433922924604821</v>
      </c>
      <c r="CC225" s="284">
        <f t="shared" si="643"/>
        <v>9.9765883703358982E-2</v>
      </c>
      <c r="CD225" s="355">
        <f t="shared" si="643"/>
        <v>2.3764828082013634E-2</v>
      </c>
      <c r="CE225" s="356">
        <f t="shared" si="643"/>
        <v>-5.5328743277580417E-2</v>
      </c>
      <c r="CF225" s="356">
        <f t="shared" si="644"/>
        <v>1.5889808961978447E-2</v>
      </c>
      <c r="CG225" s="356">
        <f t="shared" si="644"/>
        <v>-2.4135250072081615E-2</v>
      </c>
      <c r="CH225" s="356">
        <f t="shared" si="644"/>
        <v>1.9115144879841006E-2</v>
      </c>
      <c r="CI225" s="356">
        <f t="shared" si="644"/>
        <v>1.1666428933009287E-2</v>
      </c>
      <c r="CJ225" s="356">
        <f t="shared" si="644"/>
        <v>-7.4744668805405423E-2</v>
      </c>
      <c r="CK225" s="356">
        <f t="shared" si="644"/>
        <v>3.2984962572120136E-2</v>
      </c>
      <c r="CL225" s="356">
        <f t="shared" si="644"/>
        <v>-8.798537477755819E-2</v>
      </c>
      <c r="CM225" s="356">
        <f t="shared" si="644"/>
        <v>-1.255449356488747E-2</v>
      </c>
      <c r="CN225" s="356">
        <f t="shared" si="644"/>
        <v>-4.2083280117246713E-2</v>
      </c>
      <c r="CO225" s="356">
        <f t="shared" si="644"/>
        <v>-1.0954901396734718E-3</v>
      </c>
      <c r="CP225" s="356">
        <f t="shared" si="644"/>
        <v>4.6518318960025118E-2</v>
      </c>
      <c r="CQ225" s="356">
        <f t="shared" si="644"/>
        <v>0.13336329345553999</v>
      </c>
      <c r="CR225" s="356">
        <f t="shared" si="644"/>
        <v>9.8526506130122704E-2</v>
      </c>
      <c r="CS225" s="356">
        <f t="shared" si="644"/>
        <v>0.11340611977080939</v>
      </c>
      <c r="CT225" s="348"/>
      <c r="CU225" s="67"/>
    </row>
    <row r="226" spans="1:99" s="76" customFormat="1" ht="15" thickBot="1" x14ac:dyDescent="0.35">
      <c r="A226" s="151"/>
      <c r="B226" s="116" t="s">
        <v>42</v>
      </c>
      <c r="C226" s="117"/>
      <c r="D226" s="180">
        <f t="shared" ref="D226:AY226" si="647">(C107+C215+D139-D107-D215)/(C107+C215+D139-D215)</f>
        <v>0.56267217173037121</v>
      </c>
      <c r="E226" s="180">
        <f t="shared" si="647"/>
        <v>0.51750088880977629</v>
      </c>
      <c r="F226" s="180">
        <f t="shared" si="647"/>
        <v>0.37207613779743243</v>
      </c>
      <c r="G226" s="180">
        <f t="shared" si="647"/>
        <v>0.32779314093915363</v>
      </c>
      <c r="H226" s="181">
        <f t="shared" si="647"/>
        <v>0.30444987069252066</v>
      </c>
      <c r="I226" s="180">
        <f t="shared" si="647"/>
        <v>0.3440502392043347</v>
      </c>
      <c r="J226" s="181">
        <f t="shared" si="647"/>
        <v>0.37821859658140589</v>
      </c>
      <c r="K226" s="180">
        <f t="shared" si="647"/>
        <v>0.40533802896267196</v>
      </c>
      <c r="L226" s="182">
        <f t="shared" si="647"/>
        <v>0.58986683894893288</v>
      </c>
      <c r="M226" s="181">
        <f t="shared" si="647"/>
        <v>0.64228949392122892</v>
      </c>
      <c r="N226" s="181">
        <f t="shared" si="647"/>
        <v>0.58766690067822791</v>
      </c>
      <c r="O226" s="181">
        <f t="shared" si="647"/>
        <v>0.60029526756876039</v>
      </c>
      <c r="P226" s="181">
        <f t="shared" si="647"/>
        <v>0.48796564623822541</v>
      </c>
      <c r="Q226" s="181">
        <f t="shared" si="647"/>
        <v>0.46375059674706293</v>
      </c>
      <c r="R226" s="181">
        <f t="shared" si="647"/>
        <v>0.35099846066717527</v>
      </c>
      <c r="S226" s="181">
        <f t="shared" si="647"/>
        <v>0.27511090648592779</v>
      </c>
      <c r="T226" s="181">
        <f t="shared" si="647"/>
        <v>0.23712348148518625</v>
      </c>
      <c r="U226" s="181">
        <f t="shared" si="647"/>
        <v>0.22990327831613827</v>
      </c>
      <c r="V226" s="181">
        <f t="shared" si="647"/>
        <v>0.24725452457997185</v>
      </c>
      <c r="W226" s="181">
        <f t="shared" si="647"/>
        <v>0.34315593525236415</v>
      </c>
      <c r="X226" s="182">
        <f t="shared" si="647"/>
        <v>0.50245395342854238</v>
      </c>
      <c r="Y226" s="181">
        <f t="shared" si="647"/>
        <v>0.55081235457056432</v>
      </c>
      <c r="Z226" s="181">
        <f t="shared" si="647"/>
        <v>0.57120540176889445</v>
      </c>
      <c r="AA226" s="181">
        <f t="shared" si="647"/>
        <v>0.61560609809544198</v>
      </c>
      <c r="AB226" s="181">
        <f t="shared" si="647"/>
        <v>0.49929183441494324</v>
      </c>
      <c r="AC226" s="181">
        <f t="shared" si="647"/>
        <v>0.41990323553687492</v>
      </c>
      <c r="AD226" s="181">
        <f t="shared" si="647"/>
        <v>0.35902318832076868</v>
      </c>
      <c r="AE226" s="181">
        <f t="shared" si="647"/>
        <v>0.29716902501563036</v>
      </c>
      <c r="AF226" s="181">
        <f t="shared" si="647"/>
        <v>0.30683210139176581</v>
      </c>
      <c r="AG226" s="181">
        <f t="shared" si="647"/>
        <v>0.26371597162465571</v>
      </c>
      <c r="AH226" s="181">
        <f t="shared" si="647"/>
        <v>0.31642638239853316</v>
      </c>
      <c r="AI226" s="181">
        <f t="shared" si="647"/>
        <v>0.39265849438089134</v>
      </c>
      <c r="AJ226" s="181">
        <f t="shared" si="647"/>
        <v>0.5513811225441636</v>
      </c>
      <c r="AK226" s="181">
        <f t="shared" si="647"/>
        <v>0.57262827737339772</v>
      </c>
      <c r="AL226" s="181">
        <f t="shared" si="647"/>
        <v>0.62573198421029241</v>
      </c>
      <c r="AM226" s="181">
        <f t="shared" si="647"/>
        <v>0.63417072564824162</v>
      </c>
      <c r="AN226" s="181">
        <f t="shared" si="647"/>
        <v>0.53849753985916105</v>
      </c>
      <c r="AO226" s="181">
        <f t="shared" si="647"/>
        <v>0.487489129374512</v>
      </c>
      <c r="AP226" s="181">
        <f t="shared" si="647"/>
        <v>0.39040662447433089</v>
      </c>
      <c r="AQ226" s="181">
        <f t="shared" si="647"/>
        <v>0.3384914374058442</v>
      </c>
      <c r="AR226" s="181">
        <f t="shared" si="647"/>
        <v>0.3159266326176961</v>
      </c>
      <c r="AS226" s="181">
        <f t="shared" si="647"/>
        <v>0.28841516874178547</v>
      </c>
      <c r="AT226" s="181">
        <f t="shared" si="647"/>
        <v>0.36261198524170701</v>
      </c>
      <c r="AU226" s="181">
        <f t="shared" si="647"/>
        <v>0.39638833754864067</v>
      </c>
      <c r="AV226" s="285">
        <f t="shared" si="647"/>
        <v>0.56719365822485035</v>
      </c>
      <c r="AW226" s="392">
        <f t="shared" si="647"/>
        <v>0.63431309734173502</v>
      </c>
      <c r="AX226" s="392">
        <f t="shared" si="647"/>
        <v>0.61798150865465185</v>
      </c>
      <c r="AY226" s="392">
        <f t="shared" si="647"/>
        <v>0.67022392305981149</v>
      </c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 t="shared" si="642"/>
        <v>-7.4706525492145792E-2</v>
      </c>
      <c r="BK226" s="181">
        <f t="shared" si="642"/>
        <v>-5.3750292062713367E-2</v>
      </c>
      <c r="BL226" s="181">
        <f t="shared" si="642"/>
        <v>-2.1077677130257155E-2</v>
      </c>
      <c r="BM226" s="181">
        <f t="shared" si="642"/>
        <v>-5.268223445322584E-2</v>
      </c>
      <c r="BN226" s="181">
        <f t="shared" si="642"/>
        <v>-6.7326389207334414E-2</v>
      </c>
      <c r="BO226" s="181">
        <f t="shared" si="642"/>
        <v>-0.11414696088819642</v>
      </c>
      <c r="BP226" s="181">
        <f t="shared" si="642"/>
        <v>-0.13096407200143403</v>
      </c>
      <c r="BQ226" s="181">
        <f t="shared" si="642"/>
        <v>-6.2182093710307806E-2</v>
      </c>
      <c r="BR226" s="181">
        <f t="shared" si="642"/>
        <v>-8.7412885520390504E-2</v>
      </c>
      <c r="BS226" s="181">
        <f t="shared" si="642"/>
        <v>-9.1477139350664594E-2</v>
      </c>
      <c r="BT226" s="181">
        <f t="shared" si="643"/>
        <v>-1.6461498909333461E-2</v>
      </c>
      <c r="BU226" s="181">
        <f t="shared" si="643"/>
        <v>1.5310830526681585E-2</v>
      </c>
      <c r="BV226" s="181">
        <f t="shared" si="643"/>
        <v>1.1326188176717822E-2</v>
      </c>
      <c r="BW226" s="181">
        <f t="shared" si="643"/>
        <v>-4.3847361210188007E-2</v>
      </c>
      <c r="BX226" s="181">
        <f t="shared" si="643"/>
        <v>8.0247276535934109E-3</v>
      </c>
      <c r="BY226" s="181">
        <f t="shared" si="643"/>
        <v>2.2058118529702575E-2</v>
      </c>
      <c r="BZ226" s="181">
        <f t="shared" si="643"/>
        <v>6.9708619906579561E-2</v>
      </c>
      <c r="CA226" s="285">
        <f t="shared" si="643"/>
        <v>3.3812693308517439E-2</v>
      </c>
      <c r="CB226" s="285">
        <f t="shared" si="643"/>
        <v>6.9171857818561305E-2</v>
      </c>
      <c r="CC226" s="285">
        <f t="shared" si="643"/>
        <v>4.950255912852719E-2</v>
      </c>
      <c r="CD226" s="357">
        <f t="shared" si="643"/>
        <v>4.8927169115621227E-2</v>
      </c>
      <c r="CE226" s="358">
        <f t="shared" si="643"/>
        <v>2.1815922802833398E-2</v>
      </c>
      <c r="CF226" s="358">
        <f t="shared" si="644"/>
        <v>5.4526582441397964E-2</v>
      </c>
      <c r="CG226" s="358">
        <f t="shared" si="644"/>
        <v>1.856462755279964E-2</v>
      </c>
      <c r="CH226" s="358">
        <f t="shared" si="644"/>
        <v>3.9205705444217809E-2</v>
      </c>
      <c r="CI226" s="358">
        <f t="shared" si="644"/>
        <v>6.7585893837637079E-2</v>
      </c>
      <c r="CJ226" s="358">
        <f t="shared" si="644"/>
        <v>3.1383436153562205E-2</v>
      </c>
      <c r="CK226" s="358">
        <f t="shared" si="644"/>
        <v>4.1322412390213836E-2</v>
      </c>
      <c r="CL226" s="358">
        <f t="shared" si="644"/>
        <v>9.0945312259302913E-3</v>
      </c>
      <c r="CM226" s="358">
        <f t="shared" si="644"/>
        <v>2.4699197117129756E-2</v>
      </c>
      <c r="CN226" s="358">
        <f t="shared" si="644"/>
        <v>4.6185602843173856E-2</v>
      </c>
      <c r="CO226" s="358">
        <f t="shared" si="644"/>
        <v>3.7298431677493249E-3</v>
      </c>
      <c r="CP226" s="357">
        <f t="shared" si="644"/>
        <v>1.5812535680686746E-2</v>
      </c>
      <c r="CQ226" s="357">
        <f t="shared" si="644"/>
        <v>6.1684819968337301E-2</v>
      </c>
      <c r="CR226" s="357">
        <f t="shared" si="644"/>
        <v>-7.750475555640568E-3</v>
      </c>
      <c r="CS226" s="357">
        <f t="shared" si="644"/>
        <v>3.6053197411569871E-2</v>
      </c>
      <c r="CT226" s="349"/>
      <c r="CU226" s="119"/>
    </row>
    <row r="227" spans="1:99" ht="15" thickTop="1" x14ac:dyDescent="0.3">
      <c r="A227" s="150"/>
    </row>
    <row r="228" spans="1:99" x14ac:dyDescent="0.3">
      <c r="B228" s="1" t="s">
        <v>24</v>
      </c>
    </row>
    <row r="229" spans="1:99" x14ac:dyDescent="0.3">
      <c r="B229" s="33" t="s">
        <v>130</v>
      </c>
    </row>
    <row r="230" spans="1:99" x14ac:dyDescent="0.3">
      <c r="B230" s="2" t="s">
        <v>131</v>
      </c>
    </row>
    <row r="232" spans="1:99" x14ac:dyDescent="0.3">
      <c r="B232" s="34" t="s">
        <v>23</v>
      </c>
    </row>
    <row r="233" spans="1:99" x14ac:dyDescent="0.3">
      <c r="B233" s="2" t="s">
        <v>25</v>
      </c>
    </row>
    <row r="234" spans="1:99" x14ac:dyDescent="0.3">
      <c r="B234" s="2" t="s">
        <v>26</v>
      </c>
    </row>
    <row r="235" spans="1:99" x14ac:dyDescent="0.3">
      <c r="B235" s="2" t="s">
        <v>27</v>
      </c>
    </row>
    <row r="236" spans="1:99" x14ac:dyDescent="0.3">
      <c r="B236" s="2" t="s">
        <v>28</v>
      </c>
    </row>
    <row r="240" spans="1:99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S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V236"/>
  <sheetViews>
    <sheetView workbookViewId="0">
      <pane xSplit="2" ySplit="8" topLeftCell="C9" activePane="bottomRight" state="frozen"/>
      <selection activeCell="CU1" sqref="CU1:CU1048576"/>
      <selection pane="topRight" activeCell="CU1" sqref="CU1:CU1048576"/>
      <selection pane="bottomLeft" activeCell="CU1" sqref="CU1:CU1048576"/>
      <selection pane="bottomRight" activeCell="C6" sqref="C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7" width="13.77734375" style="2" customWidth="1"/>
    <col min="98" max="98" width="6" style="345" customWidth="1"/>
    <col min="99" max="99" width="13.77734375" style="2" hidden="1" customWidth="1"/>
    <col min="100" max="100" width="14.21875" style="2" customWidth="1"/>
    <col min="101" max="102" width="9.21875" style="2" customWidth="1"/>
    <col min="103" max="16384" width="9.21875" style="2"/>
  </cols>
  <sheetData>
    <row r="1" spans="1:99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</row>
    <row r="2" spans="1:99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U2" s="8"/>
    </row>
    <row r="3" spans="1:99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U3" s="11"/>
    </row>
    <row r="4" spans="1:99" ht="27.6" customHeight="1" x14ac:dyDescent="0.3">
      <c r="B4" s="4" t="s">
        <v>1</v>
      </c>
      <c r="C4" s="13" t="s">
        <v>224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U4" s="11"/>
    </row>
    <row r="5" spans="1:99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U5" s="11"/>
    </row>
    <row r="6" spans="1:99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U6" s="23" t="s">
        <v>59</v>
      </c>
    </row>
    <row r="7" spans="1:99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7"/>
      <c r="CT7" s="352"/>
      <c r="CU7" s="260" t="s">
        <v>84</v>
      </c>
    </row>
    <row r="8" spans="1:99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2" t="s">
        <v>223</v>
      </c>
      <c r="CT8" s="347"/>
      <c r="CU8" s="261">
        <v>45010</v>
      </c>
    </row>
    <row r="9" spans="1:99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48"/>
      <c r="CU9" s="59"/>
    </row>
    <row r="10" spans="1:99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/>
      <c r="BA10" s="202"/>
      <c r="BB10" s="202"/>
      <c r="BC10" s="202"/>
      <c r="BD10" s="202"/>
      <c r="BE10" s="202"/>
      <c r="BF10" s="202"/>
      <c r="BG10" s="202"/>
      <c r="BH10" s="202"/>
      <c r="BI10" s="67">
        <f t="shared" ref="BI10:CS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48"/>
      <c r="CU10" s="67">
        <f>'MONTHLY SUMMARIES'!J10</f>
        <v>184990</v>
      </c>
    </row>
    <row r="11" spans="1:99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/>
      <c r="BA11" s="202"/>
      <c r="BB11" s="202"/>
      <c r="BC11" s="202"/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48"/>
      <c r="CU11" s="81">
        <f>CU10-CU12</f>
        <v>182865</v>
      </c>
    </row>
    <row r="12" spans="1:99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/>
      <c r="BA12" s="202"/>
      <c r="BB12" s="202"/>
      <c r="BC12" s="202"/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48"/>
      <c r="CU12" s="67">
        <f>GETPIVOTDATA("VALUE",'CRS ESCO pvt'!$I$2,"DATE_FILE",$CU$8,"COMPANY",$CU$6,"TRIM_CAT","Resdiential-ESCO","TRIM_LINE",A9)</f>
        <v>2125</v>
      </c>
    </row>
    <row r="13" spans="1:99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/>
      <c r="BA13" s="202"/>
      <c r="BB13" s="202"/>
      <c r="BC13" s="202"/>
      <c r="BD13" s="202"/>
      <c r="BE13" s="202"/>
      <c r="BF13" s="202"/>
      <c r="BG13" s="202"/>
      <c r="BH13" s="202"/>
      <c r="BI13" s="67">
        <f t="shared" ref="BI13:CS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48"/>
      <c r="CU13" s="67">
        <f>'MONTHLY SUMMARIES'!J11</f>
        <v>15898</v>
      </c>
    </row>
    <row r="14" spans="1:99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/>
      <c r="BA14" s="202"/>
      <c r="BB14" s="202"/>
      <c r="BC14" s="202"/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48"/>
      <c r="CU14" s="81">
        <f>CU13-CU15</f>
        <v>15652</v>
      </c>
    </row>
    <row r="15" spans="1:99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/>
      <c r="BA15" s="202"/>
      <c r="BB15" s="202"/>
      <c r="BC15" s="202"/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48"/>
      <c r="CU15" s="67">
        <f>GETPIVOTDATA("VALUE",'CRS ESCO pvt'!$I$2,"DATE_FILE",$CU$8,"COMPANY",$CU$6,"TRIM_CAT","Low Income Resdiential-ESCO","TRIM_LINE",A9)</f>
        <v>246</v>
      </c>
    </row>
    <row r="16" spans="1:99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/>
      <c r="BA16" s="202"/>
      <c r="BB16" s="202"/>
      <c r="BC16" s="202"/>
      <c r="BD16" s="202"/>
      <c r="BE16" s="202"/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S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48"/>
      <c r="CU16" s="67">
        <f>'MONTHLY SUMMARIES'!J12</f>
        <v>18703</v>
      </c>
    </row>
    <row r="17" spans="1:99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/>
      <c r="BA17" s="202"/>
      <c r="BB17" s="202"/>
      <c r="BC17" s="202"/>
      <c r="BD17" s="202"/>
      <c r="BE17" s="202"/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48"/>
      <c r="CU17" s="67">
        <f>'MONTHLY SUMMARIES'!J13</f>
        <v>602</v>
      </c>
    </row>
    <row r="18" spans="1:99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/>
      <c r="BA18" s="202"/>
      <c r="BB18" s="202"/>
      <c r="BC18" s="202"/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48"/>
      <c r="CU18" s="67">
        <f>'MONTHLY SUMMARIES'!J14</f>
        <v>127</v>
      </c>
    </row>
    <row r="19" spans="1:99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/>
      <c r="BA19" s="291"/>
      <c r="BB19" s="291"/>
      <c r="BC19" s="291"/>
      <c r="BD19" s="291"/>
      <c r="BE19" s="291"/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:CS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49"/>
      <c r="CU19" s="74">
        <f>CU10+CU13+CU16+CU17+CU18</f>
        <v>220320</v>
      </c>
    </row>
    <row r="20" spans="1:99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48"/>
      <c r="CU20" s="81"/>
    </row>
    <row r="21" spans="1:99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/>
      <c r="BA21" s="293"/>
      <c r="BB21" s="293"/>
      <c r="BC21" s="293"/>
      <c r="BD21" s="293"/>
      <c r="BE21" s="293"/>
      <c r="BF21" s="293"/>
      <c r="BG21" s="293"/>
      <c r="BH21" s="293"/>
      <c r="BI21" s="86">
        <f t="shared" ref="BI21:CS21" si="28">O21-C21</f>
        <v>979</v>
      </c>
      <c r="BJ21" s="87">
        <f t="shared" si="28"/>
        <v>-210</v>
      </c>
      <c r="BK21" s="87">
        <f t="shared" si="28"/>
        <v>-859</v>
      </c>
      <c r="BL21" s="87">
        <f t="shared" si="28"/>
        <v>1011</v>
      </c>
      <c r="BM21" s="87">
        <f t="shared" si="28"/>
        <v>-1419</v>
      </c>
      <c r="BN21" s="87">
        <f t="shared" si="28"/>
        <v>273</v>
      </c>
      <c r="BO21" s="87">
        <f t="shared" si="28"/>
        <v>922</v>
      </c>
      <c r="BP21" s="87">
        <f t="shared" si="28"/>
        <v>1564</v>
      </c>
      <c r="BQ21" s="87">
        <f t="shared" si="28"/>
        <v>825</v>
      </c>
      <c r="BR21" s="87">
        <f t="shared" si="28"/>
        <v>741</v>
      </c>
      <c r="BS21" s="87">
        <f t="shared" si="28"/>
        <v>148</v>
      </c>
      <c r="BT21" s="87">
        <f t="shared" si="28"/>
        <v>-518</v>
      </c>
      <c r="BU21" s="87">
        <f t="shared" si="28"/>
        <v>-2145</v>
      </c>
      <c r="BV21" s="87">
        <f t="shared" si="28"/>
        <v>-2886</v>
      </c>
      <c r="BW21" s="87">
        <f t="shared" si="28"/>
        <v>-2085</v>
      </c>
      <c r="BX21" s="87">
        <f t="shared" si="28"/>
        <v>-2229</v>
      </c>
      <c r="BY21" s="87">
        <f t="shared" si="28"/>
        <v>-2490</v>
      </c>
      <c r="BZ21" s="87">
        <f t="shared" si="28"/>
        <v>-2355</v>
      </c>
      <c r="CA21" s="267">
        <f t="shared" si="28"/>
        <v>-1766</v>
      </c>
      <c r="CB21" s="267">
        <f t="shared" si="28"/>
        <v>-1160</v>
      </c>
      <c r="CC21" s="267">
        <f t="shared" si="28"/>
        <v>-461</v>
      </c>
      <c r="CD21" s="267">
        <f t="shared" si="28"/>
        <v>-2429</v>
      </c>
      <c r="CE21" s="309">
        <f t="shared" si="28"/>
        <v>481</v>
      </c>
      <c r="CF21" s="309">
        <f t="shared" si="28"/>
        <v>-358</v>
      </c>
      <c r="CG21" s="309">
        <f t="shared" si="28"/>
        <v>-289</v>
      </c>
      <c r="CH21" s="309">
        <f t="shared" si="28"/>
        <v>-537</v>
      </c>
      <c r="CI21" s="309">
        <f t="shared" si="28"/>
        <v>-500</v>
      </c>
      <c r="CJ21" s="309">
        <f t="shared" si="28"/>
        <v>-395</v>
      </c>
      <c r="CK21" s="309">
        <f t="shared" si="28"/>
        <v>350</v>
      </c>
      <c r="CL21" s="309">
        <f t="shared" si="28"/>
        <v>-519</v>
      </c>
      <c r="CM21" s="309">
        <f t="shared" si="28"/>
        <v>93</v>
      </c>
      <c r="CN21" s="309">
        <f t="shared" si="28"/>
        <v>-2560</v>
      </c>
      <c r="CO21" s="309">
        <f t="shared" si="28"/>
        <v>-1816</v>
      </c>
      <c r="CP21" s="309">
        <f t="shared" si="28"/>
        <v>729</v>
      </c>
      <c r="CQ21" s="309">
        <f t="shared" si="28"/>
        <v>-720</v>
      </c>
      <c r="CR21" s="309">
        <f t="shared" si="28"/>
        <v>-92</v>
      </c>
      <c r="CS21" s="309">
        <f t="shared" si="28"/>
        <v>253</v>
      </c>
      <c r="CT21" s="348"/>
      <c r="CU21" s="67">
        <f>'MONTHLY SUMMARIES'!J17</f>
        <v>23819</v>
      </c>
    </row>
    <row r="22" spans="1:99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/>
      <c r="BA22" s="293"/>
      <c r="BB22" s="293"/>
      <c r="BC22" s="293"/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48"/>
      <c r="CU22" s="81">
        <f>CU21-CU23</f>
        <v>23603</v>
      </c>
    </row>
    <row r="23" spans="1:99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/>
      <c r="BA23" s="293"/>
      <c r="BB23" s="293"/>
      <c r="BC23" s="293"/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48"/>
      <c r="CU23" s="67">
        <f>GETPIVOTDATA("VALUE",'CRS ESCO pvt'!$I$2,"DATE_FILE",$CU$8,"COMPANY",$CU$6,"TRIM_CAT","Resdiential-ESCO","TRIM_LINE",A20)</f>
        <v>216</v>
      </c>
    </row>
    <row r="24" spans="1:99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/>
      <c r="BA24" s="293"/>
      <c r="BB24" s="293"/>
      <c r="BC24" s="293"/>
      <c r="BD24" s="293"/>
      <c r="BE24" s="293"/>
      <c r="BF24" s="293"/>
      <c r="BG24" s="293"/>
      <c r="BH24" s="293"/>
      <c r="BI24" s="86">
        <f t="shared" ref="BI24:CS24" si="29">O24-C24</f>
        <v>95</v>
      </c>
      <c r="BJ24" s="87">
        <f t="shared" si="29"/>
        <v>12</v>
      </c>
      <c r="BK24" s="87">
        <f t="shared" si="29"/>
        <v>-356</v>
      </c>
      <c r="BL24" s="87">
        <f t="shared" si="29"/>
        <v>-170</v>
      </c>
      <c r="BM24" s="87">
        <f t="shared" si="29"/>
        <v>61</v>
      </c>
      <c r="BN24" s="87">
        <f t="shared" si="29"/>
        <v>76</v>
      </c>
      <c r="BO24" s="87">
        <f t="shared" si="29"/>
        <v>312</v>
      </c>
      <c r="BP24" s="87">
        <f t="shared" si="29"/>
        <v>378</v>
      </c>
      <c r="BQ24" s="87">
        <f t="shared" si="29"/>
        <v>681</v>
      </c>
      <c r="BR24" s="87">
        <f t="shared" si="29"/>
        <v>726</v>
      </c>
      <c r="BS24" s="87">
        <f t="shared" si="29"/>
        <v>664</v>
      </c>
      <c r="BT24" s="87">
        <f t="shared" si="29"/>
        <v>663</v>
      </c>
      <c r="BU24" s="87">
        <f t="shared" si="29"/>
        <v>728</v>
      </c>
      <c r="BV24" s="87">
        <f t="shared" si="29"/>
        <v>907</v>
      </c>
      <c r="BW24" s="87">
        <f t="shared" si="29"/>
        <v>695</v>
      </c>
      <c r="BX24" s="87">
        <f t="shared" si="29"/>
        <v>1041</v>
      </c>
      <c r="BY24" s="87">
        <f t="shared" si="29"/>
        <v>284</v>
      </c>
      <c r="BZ24" s="87">
        <f t="shared" si="29"/>
        <v>334</v>
      </c>
      <c r="CA24" s="267">
        <f t="shared" si="29"/>
        <v>214</v>
      </c>
      <c r="CB24" s="267">
        <f t="shared" si="29"/>
        <v>325</v>
      </c>
      <c r="CC24" s="267">
        <f t="shared" si="29"/>
        <v>-1110</v>
      </c>
      <c r="CD24" s="267">
        <f t="shared" si="29"/>
        <v>-1155</v>
      </c>
      <c r="CE24" s="309">
        <f t="shared" si="29"/>
        <v>-113</v>
      </c>
      <c r="CF24" s="309">
        <f t="shared" si="29"/>
        <v>116</v>
      </c>
      <c r="CG24" s="309">
        <f t="shared" si="29"/>
        <v>122</v>
      </c>
      <c r="CH24" s="309">
        <f t="shared" si="29"/>
        <v>-144</v>
      </c>
      <c r="CI24" s="309">
        <f t="shared" si="29"/>
        <v>-104</v>
      </c>
      <c r="CJ24" s="309">
        <f t="shared" si="29"/>
        <v>-422</v>
      </c>
      <c r="CK24" s="309">
        <f t="shared" si="29"/>
        <v>-137</v>
      </c>
      <c r="CL24" s="309">
        <f t="shared" si="29"/>
        <v>-134</v>
      </c>
      <c r="CM24" s="309">
        <f t="shared" si="29"/>
        <v>-35</v>
      </c>
      <c r="CN24" s="309">
        <f t="shared" si="29"/>
        <v>-374</v>
      </c>
      <c r="CO24" s="309">
        <f t="shared" si="29"/>
        <v>1071</v>
      </c>
      <c r="CP24" s="309">
        <f t="shared" si="29"/>
        <v>1387</v>
      </c>
      <c r="CQ24" s="309">
        <f t="shared" si="29"/>
        <v>1144</v>
      </c>
      <c r="CR24" s="309">
        <f t="shared" si="29"/>
        <v>930</v>
      </c>
      <c r="CS24" s="309">
        <f t="shared" si="29"/>
        <v>836</v>
      </c>
      <c r="CT24" s="348"/>
      <c r="CU24" s="67">
        <f>'MONTHLY SUMMARIES'!J18</f>
        <v>6159</v>
      </c>
    </row>
    <row r="25" spans="1:99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/>
      <c r="BA25" s="293"/>
      <c r="BB25" s="293"/>
      <c r="BC25" s="293"/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48"/>
      <c r="CU25" s="81">
        <f>CU24-CU26</f>
        <v>6104</v>
      </c>
    </row>
    <row r="26" spans="1:99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/>
      <c r="BA26" s="293"/>
      <c r="BB26" s="293"/>
      <c r="BC26" s="293"/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48"/>
      <c r="CU26" s="67">
        <f>GETPIVOTDATA("VALUE",'CRS ESCO pvt'!$I$2,"DATE_FILE",$CU$8,"COMPANY",$CU$6,"TRIM_CAT","Low Income Resdiential-ESCO","TRIM_LINE",A20)</f>
        <v>55</v>
      </c>
    </row>
    <row r="27" spans="1:99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/>
      <c r="BA27" s="293"/>
      <c r="BB27" s="293"/>
      <c r="BC27" s="293"/>
      <c r="BD27" s="293"/>
      <c r="BE27" s="293"/>
      <c r="BF27" s="293"/>
      <c r="BG27" s="293"/>
      <c r="BH27" s="293"/>
      <c r="BI27" s="86">
        <f t="shared" ref="BI27:BR29" si="30">O27-C27</f>
        <v>79</v>
      </c>
      <c r="BJ27" s="87">
        <f t="shared" si="30"/>
        <v>884</v>
      </c>
      <c r="BK27" s="87">
        <f t="shared" si="30"/>
        <v>756</v>
      </c>
      <c r="BL27" s="87">
        <f t="shared" si="30"/>
        <v>845</v>
      </c>
      <c r="BM27" s="87">
        <f t="shared" si="30"/>
        <v>193</v>
      </c>
      <c r="BN27" s="87">
        <f t="shared" si="30"/>
        <v>580</v>
      </c>
      <c r="BO27" s="87">
        <f t="shared" si="30"/>
        <v>437</v>
      </c>
      <c r="BP27" s="87">
        <f t="shared" si="30"/>
        <v>567</v>
      </c>
      <c r="BQ27" s="87">
        <f t="shared" si="30"/>
        <v>393</v>
      </c>
      <c r="BR27" s="87">
        <f t="shared" si="30"/>
        <v>10</v>
      </c>
      <c r="BS27" s="87">
        <f t="shared" ref="BS27:CB29" si="31">Y27-M27</f>
        <v>681</v>
      </c>
      <c r="BT27" s="87">
        <f t="shared" si="31"/>
        <v>91</v>
      </c>
      <c r="BU27" s="87">
        <f t="shared" si="31"/>
        <v>-361</v>
      </c>
      <c r="BV27" s="87">
        <f t="shared" si="31"/>
        <v>-1505</v>
      </c>
      <c r="BW27" s="87">
        <f t="shared" si="31"/>
        <v>-1136</v>
      </c>
      <c r="BX27" s="87">
        <f t="shared" si="31"/>
        <v>-656</v>
      </c>
      <c r="BY27" s="87">
        <f t="shared" si="31"/>
        <v>-213</v>
      </c>
      <c r="BZ27" s="87">
        <f t="shared" si="31"/>
        <v>-442</v>
      </c>
      <c r="CA27" s="267">
        <f t="shared" si="31"/>
        <v>-139</v>
      </c>
      <c r="CB27" s="267">
        <f t="shared" si="31"/>
        <v>582</v>
      </c>
      <c r="CC27" s="267">
        <f t="shared" ref="CC27:CL29" si="32">AI27-W27</f>
        <v>712</v>
      </c>
      <c r="CD27" s="267">
        <f t="shared" si="32"/>
        <v>473</v>
      </c>
      <c r="CE27" s="309">
        <f t="shared" si="32"/>
        <v>1166</v>
      </c>
      <c r="CF27" s="309">
        <f t="shared" si="32"/>
        <v>808</v>
      </c>
      <c r="CG27" s="309">
        <f t="shared" si="32"/>
        <v>1080</v>
      </c>
      <c r="CH27" s="309">
        <f t="shared" si="32"/>
        <v>710</v>
      </c>
      <c r="CI27" s="309">
        <f t="shared" si="32"/>
        <v>600</v>
      </c>
      <c r="CJ27" s="309">
        <f t="shared" si="32"/>
        <v>538</v>
      </c>
      <c r="CK27" s="309">
        <f t="shared" si="32"/>
        <v>267</v>
      </c>
      <c r="CL27" s="309">
        <f t="shared" si="32"/>
        <v>384</v>
      </c>
      <c r="CM27" s="309">
        <f t="shared" ref="CM27:CS29" si="33">AS27-AG27</f>
        <v>442</v>
      </c>
      <c r="CN27" s="309">
        <f t="shared" si="33"/>
        <v>-643</v>
      </c>
      <c r="CO27" s="309">
        <f t="shared" si="33"/>
        <v>-921</v>
      </c>
      <c r="CP27" s="309">
        <f t="shared" si="33"/>
        <v>-351</v>
      </c>
      <c r="CQ27" s="309">
        <f t="shared" si="33"/>
        <v>-1495</v>
      </c>
      <c r="CR27" s="309">
        <f t="shared" si="33"/>
        <v>-1123</v>
      </c>
      <c r="CS27" s="309">
        <f t="shared" si="33"/>
        <v>-755</v>
      </c>
      <c r="CT27" s="348"/>
      <c r="CU27" s="67">
        <f>'MONTHLY SUMMARIES'!J19</f>
        <v>3054</v>
      </c>
    </row>
    <row r="28" spans="1:99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/>
      <c r="BA28" s="293"/>
      <c r="BB28" s="293"/>
      <c r="BC28" s="293"/>
      <c r="BD28" s="293"/>
      <c r="BE28" s="293"/>
      <c r="BF28" s="293"/>
      <c r="BG28" s="293"/>
      <c r="BH28" s="293"/>
      <c r="BI28" s="86">
        <f t="shared" si="30"/>
        <v>16</v>
      </c>
      <c r="BJ28" s="87">
        <f t="shared" si="30"/>
        <v>26</v>
      </c>
      <c r="BK28" s="87">
        <f t="shared" si="30"/>
        <v>47</v>
      </c>
      <c r="BL28" s="87">
        <f t="shared" si="30"/>
        <v>45</v>
      </c>
      <c r="BM28" s="87">
        <f t="shared" si="30"/>
        <v>16</v>
      </c>
      <c r="BN28" s="87">
        <f t="shared" si="30"/>
        <v>35</v>
      </c>
      <c r="BO28" s="87">
        <f t="shared" si="30"/>
        <v>14</v>
      </c>
      <c r="BP28" s="87">
        <f t="shared" si="30"/>
        <v>12</v>
      </c>
      <c r="BQ28" s="87">
        <f t="shared" si="30"/>
        <v>23</v>
      </c>
      <c r="BR28" s="87">
        <f t="shared" si="30"/>
        <v>-32</v>
      </c>
      <c r="BS28" s="87">
        <f t="shared" si="31"/>
        <v>26</v>
      </c>
      <c r="BT28" s="87">
        <f t="shared" si="31"/>
        <v>-10</v>
      </c>
      <c r="BU28" s="87">
        <f t="shared" si="31"/>
        <v>-38</v>
      </c>
      <c r="BV28" s="87">
        <f t="shared" si="31"/>
        <v>-85</v>
      </c>
      <c r="BW28" s="87">
        <f t="shared" si="31"/>
        <v>-76</v>
      </c>
      <c r="BX28" s="87">
        <f t="shared" si="31"/>
        <v>-44</v>
      </c>
      <c r="BY28" s="87">
        <f t="shared" si="31"/>
        <v>-39</v>
      </c>
      <c r="BZ28" s="87">
        <f t="shared" si="31"/>
        <v>-45</v>
      </c>
      <c r="CA28" s="267">
        <f t="shared" si="31"/>
        <v>14</v>
      </c>
      <c r="CB28" s="267">
        <f t="shared" si="31"/>
        <v>49</v>
      </c>
      <c r="CC28" s="267">
        <f t="shared" si="32"/>
        <v>44</v>
      </c>
      <c r="CD28" s="267">
        <f t="shared" si="32"/>
        <v>65</v>
      </c>
      <c r="CE28" s="309">
        <f t="shared" si="32"/>
        <v>63</v>
      </c>
      <c r="CF28" s="309">
        <f t="shared" si="32"/>
        <v>56</v>
      </c>
      <c r="CG28" s="309">
        <f t="shared" si="32"/>
        <v>49</v>
      </c>
      <c r="CH28" s="309">
        <f t="shared" si="32"/>
        <v>44</v>
      </c>
      <c r="CI28" s="309">
        <f t="shared" si="32"/>
        <v>40</v>
      </c>
      <c r="CJ28" s="309">
        <f t="shared" si="32"/>
        <v>47</v>
      </c>
      <c r="CK28" s="309">
        <f t="shared" si="32"/>
        <v>25</v>
      </c>
      <c r="CL28" s="309">
        <f t="shared" si="32"/>
        <v>45</v>
      </c>
      <c r="CM28" s="309">
        <f t="shared" si="33"/>
        <v>14</v>
      </c>
      <c r="CN28" s="309">
        <f t="shared" si="33"/>
        <v>-20</v>
      </c>
      <c r="CO28" s="309">
        <f t="shared" si="33"/>
        <v>-50</v>
      </c>
      <c r="CP28" s="309">
        <f t="shared" si="33"/>
        <v>-48</v>
      </c>
      <c r="CQ28" s="309">
        <f t="shared" si="33"/>
        <v>-60</v>
      </c>
      <c r="CR28" s="309">
        <f t="shared" si="33"/>
        <v>-79</v>
      </c>
      <c r="CS28" s="309">
        <f t="shared" si="33"/>
        <v>-46</v>
      </c>
      <c r="CT28" s="348"/>
      <c r="CU28" s="67">
        <f>'MONTHLY SUMMARIES'!J20</f>
        <v>107</v>
      </c>
    </row>
    <row r="29" spans="1:99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/>
      <c r="BA29" s="293"/>
      <c r="BB29" s="293"/>
      <c r="BC29" s="293"/>
      <c r="BD29" s="293"/>
      <c r="BE29" s="293"/>
      <c r="BF29" s="293"/>
      <c r="BG29" s="293"/>
      <c r="BH29" s="293"/>
      <c r="BI29" s="86">
        <f t="shared" si="30"/>
        <v>6</v>
      </c>
      <c r="BJ29" s="87">
        <f t="shared" si="30"/>
        <v>5</v>
      </c>
      <c r="BK29" s="87">
        <f t="shared" si="30"/>
        <v>-9</v>
      </c>
      <c r="BL29" s="87">
        <f t="shared" si="30"/>
        <v>7</v>
      </c>
      <c r="BM29" s="87">
        <f t="shared" si="30"/>
        <v>20</v>
      </c>
      <c r="BN29" s="87">
        <f t="shared" si="30"/>
        <v>10</v>
      </c>
      <c r="BO29" s="87">
        <f t="shared" si="30"/>
        <v>7</v>
      </c>
      <c r="BP29" s="87">
        <f t="shared" si="30"/>
        <v>11</v>
      </c>
      <c r="BQ29" s="87">
        <f t="shared" si="30"/>
        <v>7</v>
      </c>
      <c r="BR29" s="87">
        <f t="shared" si="30"/>
        <v>-5</v>
      </c>
      <c r="BS29" s="87">
        <f t="shared" si="31"/>
        <v>2</v>
      </c>
      <c r="BT29" s="87">
        <f t="shared" si="31"/>
        <v>-4</v>
      </c>
      <c r="BU29" s="87">
        <f t="shared" si="31"/>
        <v>-10</v>
      </c>
      <c r="BV29" s="87">
        <f t="shared" si="31"/>
        <v>-15</v>
      </c>
      <c r="BW29" s="87">
        <f t="shared" si="31"/>
        <v>-6</v>
      </c>
      <c r="BX29" s="87">
        <f t="shared" si="31"/>
        <v>2</v>
      </c>
      <c r="BY29" s="87">
        <f t="shared" si="31"/>
        <v>-19</v>
      </c>
      <c r="BZ29" s="87">
        <f t="shared" si="31"/>
        <v>-2</v>
      </c>
      <c r="CA29" s="267">
        <f t="shared" si="31"/>
        <v>-1</v>
      </c>
      <c r="CB29" s="267">
        <f t="shared" si="31"/>
        <v>4</v>
      </c>
      <c r="CC29" s="267">
        <f t="shared" si="32"/>
        <v>6</v>
      </c>
      <c r="CD29" s="267">
        <f t="shared" si="32"/>
        <v>14</v>
      </c>
      <c r="CE29" s="309">
        <f t="shared" si="32"/>
        <v>16</v>
      </c>
      <c r="CF29" s="309">
        <f t="shared" si="32"/>
        <v>7</v>
      </c>
      <c r="CG29" s="309">
        <f t="shared" si="32"/>
        <v>14</v>
      </c>
      <c r="CH29" s="309">
        <f t="shared" si="32"/>
        <v>5</v>
      </c>
      <c r="CI29" s="309">
        <f t="shared" si="32"/>
        <v>9</v>
      </c>
      <c r="CJ29" s="309">
        <f t="shared" si="32"/>
        <v>6</v>
      </c>
      <c r="CK29" s="309">
        <f t="shared" si="32"/>
        <v>4</v>
      </c>
      <c r="CL29" s="309">
        <f t="shared" si="32"/>
        <v>1</v>
      </c>
      <c r="CM29" s="309">
        <f t="shared" si="33"/>
        <v>5</v>
      </c>
      <c r="CN29" s="309">
        <f t="shared" si="33"/>
        <v>-5</v>
      </c>
      <c r="CO29" s="309">
        <f t="shared" si="33"/>
        <v>-3</v>
      </c>
      <c r="CP29" s="309">
        <f t="shared" si="33"/>
        <v>1</v>
      </c>
      <c r="CQ29" s="309">
        <f t="shared" si="33"/>
        <v>0</v>
      </c>
      <c r="CR29" s="309">
        <f t="shared" si="33"/>
        <v>1</v>
      </c>
      <c r="CS29" s="309">
        <f t="shared" si="33"/>
        <v>-9</v>
      </c>
      <c r="CT29" s="348"/>
      <c r="CU29" s="67">
        <f>'MONTHLY SUMMARIES'!J21</f>
        <v>18</v>
      </c>
    </row>
    <row r="30" spans="1:99" s="76" customFormat="1" x14ac:dyDescent="0.3">
      <c r="A30" s="152"/>
      <c r="B30" s="63" t="s">
        <v>42</v>
      </c>
      <c r="C30" s="140">
        <f t="shared" ref="C30:V30" si="34">SUM(C21:C29)</f>
        <v>32553</v>
      </c>
      <c r="D30" s="141">
        <f t="shared" si="34"/>
        <v>34535</v>
      </c>
      <c r="E30" s="141">
        <f t="shared" si="34"/>
        <v>34659</v>
      </c>
      <c r="F30" s="141">
        <f t="shared" si="34"/>
        <v>32559</v>
      </c>
      <c r="G30" s="141">
        <f t="shared" si="34"/>
        <v>33543</v>
      </c>
      <c r="H30" s="141">
        <f t="shared" si="34"/>
        <v>31231</v>
      </c>
      <c r="I30" s="141">
        <f t="shared" si="34"/>
        <v>30759</v>
      </c>
      <c r="J30" s="141">
        <f t="shared" si="34"/>
        <v>30436</v>
      </c>
      <c r="K30" s="141">
        <f t="shared" si="34"/>
        <v>30716</v>
      </c>
      <c r="L30" s="142">
        <f t="shared" si="34"/>
        <v>31967</v>
      </c>
      <c r="M30" s="141">
        <f t="shared" si="34"/>
        <v>28811</v>
      </c>
      <c r="N30" s="141">
        <f t="shared" si="34"/>
        <v>31294</v>
      </c>
      <c r="O30" s="141">
        <f t="shared" si="34"/>
        <v>33728</v>
      </c>
      <c r="P30" s="141">
        <f t="shared" si="34"/>
        <v>35252</v>
      </c>
      <c r="Q30" s="141">
        <f t="shared" si="34"/>
        <v>34238</v>
      </c>
      <c r="R30" s="141">
        <f t="shared" si="34"/>
        <v>34297</v>
      </c>
      <c r="S30" s="141">
        <f t="shared" si="34"/>
        <v>32414</v>
      </c>
      <c r="T30" s="141">
        <f t="shared" si="34"/>
        <v>32205</v>
      </c>
      <c r="U30" s="141">
        <f t="shared" si="34"/>
        <v>32451</v>
      </c>
      <c r="V30" s="141">
        <f t="shared" si="34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/>
      <c r="BA30" s="294"/>
      <c r="BB30" s="294"/>
      <c r="BC30" s="294"/>
      <c r="BD30" s="294"/>
      <c r="BE30" s="294"/>
      <c r="BF30" s="294"/>
      <c r="BG30" s="294"/>
      <c r="BH30" s="294"/>
      <c r="BI30" s="88">
        <f>SUM(BI21:BI29)</f>
        <v>1175</v>
      </c>
      <c r="BJ30" s="143">
        <f t="shared" ref="BJ30:BL30" si="35">SUM(BJ21:BJ29)</f>
        <v>717</v>
      </c>
      <c r="BK30" s="143">
        <f t="shared" si="35"/>
        <v>-421</v>
      </c>
      <c r="BL30" s="143">
        <f t="shared" si="35"/>
        <v>1738</v>
      </c>
      <c r="BM30" s="143">
        <f t="shared" ref="BM30:BN30" si="36">SUM(BM21:BM29)</f>
        <v>-1129</v>
      </c>
      <c r="BN30" s="143">
        <f t="shared" si="36"/>
        <v>974</v>
      </c>
      <c r="BO30" s="143">
        <f t="shared" ref="BO30:BP30" si="37">SUM(BO21:BO29)</f>
        <v>1692</v>
      </c>
      <c r="BP30" s="143">
        <f t="shared" si="37"/>
        <v>2532</v>
      </c>
      <c r="BQ30" s="143">
        <f t="shared" ref="BQ30:BR30" si="38">SUM(BQ21:BQ29)</f>
        <v>1929</v>
      </c>
      <c r="BR30" s="143">
        <f t="shared" si="38"/>
        <v>1440</v>
      </c>
      <c r="BS30" s="143">
        <f t="shared" ref="BS30:BT30" si="39">SUM(BS21:BS29)</f>
        <v>1521</v>
      </c>
      <c r="BT30" s="143">
        <f t="shared" si="39"/>
        <v>222</v>
      </c>
      <c r="BU30" s="143">
        <f t="shared" ref="BU30:BV30" si="40">SUM(BU21:BU29)</f>
        <v>-1826</v>
      </c>
      <c r="BV30" s="143">
        <f t="shared" si="40"/>
        <v>-3584</v>
      </c>
      <c r="BW30" s="143">
        <f t="shared" ref="BW30:BX30" si="41">SUM(BW21:BW29)</f>
        <v>-2608</v>
      </c>
      <c r="BX30" s="143">
        <f t="shared" si="41"/>
        <v>-1886</v>
      </c>
      <c r="BY30" s="143">
        <f t="shared" ref="BY30:BZ30" si="42">SUM(BY21:BY29)</f>
        <v>-2477</v>
      </c>
      <c r="BZ30" s="143">
        <f t="shared" si="42"/>
        <v>-2510</v>
      </c>
      <c r="CA30" s="268">
        <f t="shared" ref="CA30:CB30" si="43">SUM(CA21:CA29)</f>
        <v>-1678</v>
      </c>
      <c r="CB30" s="268">
        <f t="shared" si="43"/>
        <v>-200</v>
      </c>
      <c r="CC30" s="268">
        <f t="shared" ref="CC30:CE30" si="44">SUM(CC21:CC29)</f>
        <v>-809</v>
      </c>
      <c r="CD30" s="268">
        <f t="shared" si="44"/>
        <v>-3032</v>
      </c>
      <c r="CE30" s="310">
        <f t="shared" si="44"/>
        <v>1613</v>
      </c>
      <c r="CF30" s="310">
        <f t="shared" ref="CF30:CG30" si="45">SUM(CF21:CF29)</f>
        <v>629</v>
      </c>
      <c r="CG30" s="310">
        <f t="shared" si="45"/>
        <v>976</v>
      </c>
      <c r="CH30" s="310">
        <f t="shared" ref="CH30:CI30" si="46">SUM(CH21:CH29)</f>
        <v>78</v>
      </c>
      <c r="CI30" s="310">
        <f t="shared" si="46"/>
        <v>45</v>
      </c>
      <c r="CJ30" s="310">
        <f t="shared" ref="CJ30" si="47">SUM(CJ21:CJ29)</f>
        <v>-226</v>
      </c>
      <c r="CK30" s="310">
        <f t="shared" ref="CK30" si="48">SUM(CK21:CK29)</f>
        <v>509</v>
      </c>
      <c r="CL30" s="310">
        <f t="shared" ref="CL30" si="49">SUM(CL21:CL29)</f>
        <v>-223</v>
      </c>
      <c r="CM30" s="310">
        <f t="shared" ref="CM30" si="50">SUM(CM21:CM29)</f>
        <v>519</v>
      </c>
      <c r="CN30" s="310">
        <f t="shared" ref="CN30" si="51">SUM(CN21:CN29)</f>
        <v>-3602</v>
      </c>
      <c r="CO30" s="310">
        <f t="shared" ref="CO30" si="52">SUM(CO21:CO29)</f>
        <v>-1719</v>
      </c>
      <c r="CP30" s="310">
        <f t="shared" ref="CP30" si="53">SUM(CP21:CP29)</f>
        <v>1718</v>
      </c>
      <c r="CQ30" s="310">
        <f t="shared" ref="CQ30:CS30" si="54">SUM(CQ21:CQ29)</f>
        <v>-1131</v>
      </c>
      <c r="CR30" s="310">
        <f t="shared" ref="CR30:CS30" si="55">SUM(CR21:CR29)</f>
        <v>-363</v>
      </c>
      <c r="CS30" s="310">
        <f t="shared" si="55"/>
        <v>279</v>
      </c>
      <c r="CT30" s="349"/>
      <c r="CU30" s="262">
        <f>CU21+CU24+CU27+CU28+CU29</f>
        <v>33157</v>
      </c>
    </row>
    <row r="31" spans="1:99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48"/>
      <c r="CU31" s="93"/>
    </row>
    <row r="32" spans="1:99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/>
      <c r="BA32" s="293"/>
      <c r="BB32" s="293"/>
      <c r="BC32" s="293"/>
      <c r="BD32" s="293"/>
      <c r="BE32" s="293"/>
      <c r="BF32" s="293"/>
      <c r="BG32" s="293"/>
      <c r="BH32" s="293"/>
      <c r="BI32" s="86">
        <f t="shared" ref="BI32:CS32" si="56">O32-C32</f>
        <v>232</v>
      </c>
      <c r="BJ32" s="87">
        <f t="shared" si="56"/>
        <v>-1451</v>
      </c>
      <c r="BK32" s="87">
        <f t="shared" si="56"/>
        <v>-1656</v>
      </c>
      <c r="BL32" s="87">
        <f t="shared" si="56"/>
        <v>-237</v>
      </c>
      <c r="BM32" s="87">
        <f t="shared" si="56"/>
        <v>-2738</v>
      </c>
      <c r="BN32" s="87">
        <f t="shared" si="56"/>
        <v>-688</v>
      </c>
      <c r="BO32" s="87">
        <f t="shared" si="56"/>
        <v>-808</v>
      </c>
      <c r="BP32" s="87">
        <f t="shared" si="56"/>
        <v>-545</v>
      </c>
      <c r="BQ32" s="87">
        <f t="shared" si="56"/>
        <v>-1566</v>
      </c>
      <c r="BR32" s="87">
        <f t="shared" si="56"/>
        <v>-982</v>
      </c>
      <c r="BS32" s="87">
        <f t="shared" si="56"/>
        <v>-1126</v>
      </c>
      <c r="BT32" s="87">
        <f t="shared" si="56"/>
        <v>-1548</v>
      </c>
      <c r="BU32" s="87">
        <f t="shared" si="56"/>
        <v>-1629</v>
      </c>
      <c r="BV32" s="87">
        <f t="shared" si="56"/>
        <v>-1040</v>
      </c>
      <c r="BW32" s="87">
        <f t="shared" si="56"/>
        <v>-438</v>
      </c>
      <c r="BX32" s="87">
        <f t="shared" si="56"/>
        <v>-489</v>
      </c>
      <c r="BY32" s="87">
        <f t="shared" si="56"/>
        <v>803</v>
      </c>
      <c r="BZ32" s="87">
        <f t="shared" si="56"/>
        <v>617</v>
      </c>
      <c r="CA32" s="267">
        <f t="shared" si="56"/>
        <v>988</v>
      </c>
      <c r="CB32" s="267">
        <f t="shared" si="56"/>
        <v>1004</v>
      </c>
      <c r="CC32" s="267">
        <f t="shared" si="56"/>
        <v>1241</v>
      </c>
      <c r="CD32" s="267">
        <f t="shared" si="56"/>
        <v>308</v>
      </c>
      <c r="CE32" s="309">
        <f t="shared" si="56"/>
        <v>2463</v>
      </c>
      <c r="CF32" s="309">
        <f t="shared" si="56"/>
        <v>1165</v>
      </c>
      <c r="CG32" s="309">
        <f t="shared" si="56"/>
        <v>855</v>
      </c>
      <c r="CH32" s="309">
        <f t="shared" si="56"/>
        <v>365</v>
      </c>
      <c r="CI32" s="309">
        <f t="shared" si="56"/>
        <v>416</v>
      </c>
      <c r="CJ32" s="309">
        <f t="shared" si="56"/>
        <v>463</v>
      </c>
      <c r="CK32" s="309">
        <f t="shared" si="56"/>
        <v>560</v>
      </c>
      <c r="CL32" s="309">
        <f t="shared" si="56"/>
        <v>-392</v>
      </c>
      <c r="CM32" s="309">
        <f t="shared" si="56"/>
        <v>273</v>
      </c>
      <c r="CN32" s="309">
        <f t="shared" si="56"/>
        <v>-1389</v>
      </c>
      <c r="CO32" s="309">
        <f t="shared" si="56"/>
        <v>-369</v>
      </c>
      <c r="CP32" s="309">
        <f t="shared" si="56"/>
        <v>723</v>
      </c>
      <c r="CQ32" s="309">
        <f t="shared" si="56"/>
        <v>-703</v>
      </c>
      <c r="CR32" s="309">
        <f t="shared" si="56"/>
        <v>60</v>
      </c>
      <c r="CS32" s="309">
        <f t="shared" si="56"/>
        <v>-119</v>
      </c>
      <c r="CT32" s="348"/>
      <c r="CU32" s="67">
        <f>'MONTHLY SUMMARIES'!J24</f>
        <v>10487</v>
      </c>
    </row>
    <row r="33" spans="1:99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/>
      <c r="BA33" s="293"/>
      <c r="BB33" s="293"/>
      <c r="BC33" s="293"/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48"/>
      <c r="CU33" s="81">
        <f>CU32-CU34</f>
        <v>10388</v>
      </c>
    </row>
    <row r="34" spans="1:99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/>
      <c r="BA34" s="293"/>
      <c r="BB34" s="293"/>
      <c r="BC34" s="293"/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48"/>
      <c r="CU34" s="67">
        <f>GETPIVOTDATA("VALUE",'CRS ESCO pvt'!$I$2,"DATE_FILE",$CU$8,"COMPANY",$CU$6,"TRIM_CAT","Resdiential-ESCO","TRIM_LINE",A31)</f>
        <v>99</v>
      </c>
    </row>
    <row r="35" spans="1:99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/>
      <c r="BA35" s="293"/>
      <c r="BB35" s="293"/>
      <c r="BC35" s="293"/>
      <c r="BD35" s="293"/>
      <c r="BE35" s="293"/>
      <c r="BF35" s="293"/>
      <c r="BG35" s="293"/>
      <c r="BH35" s="293"/>
      <c r="BI35" s="86">
        <f t="shared" ref="BI35:CS35" si="57">O35-C35</f>
        <v>-39</v>
      </c>
      <c r="BJ35" s="87">
        <f t="shared" si="57"/>
        <v>-202</v>
      </c>
      <c r="BK35" s="87">
        <f t="shared" si="57"/>
        <v>-368</v>
      </c>
      <c r="BL35" s="87">
        <f t="shared" si="57"/>
        <v>-90</v>
      </c>
      <c r="BM35" s="87">
        <f t="shared" si="57"/>
        <v>-198</v>
      </c>
      <c r="BN35" s="87">
        <f t="shared" si="57"/>
        <v>-103</v>
      </c>
      <c r="BO35" s="87">
        <f t="shared" si="57"/>
        <v>-49</v>
      </c>
      <c r="BP35" s="87">
        <f t="shared" si="57"/>
        <v>-44</v>
      </c>
      <c r="BQ35" s="87">
        <f t="shared" si="57"/>
        <v>-147</v>
      </c>
      <c r="BR35" s="87">
        <f t="shared" si="57"/>
        <v>-26</v>
      </c>
      <c r="BS35" s="87">
        <f t="shared" si="57"/>
        <v>-70</v>
      </c>
      <c r="BT35" s="87">
        <f t="shared" si="57"/>
        <v>-50</v>
      </c>
      <c r="BU35" s="87">
        <f t="shared" si="57"/>
        <v>111</v>
      </c>
      <c r="BV35" s="87">
        <f t="shared" si="57"/>
        <v>428</v>
      </c>
      <c r="BW35" s="87">
        <f t="shared" si="57"/>
        <v>74</v>
      </c>
      <c r="BX35" s="87">
        <f t="shared" si="57"/>
        <v>124</v>
      </c>
      <c r="BY35" s="87">
        <f t="shared" si="57"/>
        <v>182</v>
      </c>
      <c r="BZ35" s="87">
        <f t="shared" si="57"/>
        <v>223</v>
      </c>
      <c r="CA35" s="267">
        <f t="shared" si="57"/>
        <v>178</v>
      </c>
      <c r="CB35" s="267">
        <f t="shared" si="57"/>
        <v>255</v>
      </c>
      <c r="CC35" s="267">
        <f t="shared" si="57"/>
        <v>-19</v>
      </c>
      <c r="CD35" s="267">
        <f t="shared" si="57"/>
        <v>31</v>
      </c>
      <c r="CE35" s="309">
        <f t="shared" si="57"/>
        <v>348</v>
      </c>
      <c r="CF35" s="309">
        <f t="shared" si="57"/>
        <v>284</v>
      </c>
      <c r="CG35" s="309">
        <f t="shared" si="57"/>
        <v>158</v>
      </c>
      <c r="CH35" s="309">
        <f t="shared" si="57"/>
        <v>-201</v>
      </c>
      <c r="CI35" s="309">
        <f t="shared" si="57"/>
        <v>-187</v>
      </c>
      <c r="CJ35" s="309">
        <f t="shared" si="57"/>
        <v>-312</v>
      </c>
      <c r="CK35" s="309">
        <f t="shared" si="57"/>
        <v>-50</v>
      </c>
      <c r="CL35" s="309">
        <f t="shared" si="57"/>
        <v>-50</v>
      </c>
      <c r="CM35" s="309">
        <f t="shared" si="57"/>
        <v>30</v>
      </c>
      <c r="CN35" s="309">
        <f t="shared" si="57"/>
        <v>-181</v>
      </c>
      <c r="CO35" s="309">
        <f t="shared" si="57"/>
        <v>295</v>
      </c>
      <c r="CP35" s="309">
        <f t="shared" si="57"/>
        <v>363</v>
      </c>
      <c r="CQ35" s="309">
        <f t="shared" si="57"/>
        <v>220</v>
      </c>
      <c r="CR35" s="309">
        <f t="shared" si="57"/>
        <v>123</v>
      </c>
      <c r="CS35" s="309">
        <f t="shared" si="57"/>
        <v>36</v>
      </c>
      <c r="CT35" s="348"/>
      <c r="CU35" s="67">
        <f>'MONTHLY SUMMARIES'!J25</f>
        <v>1275</v>
      </c>
    </row>
    <row r="36" spans="1:99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/>
      <c r="BA36" s="293"/>
      <c r="BB36" s="293"/>
      <c r="BC36" s="293"/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48"/>
      <c r="CU36" s="81">
        <f>CU35-CU37</f>
        <v>1245</v>
      </c>
    </row>
    <row r="37" spans="1:99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/>
      <c r="BA37" s="293"/>
      <c r="BB37" s="293"/>
      <c r="BC37" s="293"/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48"/>
      <c r="CU37" s="67">
        <f>GETPIVOTDATA("VALUE",'CRS ESCO pvt'!$I$2,"DATE_FILE",$CU$8,"COMPANY",$CU$6,"TRIM_CAT","Low Income Resdiential-ESCO","TRIM_LINE",A31)</f>
        <v>30</v>
      </c>
    </row>
    <row r="38" spans="1:99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/>
      <c r="BA38" s="293"/>
      <c r="BB38" s="293"/>
      <c r="BC38" s="293"/>
      <c r="BD38" s="293"/>
      <c r="BE38" s="293"/>
      <c r="BF38" s="293"/>
      <c r="BG38" s="293"/>
      <c r="BH38" s="293"/>
      <c r="BI38" s="86">
        <f t="shared" ref="BI38:BR40" si="58">O38-C38</f>
        <v>-125</v>
      </c>
      <c r="BJ38" s="87">
        <f t="shared" si="58"/>
        <v>269</v>
      </c>
      <c r="BK38" s="87">
        <f t="shared" si="58"/>
        <v>148</v>
      </c>
      <c r="BL38" s="87">
        <f t="shared" si="58"/>
        <v>207</v>
      </c>
      <c r="BM38" s="87">
        <f t="shared" si="58"/>
        <v>-308</v>
      </c>
      <c r="BN38" s="87">
        <f t="shared" si="58"/>
        <v>146</v>
      </c>
      <c r="BO38" s="87">
        <f t="shared" si="58"/>
        <v>-11</v>
      </c>
      <c r="BP38" s="87">
        <f t="shared" si="58"/>
        <v>97</v>
      </c>
      <c r="BQ38" s="87">
        <f t="shared" si="58"/>
        <v>-1</v>
      </c>
      <c r="BR38" s="87">
        <f t="shared" si="58"/>
        <v>-204</v>
      </c>
      <c r="BS38" s="87">
        <f t="shared" ref="BS38:CB40" si="59">Y38-M38</f>
        <v>288</v>
      </c>
      <c r="BT38" s="87">
        <f t="shared" si="59"/>
        <v>-71</v>
      </c>
      <c r="BU38" s="87">
        <f t="shared" si="59"/>
        <v>-189</v>
      </c>
      <c r="BV38" s="87">
        <f t="shared" si="59"/>
        <v>-805</v>
      </c>
      <c r="BW38" s="87">
        <f t="shared" si="59"/>
        <v>-395</v>
      </c>
      <c r="BX38" s="87">
        <f t="shared" si="59"/>
        <v>-83</v>
      </c>
      <c r="BY38" s="87">
        <f t="shared" si="59"/>
        <v>122</v>
      </c>
      <c r="BZ38" s="87">
        <f t="shared" si="59"/>
        <v>-85</v>
      </c>
      <c r="CA38" s="267">
        <f t="shared" si="59"/>
        <v>137</v>
      </c>
      <c r="CB38" s="267">
        <f t="shared" si="59"/>
        <v>687</v>
      </c>
      <c r="CC38" s="267">
        <f t="shared" ref="CC38:CL40" si="60">AI38-W38</f>
        <v>556</v>
      </c>
      <c r="CD38" s="267">
        <f t="shared" si="60"/>
        <v>476</v>
      </c>
      <c r="CE38" s="309">
        <f t="shared" si="60"/>
        <v>823</v>
      </c>
      <c r="CF38" s="309">
        <f t="shared" si="60"/>
        <v>611</v>
      </c>
      <c r="CG38" s="309">
        <f t="shared" si="60"/>
        <v>619</v>
      </c>
      <c r="CH38" s="309">
        <f t="shared" si="60"/>
        <v>437</v>
      </c>
      <c r="CI38" s="309">
        <f t="shared" si="60"/>
        <v>337</v>
      </c>
      <c r="CJ38" s="309">
        <f t="shared" si="60"/>
        <v>351</v>
      </c>
      <c r="CK38" s="309">
        <f t="shared" si="60"/>
        <v>135</v>
      </c>
      <c r="CL38" s="309">
        <f t="shared" si="60"/>
        <v>225</v>
      </c>
      <c r="CM38" s="309">
        <f t="shared" ref="CM38:CS40" si="61">AS38-AG38</f>
        <v>230</v>
      </c>
      <c r="CN38" s="309">
        <f t="shared" si="61"/>
        <v>-635</v>
      </c>
      <c r="CO38" s="309">
        <f t="shared" si="61"/>
        <v>-573</v>
      </c>
      <c r="CP38" s="309">
        <f t="shared" si="61"/>
        <v>-315</v>
      </c>
      <c r="CQ38" s="309">
        <f t="shared" si="61"/>
        <v>-1062</v>
      </c>
      <c r="CR38" s="309">
        <f t="shared" si="61"/>
        <v>-789</v>
      </c>
      <c r="CS38" s="309">
        <f t="shared" si="61"/>
        <v>-364</v>
      </c>
      <c r="CT38" s="348"/>
      <c r="CU38" s="67">
        <f>'MONTHLY SUMMARIES'!J26</f>
        <v>1689</v>
      </c>
    </row>
    <row r="39" spans="1:99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/>
      <c r="BA39" s="293"/>
      <c r="BB39" s="293"/>
      <c r="BC39" s="293"/>
      <c r="BD39" s="293"/>
      <c r="BE39" s="293"/>
      <c r="BF39" s="293"/>
      <c r="BG39" s="293"/>
      <c r="BH39" s="293"/>
      <c r="BI39" s="86">
        <f t="shared" si="58"/>
        <v>13</v>
      </c>
      <c r="BJ39" s="87">
        <f t="shared" si="58"/>
        <v>16</v>
      </c>
      <c r="BK39" s="87">
        <f t="shared" si="58"/>
        <v>37</v>
      </c>
      <c r="BL39" s="87">
        <f t="shared" si="58"/>
        <v>30</v>
      </c>
      <c r="BM39" s="87">
        <f t="shared" si="58"/>
        <v>-11</v>
      </c>
      <c r="BN39" s="87">
        <f t="shared" si="58"/>
        <v>25</v>
      </c>
      <c r="BO39" s="87">
        <f t="shared" si="58"/>
        <v>6</v>
      </c>
      <c r="BP39" s="87">
        <f t="shared" si="58"/>
        <v>-4</v>
      </c>
      <c r="BQ39" s="87">
        <f t="shared" si="58"/>
        <v>5</v>
      </c>
      <c r="BR39" s="87">
        <f t="shared" si="58"/>
        <v>-29</v>
      </c>
      <c r="BS39" s="87">
        <f t="shared" si="59"/>
        <v>19</v>
      </c>
      <c r="BT39" s="87">
        <f t="shared" si="59"/>
        <v>-8</v>
      </c>
      <c r="BU39" s="87">
        <f t="shared" si="59"/>
        <v>-17</v>
      </c>
      <c r="BV39" s="87">
        <f t="shared" si="59"/>
        <v>-47</v>
      </c>
      <c r="BW39" s="87">
        <f t="shared" si="59"/>
        <v>-42</v>
      </c>
      <c r="BX39" s="87">
        <f t="shared" si="59"/>
        <v>-26</v>
      </c>
      <c r="BY39" s="87">
        <f t="shared" si="59"/>
        <v>-9</v>
      </c>
      <c r="BZ39" s="87">
        <f t="shared" si="59"/>
        <v>-24</v>
      </c>
      <c r="CA39" s="267">
        <f t="shared" si="59"/>
        <v>17</v>
      </c>
      <c r="CB39" s="267">
        <f t="shared" si="59"/>
        <v>50</v>
      </c>
      <c r="CC39" s="267">
        <f t="shared" si="60"/>
        <v>30</v>
      </c>
      <c r="CD39" s="267">
        <f t="shared" si="60"/>
        <v>52</v>
      </c>
      <c r="CE39" s="309">
        <f t="shared" si="60"/>
        <v>36</v>
      </c>
      <c r="CF39" s="309">
        <f t="shared" si="60"/>
        <v>35</v>
      </c>
      <c r="CG39" s="309">
        <f t="shared" si="60"/>
        <v>31</v>
      </c>
      <c r="CH39" s="309">
        <f t="shared" si="60"/>
        <v>33</v>
      </c>
      <c r="CI39" s="309">
        <f t="shared" si="60"/>
        <v>32</v>
      </c>
      <c r="CJ39" s="309">
        <f t="shared" si="60"/>
        <v>46</v>
      </c>
      <c r="CK39" s="309">
        <f t="shared" si="60"/>
        <v>16</v>
      </c>
      <c r="CL39" s="309">
        <f t="shared" si="60"/>
        <v>31</v>
      </c>
      <c r="CM39" s="309">
        <f t="shared" si="61"/>
        <v>4</v>
      </c>
      <c r="CN39" s="309">
        <f t="shared" si="61"/>
        <v>-26</v>
      </c>
      <c r="CO39" s="309">
        <f t="shared" si="61"/>
        <v>-34</v>
      </c>
      <c r="CP39" s="309">
        <f t="shared" si="61"/>
        <v>-41</v>
      </c>
      <c r="CQ39" s="309">
        <f t="shared" si="61"/>
        <v>-30</v>
      </c>
      <c r="CR39" s="309">
        <f t="shared" si="61"/>
        <v>-51</v>
      </c>
      <c r="CS39" s="309">
        <f t="shared" si="61"/>
        <v>-29</v>
      </c>
      <c r="CT39" s="348"/>
      <c r="CU39" s="67">
        <f>'MONTHLY SUMMARIES'!J27</f>
        <v>71</v>
      </c>
    </row>
    <row r="40" spans="1:99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/>
      <c r="BA40" s="293"/>
      <c r="BB40" s="293"/>
      <c r="BC40" s="293"/>
      <c r="BD40" s="293"/>
      <c r="BE40" s="293"/>
      <c r="BF40" s="293"/>
      <c r="BG40" s="293"/>
      <c r="BH40" s="293"/>
      <c r="BI40" s="86">
        <f t="shared" si="58"/>
        <v>-1</v>
      </c>
      <c r="BJ40" s="87">
        <f t="shared" si="58"/>
        <v>-2</v>
      </c>
      <c r="BK40" s="87">
        <f t="shared" si="58"/>
        <v>-13</v>
      </c>
      <c r="BL40" s="87">
        <f t="shared" si="58"/>
        <v>2</v>
      </c>
      <c r="BM40" s="87">
        <f t="shared" si="58"/>
        <v>16</v>
      </c>
      <c r="BN40" s="87">
        <f t="shared" si="58"/>
        <v>3</v>
      </c>
      <c r="BO40" s="87">
        <f t="shared" si="58"/>
        <v>2</v>
      </c>
      <c r="BP40" s="87">
        <f t="shared" si="58"/>
        <v>4</v>
      </c>
      <c r="BQ40" s="87">
        <f t="shared" si="58"/>
        <v>1</v>
      </c>
      <c r="BR40" s="87">
        <f t="shared" si="58"/>
        <v>-6</v>
      </c>
      <c r="BS40" s="87">
        <f t="shared" si="59"/>
        <v>7</v>
      </c>
      <c r="BT40" s="87">
        <f t="shared" si="59"/>
        <v>-2</v>
      </c>
      <c r="BU40" s="87">
        <f t="shared" si="59"/>
        <v>-4</v>
      </c>
      <c r="BV40" s="87">
        <f t="shared" si="59"/>
        <v>-9</v>
      </c>
      <c r="BW40" s="87">
        <f t="shared" si="59"/>
        <v>0</v>
      </c>
      <c r="BX40" s="87">
        <f t="shared" si="59"/>
        <v>1</v>
      </c>
      <c r="BY40" s="87">
        <f t="shared" si="59"/>
        <v>-22</v>
      </c>
      <c r="BZ40" s="87">
        <f t="shared" si="59"/>
        <v>-1</v>
      </c>
      <c r="CA40" s="267">
        <f t="shared" si="59"/>
        <v>-5</v>
      </c>
      <c r="CB40" s="267">
        <f t="shared" si="59"/>
        <v>3</v>
      </c>
      <c r="CC40" s="267">
        <f t="shared" si="60"/>
        <v>2</v>
      </c>
      <c r="CD40" s="267">
        <f t="shared" si="60"/>
        <v>10</v>
      </c>
      <c r="CE40" s="309">
        <f t="shared" si="60"/>
        <v>7</v>
      </c>
      <c r="CF40" s="309">
        <f t="shared" si="60"/>
        <v>1</v>
      </c>
      <c r="CG40" s="309">
        <f t="shared" si="60"/>
        <v>9</v>
      </c>
      <c r="CH40" s="309">
        <f t="shared" si="60"/>
        <v>5</v>
      </c>
      <c r="CI40" s="309">
        <f t="shared" si="60"/>
        <v>5</v>
      </c>
      <c r="CJ40" s="309">
        <f t="shared" si="60"/>
        <v>6</v>
      </c>
      <c r="CK40" s="309">
        <f t="shared" si="60"/>
        <v>8</v>
      </c>
      <c r="CL40" s="309">
        <f t="shared" si="60"/>
        <v>6</v>
      </c>
      <c r="CM40" s="309">
        <f t="shared" si="61"/>
        <v>6</v>
      </c>
      <c r="CN40" s="309">
        <f t="shared" si="61"/>
        <v>-1</v>
      </c>
      <c r="CO40" s="309">
        <f t="shared" si="61"/>
        <v>-2</v>
      </c>
      <c r="CP40" s="309">
        <f t="shared" si="61"/>
        <v>1</v>
      </c>
      <c r="CQ40" s="309">
        <f t="shared" si="61"/>
        <v>1</v>
      </c>
      <c r="CR40" s="309">
        <f t="shared" si="61"/>
        <v>6</v>
      </c>
      <c r="CS40" s="309">
        <f t="shared" si="61"/>
        <v>-6</v>
      </c>
      <c r="CT40" s="348"/>
      <c r="CU40" s="67">
        <f>'MONTHLY SUMMARIES'!J28</f>
        <v>12</v>
      </c>
    </row>
    <row r="41" spans="1:99" s="76" customFormat="1" x14ac:dyDescent="0.3">
      <c r="A41" s="152"/>
      <c r="B41" s="63" t="s">
        <v>42</v>
      </c>
      <c r="C41" s="140">
        <f t="shared" ref="C41:V41" si="62">SUM(C32:C40)</f>
        <v>13992</v>
      </c>
      <c r="D41" s="141">
        <f t="shared" si="62"/>
        <v>14167</v>
      </c>
      <c r="E41" s="141">
        <f t="shared" si="62"/>
        <v>13575</v>
      </c>
      <c r="F41" s="141">
        <f t="shared" si="62"/>
        <v>11525</v>
      </c>
      <c r="G41" s="141">
        <f t="shared" si="62"/>
        <v>12147</v>
      </c>
      <c r="H41" s="141">
        <f t="shared" si="62"/>
        <v>9866</v>
      </c>
      <c r="I41" s="141">
        <f t="shared" si="62"/>
        <v>10523</v>
      </c>
      <c r="J41" s="141">
        <f t="shared" si="62"/>
        <v>11067</v>
      </c>
      <c r="K41" s="141">
        <f t="shared" si="62"/>
        <v>12031</v>
      </c>
      <c r="L41" s="142">
        <f t="shared" si="62"/>
        <v>12598</v>
      </c>
      <c r="M41" s="141">
        <f t="shared" si="62"/>
        <v>11563</v>
      </c>
      <c r="N41" s="141">
        <f t="shared" si="62"/>
        <v>13774</v>
      </c>
      <c r="O41" s="141">
        <f t="shared" si="62"/>
        <v>14072</v>
      </c>
      <c r="P41" s="141">
        <f t="shared" si="62"/>
        <v>12797</v>
      </c>
      <c r="Q41" s="141">
        <f t="shared" si="62"/>
        <v>11723</v>
      </c>
      <c r="R41" s="141">
        <f t="shared" si="62"/>
        <v>11437</v>
      </c>
      <c r="S41" s="141">
        <f t="shared" si="62"/>
        <v>8908</v>
      </c>
      <c r="T41" s="141">
        <f t="shared" si="62"/>
        <v>9249</v>
      </c>
      <c r="U41" s="141">
        <f t="shared" si="62"/>
        <v>9663</v>
      </c>
      <c r="V41" s="141">
        <f t="shared" si="62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/>
      <c r="BA41" s="294"/>
      <c r="BB41" s="294"/>
      <c r="BC41" s="294"/>
      <c r="BD41" s="294"/>
      <c r="BE41" s="294"/>
      <c r="BF41" s="294"/>
      <c r="BG41" s="294"/>
      <c r="BH41" s="294"/>
      <c r="BI41" s="88">
        <f>SUM(BI32:BI40)</f>
        <v>80</v>
      </c>
      <c r="BJ41" s="143">
        <f t="shared" ref="BJ41:BL41" si="63">SUM(BJ32:BJ40)</f>
        <v>-1370</v>
      </c>
      <c r="BK41" s="143">
        <f t="shared" si="63"/>
        <v>-1852</v>
      </c>
      <c r="BL41" s="143">
        <f t="shared" si="63"/>
        <v>-88</v>
      </c>
      <c r="BM41" s="143">
        <f t="shared" ref="BM41:BN41" si="64">SUM(BM32:BM40)</f>
        <v>-3239</v>
      </c>
      <c r="BN41" s="143">
        <f t="shared" si="64"/>
        <v>-617</v>
      </c>
      <c r="BO41" s="143">
        <f t="shared" ref="BO41:BP41" si="65">SUM(BO32:BO40)</f>
        <v>-860</v>
      </c>
      <c r="BP41" s="143">
        <f t="shared" si="65"/>
        <v>-492</v>
      </c>
      <c r="BQ41" s="143">
        <f t="shared" ref="BQ41:BR41" si="66">SUM(BQ32:BQ40)</f>
        <v>-1708</v>
      </c>
      <c r="BR41" s="143">
        <f t="shared" si="66"/>
        <v>-1247</v>
      </c>
      <c r="BS41" s="143">
        <f t="shared" ref="BS41:BT41" si="67">SUM(BS32:BS40)</f>
        <v>-882</v>
      </c>
      <c r="BT41" s="143">
        <f t="shared" si="67"/>
        <v>-1679</v>
      </c>
      <c r="BU41" s="143">
        <f t="shared" ref="BU41:BV41" si="68">SUM(BU32:BU40)</f>
        <v>-1728</v>
      </c>
      <c r="BV41" s="143">
        <f t="shared" si="68"/>
        <v>-1473</v>
      </c>
      <c r="BW41" s="143">
        <f t="shared" ref="BW41:BX41" si="69">SUM(BW32:BW40)</f>
        <v>-801</v>
      </c>
      <c r="BX41" s="143">
        <f t="shared" si="69"/>
        <v>-473</v>
      </c>
      <c r="BY41" s="143">
        <f t="shared" ref="BY41:BZ41" si="70">SUM(BY32:BY40)</f>
        <v>1076</v>
      </c>
      <c r="BZ41" s="143">
        <f t="shared" si="70"/>
        <v>730</v>
      </c>
      <c r="CA41" s="268">
        <f t="shared" ref="CA41:CB41" si="71">SUM(CA32:CA40)</f>
        <v>1315</v>
      </c>
      <c r="CB41" s="268">
        <f t="shared" si="71"/>
        <v>1999</v>
      </c>
      <c r="CC41" s="268">
        <f t="shared" ref="CC41:CE41" si="72">SUM(CC32:CC40)</f>
        <v>1810</v>
      </c>
      <c r="CD41" s="268">
        <f t="shared" si="72"/>
        <v>877</v>
      </c>
      <c r="CE41" s="310">
        <f t="shared" si="72"/>
        <v>3677</v>
      </c>
      <c r="CF41" s="310">
        <f t="shared" ref="CF41:CG41" si="73">SUM(CF32:CF40)</f>
        <v>2096</v>
      </c>
      <c r="CG41" s="310">
        <f t="shared" si="73"/>
        <v>1672</v>
      </c>
      <c r="CH41" s="310">
        <f t="shared" ref="CH41:CI41" si="74">SUM(CH32:CH40)</f>
        <v>639</v>
      </c>
      <c r="CI41" s="310">
        <f t="shared" si="74"/>
        <v>603</v>
      </c>
      <c r="CJ41" s="310">
        <f t="shared" ref="CJ41" si="75">SUM(CJ32:CJ40)</f>
        <v>554</v>
      </c>
      <c r="CK41" s="310">
        <f t="shared" ref="CK41" si="76">SUM(CK32:CK40)</f>
        <v>669</v>
      </c>
      <c r="CL41" s="310">
        <f t="shared" ref="CL41" si="77">SUM(CL32:CL40)</f>
        <v>-180</v>
      </c>
      <c r="CM41" s="310">
        <f t="shared" ref="CM41" si="78">SUM(CM32:CM40)</f>
        <v>543</v>
      </c>
      <c r="CN41" s="310">
        <f t="shared" ref="CN41" si="79">SUM(CN32:CN40)</f>
        <v>-2232</v>
      </c>
      <c r="CO41" s="310">
        <f t="shared" ref="CO41" si="80">SUM(CO32:CO40)</f>
        <v>-683</v>
      </c>
      <c r="CP41" s="310">
        <f t="shared" ref="CP41" si="81">SUM(CP32:CP40)</f>
        <v>731</v>
      </c>
      <c r="CQ41" s="310">
        <f t="shared" ref="CQ41:CS41" si="82">SUM(CQ32:CQ40)</f>
        <v>-1574</v>
      </c>
      <c r="CR41" s="310">
        <f t="shared" ref="CR41:CS41" si="83">SUM(CR32:CR40)</f>
        <v>-651</v>
      </c>
      <c r="CS41" s="310">
        <f t="shared" si="83"/>
        <v>-482</v>
      </c>
      <c r="CT41" s="349"/>
      <c r="CU41" s="262">
        <f>CU32+CU35+CU38+CU39+CU40</f>
        <v>13534</v>
      </c>
    </row>
    <row r="42" spans="1:99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48"/>
      <c r="CU42" s="93"/>
    </row>
    <row r="43" spans="1:99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/>
      <c r="BA43" s="293"/>
      <c r="BB43" s="293"/>
      <c r="BC43" s="293"/>
      <c r="BD43" s="293"/>
      <c r="BE43" s="293"/>
      <c r="BF43" s="293"/>
      <c r="BG43" s="293"/>
      <c r="BH43" s="293"/>
      <c r="BI43" s="86">
        <f t="shared" ref="BI43:CS43" si="84">O43-C43</f>
        <v>549</v>
      </c>
      <c r="BJ43" s="87">
        <f t="shared" si="84"/>
        <v>-12</v>
      </c>
      <c r="BK43" s="87">
        <f t="shared" si="84"/>
        <v>-1320</v>
      </c>
      <c r="BL43" s="87">
        <f t="shared" si="84"/>
        <v>-692</v>
      </c>
      <c r="BM43" s="87">
        <f t="shared" si="84"/>
        <v>-510</v>
      </c>
      <c r="BN43" s="87">
        <f t="shared" si="84"/>
        <v>-1344</v>
      </c>
      <c r="BO43" s="87">
        <f t="shared" si="84"/>
        <v>-580</v>
      </c>
      <c r="BP43" s="87">
        <f t="shared" si="84"/>
        <v>-394</v>
      </c>
      <c r="BQ43" s="87">
        <f t="shared" si="84"/>
        <v>-321</v>
      </c>
      <c r="BR43" s="87">
        <f t="shared" si="84"/>
        <v>-657</v>
      </c>
      <c r="BS43" s="87">
        <f t="shared" si="84"/>
        <v>-941</v>
      </c>
      <c r="BT43" s="87">
        <f t="shared" si="84"/>
        <v>-974</v>
      </c>
      <c r="BU43" s="87">
        <f t="shared" si="84"/>
        <v>-1555</v>
      </c>
      <c r="BV43" s="87">
        <f t="shared" si="84"/>
        <v>-1585</v>
      </c>
      <c r="BW43" s="87">
        <f t="shared" si="84"/>
        <v>-662</v>
      </c>
      <c r="BX43" s="87">
        <f t="shared" si="84"/>
        <v>-252</v>
      </c>
      <c r="BY43" s="87">
        <f t="shared" si="84"/>
        <v>-647</v>
      </c>
      <c r="BZ43" s="87">
        <f t="shared" si="84"/>
        <v>287</v>
      </c>
      <c r="CA43" s="267">
        <f t="shared" si="84"/>
        <v>454</v>
      </c>
      <c r="CB43" s="267">
        <f t="shared" si="84"/>
        <v>554</v>
      </c>
      <c r="CC43" s="267">
        <f t="shared" si="84"/>
        <v>985</v>
      </c>
      <c r="CD43" s="267">
        <f t="shared" si="84"/>
        <v>74</v>
      </c>
      <c r="CE43" s="309">
        <f t="shared" si="84"/>
        <v>310</v>
      </c>
      <c r="CF43" s="309">
        <f t="shared" si="84"/>
        <v>394</v>
      </c>
      <c r="CG43" s="309">
        <f t="shared" si="84"/>
        <v>442</v>
      </c>
      <c r="CH43" s="309">
        <f t="shared" si="84"/>
        <v>314</v>
      </c>
      <c r="CI43" s="309">
        <f t="shared" si="84"/>
        <v>587</v>
      </c>
      <c r="CJ43" s="309">
        <f t="shared" si="84"/>
        <v>361</v>
      </c>
      <c r="CK43" s="309">
        <f t="shared" si="84"/>
        <v>-15</v>
      </c>
      <c r="CL43" s="309">
        <f t="shared" si="84"/>
        <v>132</v>
      </c>
      <c r="CM43" s="309">
        <f t="shared" si="84"/>
        <v>-201</v>
      </c>
      <c r="CN43" s="309">
        <f t="shared" si="84"/>
        <v>-480</v>
      </c>
      <c r="CO43" s="309">
        <f t="shared" si="84"/>
        <v>-911</v>
      </c>
      <c r="CP43" s="309">
        <f t="shared" si="84"/>
        <v>322</v>
      </c>
      <c r="CQ43" s="309">
        <f t="shared" si="84"/>
        <v>22</v>
      </c>
      <c r="CR43" s="309">
        <f t="shared" si="84"/>
        <v>199</v>
      </c>
      <c r="CS43" s="309">
        <f t="shared" si="84"/>
        <v>285</v>
      </c>
      <c r="CT43" s="348"/>
      <c r="CU43" s="67">
        <f>'MONTHLY SUMMARIES'!J31</f>
        <v>4340</v>
      </c>
    </row>
    <row r="44" spans="1:99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/>
      <c r="BA44" s="293"/>
      <c r="BB44" s="293"/>
      <c r="BC44" s="293"/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48"/>
      <c r="CU44" s="81">
        <f>CU43-CU45</f>
        <v>4271</v>
      </c>
    </row>
    <row r="45" spans="1:99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/>
      <c r="BA45" s="293"/>
      <c r="BB45" s="293"/>
      <c r="BC45" s="293"/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48"/>
      <c r="CU45" s="67">
        <f>GETPIVOTDATA("VALUE",'CRS ESCO pvt'!$I$2,"DATE_FILE",$CU$8,"COMPANY",$CU$6,"TRIM_CAT","Resdiential-ESCO","TRIM_LINE",A42)</f>
        <v>69</v>
      </c>
    </row>
    <row r="46" spans="1:99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/>
      <c r="BA46" s="293"/>
      <c r="BB46" s="293"/>
      <c r="BC46" s="293"/>
      <c r="BD46" s="293"/>
      <c r="BE46" s="293"/>
      <c r="BF46" s="293"/>
      <c r="BG46" s="293"/>
      <c r="BH46" s="293"/>
      <c r="BI46" s="86">
        <f t="shared" ref="BI46:CS46" si="85">O46-C46</f>
        <v>29</v>
      </c>
      <c r="BJ46" s="87">
        <f t="shared" si="85"/>
        <v>-19</v>
      </c>
      <c r="BK46" s="87">
        <f t="shared" si="85"/>
        <v>-257</v>
      </c>
      <c r="BL46" s="87">
        <f t="shared" si="85"/>
        <v>-308</v>
      </c>
      <c r="BM46" s="87">
        <f t="shared" si="85"/>
        <v>-130</v>
      </c>
      <c r="BN46" s="87">
        <f t="shared" si="85"/>
        <v>-77</v>
      </c>
      <c r="BO46" s="87">
        <f t="shared" si="85"/>
        <v>-49</v>
      </c>
      <c r="BP46" s="87">
        <f t="shared" si="85"/>
        <v>-61</v>
      </c>
      <c r="BQ46" s="87">
        <f t="shared" si="85"/>
        <v>31</v>
      </c>
      <c r="BR46" s="87">
        <f t="shared" si="85"/>
        <v>-99</v>
      </c>
      <c r="BS46" s="87">
        <f t="shared" si="85"/>
        <v>-73</v>
      </c>
      <c r="BT46" s="87">
        <f t="shared" si="85"/>
        <v>-77</v>
      </c>
      <c r="BU46" s="87">
        <f t="shared" si="85"/>
        <v>-51</v>
      </c>
      <c r="BV46" s="87">
        <f t="shared" si="85"/>
        <v>-63</v>
      </c>
      <c r="BW46" s="87">
        <f t="shared" si="85"/>
        <v>65</v>
      </c>
      <c r="BX46" s="87">
        <f t="shared" si="85"/>
        <v>356</v>
      </c>
      <c r="BY46" s="87">
        <f t="shared" si="85"/>
        <v>57</v>
      </c>
      <c r="BZ46" s="87">
        <f t="shared" si="85"/>
        <v>79</v>
      </c>
      <c r="CA46" s="267">
        <f t="shared" si="85"/>
        <v>146</v>
      </c>
      <c r="CB46" s="267">
        <f t="shared" si="85"/>
        <v>138</v>
      </c>
      <c r="CC46" s="267">
        <f t="shared" si="85"/>
        <v>60</v>
      </c>
      <c r="CD46" s="267">
        <f t="shared" si="85"/>
        <v>-79</v>
      </c>
      <c r="CE46" s="309">
        <f t="shared" si="85"/>
        <v>113</v>
      </c>
      <c r="CF46" s="309">
        <f t="shared" si="85"/>
        <v>206</v>
      </c>
      <c r="CG46" s="309">
        <f t="shared" si="85"/>
        <v>148</v>
      </c>
      <c r="CH46" s="309">
        <f t="shared" si="85"/>
        <v>148</v>
      </c>
      <c r="CI46" s="309">
        <f t="shared" si="85"/>
        <v>136</v>
      </c>
      <c r="CJ46" s="309">
        <f t="shared" si="85"/>
        <v>-99</v>
      </c>
      <c r="CK46" s="309">
        <f t="shared" si="85"/>
        <v>-305</v>
      </c>
      <c r="CL46" s="309">
        <f t="shared" si="85"/>
        <v>-32</v>
      </c>
      <c r="CM46" s="309">
        <f t="shared" si="85"/>
        <v>-1</v>
      </c>
      <c r="CN46" s="309">
        <f t="shared" si="85"/>
        <v>-24</v>
      </c>
      <c r="CO46" s="309">
        <f t="shared" si="85"/>
        <v>38</v>
      </c>
      <c r="CP46" s="309">
        <f t="shared" si="85"/>
        <v>255</v>
      </c>
      <c r="CQ46" s="309">
        <f t="shared" si="85"/>
        <v>138</v>
      </c>
      <c r="CR46" s="309">
        <f t="shared" si="85"/>
        <v>136</v>
      </c>
      <c r="CS46" s="309">
        <f t="shared" si="85"/>
        <v>77</v>
      </c>
      <c r="CT46" s="348"/>
      <c r="CU46" s="67">
        <f>'MONTHLY SUMMARIES'!J32</f>
        <v>763</v>
      </c>
    </row>
    <row r="47" spans="1:99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/>
      <c r="BA47" s="293"/>
      <c r="BB47" s="293"/>
      <c r="BC47" s="293"/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48"/>
      <c r="CU47" s="81">
        <f>CU46-CU48</f>
        <v>755</v>
      </c>
    </row>
    <row r="48" spans="1:99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/>
      <c r="BA48" s="293"/>
      <c r="BB48" s="293"/>
      <c r="BC48" s="293"/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48"/>
      <c r="CU48" s="67">
        <f>GETPIVOTDATA("VALUE",'CRS ESCO pvt'!$I$2,"DATE_FILE",$CU$8,"COMPANY",$CU$6,"TRIM_CAT","Low Income Resdiential-ESCO","TRIM_LINE",A42)</f>
        <v>8</v>
      </c>
    </row>
    <row r="49" spans="1:99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/>
      <c r="BA49" s="293"/>
      <c r="BB49" s="293"/>
      <c r="BC49" s="293"/>
      <c r="BD49" s="293"/>
      <c r="BE49" s="293"/>
      <c r="BF49" s="293"/>
      <c r="BG49" s="293"/>
      <c r="BH49" s="293"/>
      <c r="BI49" s="86">
        <f t="shared" ref="BI49:BR51" si="86">O49-C49</f>
        <v>144</v>
      </c>
      <c r="BJ49" s="87">
        <f t="shared" si="86"/>
        <v>185</v>
      </c>
      <c r="BK49" s="87">
        <f t="shared" si="86"/>
        <v>-12</v>
      </c>
      <c r="BL49" s="87">
        <f t="shared" si="86"/>
        <v>9</v>
      </c>
      <c r="BM49" s="87">
        <f t="shared" si="86"/>
        <v>-73</v>
      </c>
      <c r="BN49" s="87">
        <f t="shared" si="86"/>
        <v>-143</v>
      </c>
      <c r="BO49" s="87">
        <f t="shared" si="86"/>
        <v>-12</v>
      </c>
      <c r="BP49" s="87">
        <f t="shared" si="86"/>
        <v>23</v>
      </c>
      <c r="BQ49" s="87">
        <f t="shared" si="86"/>
        <v>-28</v>
      </c>
      <c r="BR49" s="87">
        <f t="shared" si="86"/>
        <v>-135</v>
      </c>
      <c r="BS49" s="87">
        <f t="shared" ref="BS49:CB51" si="87">Y49-M49</f>
        <v>65</v>
      </c>
      <c r="BT49" s="87">
        <f t="shared" si="87"/>
        <v>-121</v>
      </c>
      <c r="BU49" s="87">
        <f t="shared" si="87"/>
        <v>-309</v>
      </c>
      <c r="BV49" s="87">
        <f t="shared" si="87"/>
        <v>-426</v>
      </c>
      <c r="BW49" s="87">
        <f t="shared" si="87"/>
        <v>-252</v>
      </c>
      <c r="BX49" s="87">
        <f t="shared" si="87"/>
        <v>-106</v>
      </c>
      <c r="BY49" s="87">
        <f t="shared" si="87"/>
        <v>6</v>
      </c>
      <c r="BZ49" s="87">
        <f t="shared" si="87"/>
        <v>-27</v>
      </c>
      <c r="CA49" s="267">
        <f t="shared" si="87"/>
        <v>47</v>
      </c>
      <c r="CB49" s="267">
        <f t="shared" si="87"/>
        <v>105</v>
      </c>
      <c r="CC49" s="267">
        <f t="shared" ref="CC49:CL51" si="88">AI49-W49</f>
        <v>315</v>
      </c>
      <c r="CD49" s="267">
        <f t="shared" si="88"/>
        <v>93</v>
      </c>
      <c r="CE49" s="309">
        <f t="shared" si="88"/>
        <v>371</v>
      </c>
      <c r="CF49" s="309">
        <f t="shared" si="88"/>
        <v>168</v>
      </c>
      <c r="CG49" s="309">
        <f t="shared" si="88"/>
        <v>377</v>
      </c>
      <c r="CH49" s="309">
        <f t="shared" si="88"/>
        <v>219</v>
      </c>
      <c r="CI49" s="309">
        <f t="shared" si="88"/>
        <v>215</v>
      </c>
      <c r="CJ49" s="309">
        <f t="shared" si="88"/>
        <v>190</v>
      </c>
      <c r="CK49" s="309">
        <f t="shared" si="88"/>
        <v>129</v>
      </c>
      <c r="CL49" s="309">
        <f t="shared" si="88"/>
        <v>132</v>
      </c>
      <c r="CM49" s="309">
        <f t="shared" ref="CM49:CS51" si="89">AS49-AG49</f>
        <v>107</v>
      </c>
      <c r="CN49" s="309">
        <f t="shared" si="89"/>
        <v>-23</v>
      </c>
      <c r="CO49" s="309">
        <f t="shared" si="89"/>
        <v>-294</v>
      </c>
      <c r="CP49" s="309">
        <f t="shared" si="89"/>
        <v>-24</v>
      </c>
      <c r="CQ49" s="309">
        <f t="shared" si="89"/>
        <v>-350</v>
      </c>
      <c r="CR49" s="309">
        <f t="shared" si="89"/>
        <v>-216</v>
      </c>
      <c r="CS49" s="309">
        <f t="shared" si="89"/>
        <v>-252</v>
      </c>
      <c r="CT49" s="348"/>
      <c r="CU49" s="67">
        <f>'MONTHLY SUMMARIES'!J33</f>
        <v>578</v>
      </c>
    </row>
    <row r="50" spans="1:99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/>
      <c r="BA50" s="293"/>
      <c r="BB50" s="293"/>
      <c r="BC50" s="293"/>
      <c r="BD50" s="293"/>
      <c r="BE50" s="293"/>
      <c r="BF50" s="293"/>
      <c r="BG50" s="293"/>
      <c r="BH50" s="293"/>
      <c r="BI50" s="86">
        <f t="shared" si="86"/>
        <v>13</v>
      </c>
      <c r="BJ50" s="87">
        <f t="shared" si="86"/>
        <v>-3</v>
      </c>
      <c r="BK50" s="87">
        <f t="shared" si="86"/>
        <v>-12</v>
      </c>
      <c r="BL50" s="87">
        <f t="shared" si="86"/>
        <v>6</v>
      </c>
      <c r="BM50" s="87">
        <f t="shared" si="86"/>
        <v>4</v>
      </c>
      <c r="BN50" s="87">
        <f t="shared" si="86"/>
        <v>1</v>
      </c>
      <c r="BO50" s="87">
        <f t="shared" si="86"/>
        <v>-9</v>
      </c>
      <c r="BP50" s="87">
        <f t="shared" si="86"/>
        <v>0</v>
      </c>
      <c r="BQ50" s="87">
        <f t="shared" si="86"/>
        <v>0</v>
      </c>
      <c r="BR50" s="87">
        <f t="shared" si="86"/>
        <v>-5</v>
      </c>
      <c r="BS50" s="87">
        <f t="shared" si="87"/>
        <v>4</v>
      </c>
      <c r="BT50" s="87">
        <f t="shared" si="87"/>
        <v>-4</v>
      </c>
      <c r="BU50" s="87">
        <f t="shared" si="87"/>
        <v>-18</v>
      </c>
      <c r="BV50" s="87">
        <f t="shared" si="87"/>
        <v>-23</v>
      </c>
      <c r="BW50" s="87">
        <f t="shared" si="87"/>
        <v>-15</v>
      </c>
      <c r="BX50" s="87">
        <f t="shared" si="87"/>
        <v>-4</v>
      </c>
      <c r="BY50" s="87">
        <f t="shared" si="87"/>
        <v>-7</v>
      </c>
      <c r="BZ50" s="87">
        <f t="shared" si="87"/>
        <v>-10</v>
      </c>
      <c r="CA50" s="267">
        <f t="shared" si="87"/>
        <v>13</v>
      </c>
      <c r="CB50" s="267">
        <f t="shared" si="87"/>
        <v>8</v>
      </c>
      <c r="CC50" s="267">
        <f t="shared" si="88"/>
        <v>23</v>
      </c>
      <c r="CD50" s="267">
        <f t="shared" si="88"/>
        <v>12</v>
      </c>
      <c r="CE50" s="309">
        <f t="shared" si="88"/>
        <v>16</v>
      </c>
      <c r="CF50" s="309">
        <f t="shared" si="88"/>
        <v>17</v>
      </c>
      <c r="CG50" s="309">
        <f t="shared" si="88"/>
        <v>11</v>
      </c>
      <c r="CH50" s="309">
        <f t="shared" si="88"/>
        <v>8</v>
      </c>
      <c r="CI50" s="309">
        <f t="shared" si="88"/>
        <v>6</v>
      </c>
      <c r="CJ50" s="309">
        <f t="shared" si="88"/>
        <v>18</v>
      </c>
      <c r="CK50" s="309">
        <f t="shared" si="88"/>
        <v>14</v>
      </c>
      <c r="CL50" s="309">
        <f t="shared" si="88"/>
        <v>18</v>
      </c>
      <c r="CM50" s="309">
        <f t="shared" si="89"/>
        <v>13</v>
      </c>
      <c r="CN50" s="309">
        <f t="shared" si="89"/>
        <v>-1</v>
      </c>
      <c r="CO50" s="309">
        <f t="shared" si="89"/>
        <v>-12</v>
      </c>
      <c r="CP50" s="309">
        <f t="shared" si="89"/>
        <v>-10</v>
      </c>
      <c r="CQ50" s="309">
        <f t="shared" si="89"/>
        <v>-16</v>
      </c>
      <c r="CR50" s="309">
        <f t="shared" si="89"/>
        <v>-22</v>
      </c>
      <c r="CS50" s="309">
        <f t="shared" si="89"/>
        <v>-5</v>
      </c>
      <c r="CT50" s="348"/>
      <c r="CU50" s="67">
        <f>'MONTHLY SUMMARIES'!J34</f>
        <v>25</v>
      </c>
    </row>
    <row r="51" spans="1:99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/>
      <c r="BA51" s="293"/>
      <c r="BB51" s="293"/>
      <c r="BC51" s="293"/>
      <c r="BD51" s="293"/>
      <c r="BE51" s="293"/>
      <c r="BF51" s="293"/>
      <c r="BG51" s="293"/>
      <c r="BH51" s="293"/>
      <c r="BI51" s="86">
        <f t="shared" si="86"/>
        <v>4</v>
      </c>
      <c r="BJ51" s="87">
        <f t="shared" si="86"/>
        <v>6</v>
      </c>
      <c r="BK51" s="87">
        <f t="shared" si="86"/>
        <v>2</v>
      </c>
      <c r="BL51" s="87">
        <f t="shared" si="86"/>
        <v>2</v>
      </c>
      <c r="BM51" s="87">
        <f t="shared" si="86"/>
        <v>2</v>
      </c>
      <c r="BN51" s="87">
        <f t="shared" si="86"/>
        <v>4</v>
      </c>
      <c r="BO51" s="87">
        <f t="shared" si="86"/>
        <v>0</v>
      </c>
      <c r="BP51" s="87">
        <f t="shared" si="86"/>
        <v>4</v>
      </c>
      <c r="BQ51" s="87">
        <f t="shared" si="86"/>
        <v>2</v>
      </c>
      <c r="BR51" s="87">
        <f t="shared" si="86"/>
        <v>-1</v>
      </c>
      <c r="BS51" s="87">
        <f t="shared" si="87"/>
        <v>-4</v>
      </c>
      <c r="BT51" s="87">
        <f t="shared" si="87"/>
        <v>1</v>
      </c>
      <c r="BU51" s="87">
        <f t="shared" si="87"/>
        <v>-2</v>
      </c>
      <c r="BV51" s="87">
        <f t="shared" si="87"/>
        <v>-4</v>
      </c>
      <c r="BW51" s="87">
        <f t="shared" si="87"/>
        <v>-3</v>
      </c>
      <c r="BX51" s="87">
        <f t="shared" si="87"/>
        <v>3</v>
      </c>
      <c r="BY51" s="87">
        <f t="shared" si="87"/>
        <v>1</v>
      </c>
      <c r="BZ51" s="87">
        <f t="shared" si="87"/>
        <v>-5</v>
      </c>
      <c r="CA51" s="267">
        <f t="shared" si="87"/>
        <v>3</v>
      </c>
      <c r="CB51" s="267">
        <f t="shared" si="87"/>
        <v>-2</v>
      </c>
      <c r="CC51" s="267">
        <f t="shared" si="88"/>
        <v>1</v>
      </c>
      <c r="CD51" s="267">
        <f t="shared" si="88"/>
        <v>1</v>
      </c>
      <c r="CE51" s="309">
        <f t="shared" si="88"/>
        <v>6</v>
      </c>
      <c r="CF51" s="309">
        <f t="shared" si="88"/>
        <v>1</v>
      </c>
      <c r="CG51" s="309">
        <f t="shared" si="88"/>
        <v>0</v>
      </c>
      <c r="CH51" s="309">
        <f t="shared" si="88"/>
        <v>-2</v>
      </c>
      <c r="CI51" s="309">
        <f t="shared" si="88"/>
        <v>3</v>
      </c>
      <c r="CJ51" s="309">
        <f t="shared" si="88"/>
        <v>-1</v>
      </c>
      <c r="CK51" s="309">
        <f t="shared" si="88"/>
        <v>0</v>
      </c>
      <c r="CL51" s="309">
        <f t="shared" si="88"/>
        <v>-2</v>
      </c>
      <c r="CM51" s="309">
        <f t="shared" si="89"/>
        <v>2</v>
      </c>
      <c r="CN51" s="309">
        <f t="shared" si="89"/>
        <v>-2</v>
      </c>
      <c r="CO51" s="309">
        <f t="shared" si="89"/>
        <v>4</v>
      </c>
      <c r="CP51" s="309">
        <f t="shared" si="89"/>
        <v>2</v>
      </c>
      <c r="CQ51" s="309">
        <f t="shared" si="89"/>
        <v>0</v>
      </c>
      <c r="CR51" s="309">
        <f t="shared" si="89"/>
        <v>-2</v>
      </c>
      <c r="CS51" s="309">
        <f t="shared" si="89"/>
        <v>0</v>
      </c>
      <c r="CT51" s="348"/>
      <c r="CU51" s="67">
        <f>'MONTHLY SUMMARIES'!J35</f>
        <v>3</v>
      </c>
    </row>
    <row r="52" spans="1:99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90">SUM(D43:D51)</f>
        <v>7149</v>
      </c>
      <c r="E52" s="141">
        <f t="shared" si="90"/>
        <v>7246</v>
      </c>
      <c r="F52" s="141">
        <f t="shared" si="90"/>
        <v>6145</v>
      </c>
      <c r="G52" s="141">
        <f t="shared" si="90"/>
        <v>5969</v>
      </c>
      <c r="H52" s="141">
        <f t="shared" si="90"/>
        <v>5419</v>
      </c>
      <c r="I52" s="141">
        <f t="shared" si="90"/>
        <v>4461</v>
      </c>
      <c r="J52" s="141">
        <f t="shared" si="90"/>
        <v>4332</v>
      </c>
      <c r="K52" s="141">
        <f t="shared" si="90"/>
        <v>4275</v>
      </c>
      <c r="L52" s="142">
        <f t="shared" si="90"/>
        <v>4801</v>
      </c>
      <c r="M52" s="141">
        <f t="shared" si="90"/>
        <v>4333</v>
      </c>
      <c r="N52" s="141">
        <f t="shared" si="90"/>
        <v>5278</v>
      </c>
      <c r="O52" s="141">
        <f t="shared" si="90"/>
        <v>6561</v>
      </c>
      <c r="P52" s="141">
        <f t="shared" si="90"/>
        <v>7306</v>
      </c>
      <c r="Q52" s="141">
        <f t="shared" si="90"/>
        <v>5647</v>
      </c>
      <c r="R52" s="141">
        <f t="shared" si="90"/>
        <v>5162</v>
      </c>
      <c r="S52" s="141">
        <f t="shared" si="90"/>
        <v>5262</v>
      </c>
      <c r="T52" s="141">
        <f t="shared" si="90"/>
        <v>3860</v>
      </c>
      <c r="U52" s="141">
        <f t="shared" si="90"/>
        <v>3811</v>
      </c>
      <c r="V52" s="141">
        <f t="shared" si="90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/>
      <c r="BA52" s="294"/>
      <c r="BB52" s="294"/>
      <c r="BC52" s="294"/>
      <c r="BD52" s="294"/>
      <c r="BE52" s="294"/>
      <c r="BF52" s="294"/>
      <c r="BG52" s="294"/>
      <c r="BH52" s="294"/>
      <c r="BI52" s="88">
        <f>SUM(BI43:BI51)</f>
        <v>739</v>
      </c>
      <c r="BJ52" s="143">
        <f t="shared" ref="BJ52" si="91">SUM(BJ43:BJ51)</f>
        <v>157</v>
      </c>
      <c r="BK52" s="143">
        <f t="shared" ref="BK52:BP52" si="92">SUM(BK43:BK51)</f>
        <v>-1599</v>
      </c>
      <c r="BL52" s="143">
        <f t="shared" si="92"/>
        <v>-983</v>
      </c>
      <c r="BM52" s="143">
        <f t="shared" si="92"/>
        <v>-707</v>
      </c>
      <c r="BN52" s="143">
        <f t="shared" si="92"/>
        <v>-1559</v>
      </c>
      <c r="BO52" s="143">
        <f t="shared" si="92"/>
        <v>-650</v>
      </c>
      <c r="BP52" s="143">
        <f t="shared" si="92"/>
        <v>-428</v>
      </c>
      <c r="BQ52" s="143">
        <f t="shared" ref="BQ52:BR52" si="93">SUM(BQ43:BQ51)</f>
        <v>-316</v>
      </c>
      <c r="BR52" s="143">
        <f t="shared" si="93"/>
        <v>-897</v>
      </c>
      <c r="BS52" s="143">
        <f t="shared" ref="BS52:BT52" si="94">SUM(BS43:BS51)</f>
        <v>-949</v>
      </c>
      <c r="BT52" s="143">
        <f t="shared" si="94"/>
        <v>-1175</v>
      </c>
      <c r="BU52" s="143">
        <f t="shared" ref="BU52:BV52" si="95">SUM(BU43:BU51)</f>
        <v>-1935</v>
      </c>
      <c r="BV52" s="143">
        <f t="shared" si="95"/>
        <v>-2101</v>
      </c>
      <c r="BW52" s="143">
        <f t="shared" ref="BW52:BX52" si="96">SUM(BW43:BW51)</f>
        <v>-867</v>
      </c>
      <c r="BX52" s="143">
        <f t="shared" si="96"/>
        <v>-3</v>
      </c>
      <c r="BY52" s="143">
        <f t="shared" ref="BY52:BZ52" si="97">SUM(BY43:BY51)</f>
        <v>-590</v>
      </c>
      <c r="BZ52" s="143">
        <f t="shared" si="97"/>
        <v>324</v>
      </c>
      <c r="CA52" s="268">
        <f t="shared" ref="CA52:CB52" si="98">SUM(CA43:CA51)</f>
        <v>663</v>
      </c>
      <c r="CB52" s="268">
        <f t="shared" si="98"/>
        <v>803</v>
      </c>
      <c r="CC52" s="268">
        <f t="shared" ref="CC52:CE52" si="99">SUM(CC43:CC51)</f>
        <v>1384</v>
      </c>
      <c r="CD52" s="268">
        <f t="shared" si="99"/>
        <v>101</v>
      </c>
      <c r="CE52" s="310">
        <f t="shared" si="99"/>
        <v>816</v>
      </c>
      <c r="CF52" s="310">
        <f t="shared" ref="CF52:CG52" si="100">SUM(CF43:CF51)</f>
        <v>786</v>
      </c>
      <c r="CG52" s="310">
        <f t="shared" si="100"/>
        <v>978</v>
      </c>
      <c r="CH52" s="310">
        <f t="shared" ref="CH52:CI52" si="101">SUM(CH43:CH51)</f>
        <v>687</v>
      </c>
      <c r="CI52" s="310">
        <f t="shared" si="101"/>
        <v>947</v>
      </c>
      <c r="CJ52" s="310">
        <f t="shared" ref="CJ52" si="102">SUM(CJ43:CJ51)</f>
        <v>469</v>
      </c>
      <c r="CK52" s="310">
        <f t="shared" ref="CK52" si="103">SUM(CK43:CK51)</f>
        <v>-177</v>
      </c>
      <c r="CL52" s="310">
        <f t="shared" ref="CL52" si="104">SUM(CL43:CL51)</f>
        <v>248</v>
      </c>
      <c r="CM52" s="310">
        <f t="shared" ref="CM52" si="105">SUM(CM43:CM51)</f>
        <v>-80</v>
      </c>
      <c r="CN52" s="310">
        <f t="shared" ref="CN52" si="106">SUM(CN43:CN51)</f>
        <v>-530</v>
      </c>
      <c r="CO52" s="310">
        <f t="shared" ref="CO52" si="107">SUM(CO43:CO51)</f>
        <v>-1175</v>
      </c>
      <c r="CP52" s="310">
        <f t="shared" ref="CP52" si="108">SUM(CP43:CP51)</f>
        <v>545</v>
      </c>
      <c r="CQ52" s="310">
        <f t="shared" ref="CQ52:CS52" si="109">SUM(CQ43:CQ51)</f>
        <v>-206</v>
      </c>
      <c r="CR52" s="310">
        <f t="shared" ref="CR52:CS52" si="110">SUM(CR43:CR51)</f>
        <v>95</v>
      </c>
      <c r="CS52" s="310">
        <f t="shared" si="110"/>
        <v>105</v>
      </c>
      <c r="CT52" s="349"/>
      <c r="CU52" s="262">
        <f>CU43+CU46+CU49+CU50+CU51</f>
        <v>5709</v>
      </c>
    </row>
    <row r="53" spans="1:99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48"/>
      <c r="CU53" s="93"/>
    </row>
    <row r="54" spans="1:99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/>
      <c r="BA54" s="293"/>
      <c r="BB54" s="293"/>
      <c r="BC54" s="293"/>
      <c r="BD54" s="293"/>
      <c r="BE54" s="293"/>
      <c r="BF54" s="293"/>
      <c r="BG54" s="293"/>
      <c r="BH54" s="293"/>
      <c r="BI54" s="86">
        <f t="shared" ref="BI54:CS54" si="111">O54-C54</f>
        <v>198</v>
      </c>
      <c r="BJ54" s="87">
        <f t="shared" si="111"/>
        <v>1253</v>
      </c>
      <c r="BK54" s="87">
        <f t="shared" si="111"/>
        <v>2117</v>
      </c>
      <c r="BL54" s="87">
        <f t="shared" si="111"/>
        <v>1940</v>
      </c>
      <c r="BM54" s="87">
        <f t="shared" si="111"/>
        <v>1829</v>
      </c>
      <c r="BN54" s="87">
        <f t="shared" si="111"/>
        <v>2305</v>
      </c>
      <c r="BO54" s="87">
        <f t="shared" si="111"/>
        <v>2310</v>
      </c>
      <c r="BP54" s="87">
        <f t="shared" si="111"/>
        <v>2503</v>
      </c>
      <c r="BQ54" s="87">
        <f t="shared" si="111"/>
        <v>2712</v>
      </c>
      <c r="BR54" s="87">
        <f t="shared" si="111"/>
        <v>2380</v>
      </c>
      <c r="BS54" s="87">
        <f t="shared" si="111"/>
        <v>2215</v>
      </c>
      <c r="BT54" s="87">
        <f t="shared" si="111"/>
        <v>2004</v>
      </c>
      <c r="BU54" s="87">
        <f t="shared" si="111"/>
        <v>1039</v>
      </c>
      <c r="BV54" s="87">
        <f t="shared" si="111"/>
        <v>-261</v>
      </c>
      <c r="BW54" s="87">
        <f t="shared" si="111"/>
        <v>-985</v>
      </c>
      <c r="BX54" s="87">
        <f t="shared" si="111"/>
        <v>-1488</v>
      </c>
      <c r="BY54" s="87">
        <f t="shared" si="111"/>
        <v>-2646</v>
      </c>
      <c r="BZ54" s="87">
        <f t="shared" si="111"/>
        <v>-3259</v>
      </c>
      <c r="CA54" s="267">
        <f t="shared" si="111"/>
        <v>-3208</v>
      </c>
      <c r="CB54" s="267">
        <f t="shared" si="111"/>
        <v>-2718</v>
      </c>
      <c r="CC54" s="267">
        <f t="shared" si="111"/>
        <v>-2687</v>
      </c>
      <c r="CD54" s="267">
        <f t="shared" si="111"/>
        <v>-2811</v>
      </c>
      <c r="CE54" s="309">
        <f t="shared" si="111"/>
        <v>-2292</v>
      </c>
      <c r="CF54" s="309">
        <f t="shared" si="111"/>
        <v>-1917</v>
      </c>
      <c r="CG54" s="309">
        <f t="shared" si="111"/>
        <v>-1586</v>
      </c>
      <c r="CH54" s="309">
        <f t="shared" si="111"/>
        <v>-1216</v>
      </c>
      <c r="CI54" s="309">
        <f t="shared" si="111"/>
        <v>-1503</v>
      </c>
      <c r="CJ54" s="309">
        <f t="shared" si="111"/>
        <v>-1219</v>
      </c>
      <c r="CK54" s="309">
        <f t="shared" si="111"/>
        <v>-195</v>
      </c>
      <c r="CL54" s="309">
        <f t="shared" si="111"/>
        <v>-259</v>
      </c>
      <c r="CM54" s="309">
        <f t="shared" si="111"/>
        <v>21</v>
      </c>
      <c r="CN54" s="309">
        <f t="shared" si="111"/>
        <v>-691</v>
      </c>
      <c r="CO54" s="309">
        <f t="shared" si="111"/>
        <v>-536</v>
      </c>
      <c r="CP54" s="309">
        <f t="shared" si="111"/>
        <v>-316</v>
      </c>
      <c r="CQ54" s="309">
        <f t="shared" si="111"/>
        <v>-39</v>
      </c>
      <c r="CR54" s="309">
        <f t="shared" si="111"/>
        <v>-351</v>
      </c>
      <c r="CS54" s="309">
        <f t="shared" si="111"/>
        <v>87</v>
      </c>
      <c r="CT54" s="348"/>
      <c r="CU54" s="67">
        <f>'MONTHLY SUMMARIES'!J38</f>
        <v>8992</v>
      </c>
    </row>
    <row r="55" spans="1:99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/>
      <c r="BA55" s="293"/>
      <c r="BB55" s="293"/>
      <c r="BC55" s="293"/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48"/>
      <c r="CU55" s="81">
        <f>CU54-CU56</f>
        <v>8944</v>
      </c>
    </row>
    <row r="56" spans="1:99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/>
      <c r="BA56" s="293"/>
      <c r="BB56" s="293"/>
      <c r="BC56" s="293"/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48"/>
      <c r="CU56" s="67">
        <f>GETPIVOTDATA("VALUE",'CRS ESCO pvt'!$I$2,"DATE_FILE",$CU$8,"COMPANY",$CU$6,"TRIM_CAT","Resdiential-ESCO","TRIM_LINE",A53)</f>
        <v>48</v>
      </c>
    </row>
    <row r="57" spans="1:99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/>
      <c r="BA57" s="293"/>
      <c r="BB57" s="293"/>
      <c r="BC57" s="293"/>
      <c r="BD57" s="293"/>
      <c r="BE57" s="293"/>
      <c r="BF57" s="293"/>
      <c r="BG57" s="293"/>
      <c r="BH57" s="293"/>
      <c r="BI57" s="86">
        <f t="shared" ref="BI57:CS57" si="112">O57-C57</f>
        <v>105</v>
      </c>
      <c r="BJ57" s="87">
        <f t="shared" si="112"/>
        <v>233</v>
      </c>
      <c r="BK57" s="87">
        <f t="shared" si="112"/>
        <v>269</v>
      </c>
      <c r="BL57" s="87">
        <f t="shared" si="112"/>
        <v>228</v>
      </c>
      <c r="BM57" s="87">
        <f t="shared" si="112"/>
        <v>389</v>
      </c>
      <c r="BN57" s="87">
        <f t="shared" si="112"/>
        <v>256</v>
      </c>
      <c r="BO57" s="87">
        <f t="shared" si="112"/>
        <v>410</v>
      </c>
      <c r="BP57" s="87">
        <f t="shared" si="112"/>
        <v>483</v>
      </c>
      <c r="BQ57" s="87">
        <f t="shared" si="112"/>
        <v>797</v>
      </c>
      <c r="BR57" s="87">
        <f t="shared" si="112"/>
        <v>851</v>
      </c>
      <c r="BS57" s="87">
        <f t="shared" si="112"/>
        <v>807</v>
      </c>
      <c r="BT57" s="87">
        <f t="shared" si="112"/>
        <v>790</v>
      </c>
      <c r="BU57" s="87">
        <f t="shared" si="112"/>
        <v>668</v>
      </c>
      <c r="BV57" s="87">
        <f t="shared" si="112"/>
        <v>542</v>
      </c>
      <c r="BW57" s="87">
        <f t="shared" si="112"/>
        <v>556</v>
      </c>
      <c r="BX57" s="87">
        <f t="shared" si="112"/>
        <v>561</v>
      </c>
      <c r="BY57" s="87">
        <f t="shared" si="112"/>
        <v>45</v>
      </c>
      <c r="BZ57" s="87">
        <f t="shared" si="112"/>
        <v>32</v>
      </c>
      <c r="CA57" s="267">
        <f t="shared" si="112"/>
        <v>-110</v>
      </c>
      <c r="CB57" s="267">
        <f t="shared" si="112"/>
        <v>-68</v>
      </c>
      <c r="CC57" s="267">
        <f t="shared" si="112"/>
        <v>-1151</v>
      </c>
      <c r="CD57" s="267">
        <f t="shared" si="112"/>
        <v>-1107</v>
      </c>
      <c r="CE57" s="309">
        <f t="shared" si="112"/>
        <v>-574</v>
      </c>
      <c r="CF57" s="309">
        <f t="shared" si="112"/>
        <v>-374</v>
      </c>
      <c r="CG57" s="309">
        <f t="shared" si="112"/>
        <v>-184</v>
      </c>
      <c r="CH57" s="309">
        <f t="shared" si="112"/>
        <v>-91</v>
      </c>
      <c r="CI57" s="309">
        <f t="shared" si="112"/>
        <v>-53</v>
      </c>
      <c r="CJ57" s="309">
        <f t="shared" si="112"/>
        <v>-11</v>
      </c>
      <c r="CK57" s="309">
        <f t="shared" si="112"/>
        <v>218</v>
      </c>
      <c r="CL57" s="309">
        <f t="shared" si="112"/>
        <v>-52</v>
      </c>
      <c r="CM57" s="309">
        <f t="shared" si="112"/>
        <v>-64</v>
      </c>
      <c r="CN57" s="309">
        <f t="shared" si="112"/>
        <v>-169</v>
      </c>
      <c r="CO57" s="309">
        <f t="shared" si="112"/>
        <v>738</v>
      </c>
      <c r="CP57" s="309">
        <f t="shared" si="112"/>
        <v>769</v>
      </c>
      <c r="CQ57" s="309">
        <f t="shared" si="112"/>
        <v>786</v>
      </c>
      <c r="CR57" s="309">
        <f t="shared" si="112"/>
        <v>671</v>
      </c>
      <c r="CS57" s="309">
        <f t="shared" si="112"/>
        <v>723</v>
      </c>
      <c r="CT57" s="348"/>
      <c r="CU57" s="67">
        <f>'MONTHLY SUMMARIES'!J39</f>
        <v>4121</v>
      </c>
    </row>
    <row r="58" spans="1:99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/>
      <c r="BA58" s="293"/>
      <c r="BB58" s="293"/>
      <c r="BC58" s="293"/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48"/>
      <c r="CU58" s="81">
        <f>CU57-CU59</f>
        <v>4104</v>
      </c>
    </row>
    <row r="59" spans="1:99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/>
      <c r="BA59" s="293"/>
      <c r="BB59" s="293"/>
      <c r="BC59" s="293"/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48"/>
      <c r="CU59" s="67">
        <f>GETPIVOTDATA("VALUE",'CRS ESCO pvt'!$I$2,"DATE_FILE",$CU$8,"COMPANY",$CU$6,"TRIM_CAT","Low Income Resdiential-ESCO","TRIM_LINE",A53)</f>
        <v>17</v>
      </c>
    </row>
    <row r="60" spans="1:99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/>
      <c r="BA60" s="293"/>
      <c r="BB60" s="293"/>
      <c r="BC60" s="293"/>
      <c r="BD60" s="293"/>
      <c r="BE60" s="293"/>
      <c r="BF60" s="293"/>
      <c r="BG60" s="293"/>
      <c r="BH60" s="293"/>
      <c r="BI60" s="86">
        <f t="shared" ref="BI60:BR62" si="113">O60-C60</f>
        <v>60</v>
      </c>
      <c r="BJ60" s="87">
        <f t="shared" si="113"/>
        <v>430</v>
      </c>
      <c r="BK60" s="87">
        <f t="shared" si="113"/>
        <v>620</v>
      </c>
      <c r="BL60" s="87">
        <f t="shared" si="113"/>
        <v>629</v>
      </c>
      <c r="BM60" s="87">
        <f t="shared" si="113"/>
        <v>574</v>
      </c>
      <c r="BN60" s="87">
        <f t="shared" si="113"/>
        <v>577</v>
      </c>
      <c r="BO60" s="87">
        <f t="shared" si="113"/>
        <v>460</v>
      </c>
      <c r="BP60" s="87">
        <f t="shared" si="113"/>
        <v>447</v>
      </c>
      <c r="BQ60" s="87">
        <f t="shared" si="113"/>
        <v>422</v>
      </c>
      <c r="BR60" s="87">
        <f t="shared" si="113"/>
        <v>349</v>
      </c>
      <c r="BS60" s="87">
        <f t="shared" ref="BS60:CB62" si="114">Y60-M60</f>
        <v>328</v>
      </c>
      <c r="BT60" s="87">
        <f t="shared" si="114"/>
        <v>283</v>
      </c>
      <c r="BU60" s="87">
        <f t="shared" si="114"/>
        <v>137</v>
      </c>
      <c r="BV60" s="87">
        <f t="shared" si="114"/>
        <v>-274</v>
      </c>
      <c r="BW60" s="87">
        <f t="shared" si="114"/>
        <v>-489</v>
      </c>
      <c r="BX60" s="87">
        <f t="shared" si="114"/>
        <v>-467</v>
      </c>
      <c r="BY60" s="87">
        <f t="shared" si="114"/>
        <v>-341</v>
      </c>
      <c r="BZ60" s="87">
        <f t="shared" si="114"/>
        <v>-330</v>
      </c>
      <c r="CA60" s="267">
        <f t="shared" si="114"/>
        <v>-323</v>
      </c>
      <c r="CB60" s="267">
        <f t="shared" si="114"/>
        <v>-210</v>
      </c>
      <c r="CC60" s="267">
        <f t="shared" ref="CC60:CL62" si="115">AI60-W60</f>
        <v>-159</v>
      </c>
      <c r="CD60" s="267">
        <f t="shared" si="115"/>
        <v>-96</v>
      </c>
      <c r="CE60" s="309">
        <f t="shared" si="115"/>
        <v>-28</v>
      </c>
      <c r="CF60" s="309">
        <f t="shared" si="115"/>
        <v>29</v>
      </c>
      <c r="CG60" s="309">
        <f t="shared" si="115"/>
        <v>84</v>
      </c>
      <c r="CH60" s="309">
        <f t="shared" si="115"/>
        <v>54</v>
      </c>
      <c r="CI60" s="309">
        <f t="shared" si="115"/>
        <v>48</v>
      </c>
      <c r="CJ60" s="309">
        <f t="shared" si="115"/>
        <v>-3</v>
      </c>
      <c r="CK60" s="309">
        <f t="shared" si="115"/>
        <v>3</v>
      </c>
      <c r="CL60" s="309">
        <f t="shared" si="115"/>
        <v>27</v>
      </c>
      <c r="CM60" s="309">
        <f t="shared" ref="CM60:CS62" si="116">AS60-AG60</f>
        <v>105</v>
      </c>
      <c r="CN60" s="309">
        <f t="shared" si="116"/>
        <v>15</v>
      </c>
      <c r="CO60" s="309">
        <f t="shared" si="116"/>
        <v>-54</v>
      </c>
      <c r="CP60" s="309">
        <f t="shared" si="116"/>
        <v>-12</v>
      </c>
      <c r="CQ60" s="309">
        <f t="shared" si="116"/>
        <v>-83</v>
      </c>
      <c r="CR60" s="309">
        <f t="shared" si="116"/>
        <v>-118</v>
      </c>
      <c r="CS60" s="309">
        <f t="shared" si="116"/>
        <v>-139</v>
      </c>
      <c r="CT60" s="348"/>
      <c r="CU60" s="67">
        <f>'MONTHLY SUMMARIES'!J40</f>
        <v>787</v>
      </c>
    </row>
    <row r="61" spans="1:99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/>
      <c r="BA61" s="293"/>
      <c r="BB61" s="293"/>
      <c r="BC61" s="293"/>
      <c r="BD61" s="293"/>
      <c r="BE61" s="293"/>
      <c r="BF61" s="293"/>
      <c r="BG61" s="293"/>
      <c r="BH61" s="293"/>
      <c r="BI61" s="86">
        <f t="shared" si="113"/>
        <v>-10</v>
      </c>
      <c r="BJ61" s="87">
        <f t="shared" si="113"/>
        <v>13</v>
      </c>
      <c r="BK61" s="87">
        <f t="shared" si="113"/>
        <v>22</v>
      </c>
      <c r="BL61" s="87">
        <f t="shared" si="113"/>
        <v>9</v>
      </c>
      <c r="BM61" s="87">
        <f t="shared" si="113"/>
        <v>23</v>
      </c>
      <c r="BN61" s="87">
        <f t="shared" si="113"/>
        <v>9</v>
      </c>
      <c r="BO61" s="87">
        <f t="shared" si="113"/>
        <v>17</v>
      </c>
      <c r="BP61" s="87">
        <f t="shared" si="113"/>
        <v>16</v>
      </c>
      <c r="BQ61" s="87">
        <f t="shared" si="113"/>
        <v>18</v>
      </c>
      <c r="BR61" s="87">
        <f t="shared" si="113"/>
        <v>2</v>
      </c>
      <c r="BS61" s="87">
        <f t="shared" si="114"/>
        <v>3</v>
      </c>
      <c r="BT61" s="87">
        <f t="shared" si="114"/>
        <v>2</v>
      </c>
      <c r="BU61" s="87">
        <f t="shared" si="114"/>
        <v>-3</v>
      </c>
      <c r="BV61" s="87">
        <f t="shared" si="114"/>
        <v>-15</v>
      </c>
      <c r="BW61" s="87">
        <f t="shared" si="114"/>
        <v>-19</v>
      </c>
      <c r="BX61" s="87">
        <f t="shared" si="114"/>
        <v>-14</v>
      </c>
      <c r="BY61" s="87">
        <f t="shared" si="114"/>
        <v>-23</v>
      </c>
      <c r="BZ61" s="87">
        <f t="shared" si="114"/>
        <v>-11</v>
      </c>
      <c r="CA61" s="267">
        <f t="shared" si="114"/>
        <v>-16</v>
      </c>
      <c r="CB61" s="267">
        <f t="shared" si="114"/>
        <v>-9</v>
      </c>
      <c r="CC61" s="267">
        <f t="shared" si="115"/>
        <v>-9</v>
      </c>
      <c r="CD61" s="267">
        <f t="shared" si="115"/>
        <v>1</v>
      </c>
      <c r="CE61" s="309">
        <f t="shared" si="115"/>
        <v>11</v>
      </c>
      <c r="CF61" s="309">
        <f t="shared" si="115"/>
        <v>4</v>
      </c>
      <c r="CG61" s="309">
        <f t="shared" si="115"/>
        <v>7</v>
      </c>
      <c r="CH61" s="309">
        <f t="shared" si="115"/>
        <v>3</v>
      </c>
      <c r="CI61" s="309">
        <f t="shared" si="115"/>
        <v>2</v>
      </c>
      <c r="CJ61" s="309">
        <f t="shared" si="115"/>
        <v>-17</v>
      </c>
      <c r="CK61" s="309">
        <f t="shared" si="115"/>
        <v>-5</v>
      </c>
      <c r="CL61" s="309">
        <f t="shared" si="115"/>
        <v>-4</v>
      </c>
      <c r="CM61" s="309">
        <f t="shared" si="116"/>
        <v>-3</v>
      </c>
      <c r="CN61" s="309">
        <f t="shared" si="116"/>
        <v>7</v>
      </c>
      <c r="CO61" s="309">
        <f t="shared" si="116"/>
        <v>-4</v>
      </c>
      <c r="CP61" s="309">
        <f t="shared" si="116"/>
        <v>3</v>
      </c>
      <c r="CQ61" s="309">
        <f t="shared" si="116"/>
        <v>-14</v>
      </c>
      <c r="CR61" s="309">
        <f t="shared" si="116"/>
        <v>-6</v>
      </c>
      <c r="CS61" s="309">
        <f t="shared" si="116"/>
        <v>-12</v>
      </c>
      <c r="CT61" s="348"/>
      <c r="CU61" s="67">
        <f>'MONTHLY SUMMARIES'!J41</f>
        <v>11</v>
      </c>
    </row>
    <row r="62" spans="1:99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/>
      <c r="BA62" s="293"/>
      <c r="BB62" s="293"/>
      <c r="BC62" s="293"/>
      <c r="BD62" s="293"/>
      <c r="BE62" s="293"/>
      <c r="BF62" s="293"/>
      <c r="BG62" s="293"/>
      <c r="BH62" s="293"/>
      <c r="BI62" s="86">
        <f t="shared" si="113"/>
        <v>3</v>
      </c>
      <c r="BJ62" s="87">
        <f t="shared" si="113"/>
        <v>1</v>
      </c>
      <c r="BK62" s="87">
        <f t="shared" si="113"/>
        <v>2</v>
      </c>
      <c r="BL62" s="87">
        <f t="shared" si="113"/>
        <v>3</v>
      </c>
      <c r="BM62" s="87">
        <f t="shared" si="113"/>
        <v>2</v>
      </c>
      <c r="BN62" s="87">
        <f t="shared" si="113"/>
        <v>3</v>
      </c>
      <c r="BO62" s="87">
        <f t="shared" si="113"/>
        <v>5</v>
      </c>
      <c r="BP62" s="87">
        <f t="shared" si="113"/>
        <v>3</v>
      </c>
      <c r="BQ62" s="87">
        <f t="shared" si="113"/>
        <v>4</v>
      </c>
      <c r="BR62" s="87">
        <f t="shared" si="113"/>
        <v>2</v>
      </c>
      <c r="BS62" s="87">
        <f t="shared" si="114"/>
        <v>-1</v>
      </c>
      <c r="BT62" s="87">
        <f t="shared" si="114"/>
        <v>-3</v>
      </c>
      <c r="BU62" s="87">
        <f t="shared" si="114"/>
        <v>-4</v>
      </c>
      <c r="BV62" s="87">
        <f t="shared" si="114"/>
        <v>-2</v>
      </c>
      <c r="BW62" s="87">
        <f t="shared" si="114"/>
        <v>-3</v>
      </c>
      <c r="BX62" s="87">
        <f t="shared" si="114"/>
        <v>-2</v>
      </c>
      <c r="BY62" s="87">
        <f t="shared" si="114"/>
        <v>2</v>
      </c>
      <c r="BZ62" s="87">
        <f t="shared" si="114"/>
        <v>4</v>
      </c>
      <c r="CA62" s="267">
        <f t="shared" si="114"/>
        <v>1</v>
      </c>
      <c r="CB62" s="267">
        <f t="shared" si="114"/>
        <v>3</v>
      </c>
      <c r="CC62" s="267">
        <f t="shared" si="115"/>
        <v>3</v>
      </c>
      <c r="CD62" s="267">
        <f t="shared" si="115"/>
        <v>3</v>
      </c>
      <c r="CE62" s="309">
        <f t="shared" si="115"/>
        <v>3</v>
      </c>
      <c r="CF62" s="309">
        <f t="shared" si="115"/>
        <v>5</v>
      </c>
      <c r="CG62" s="309">
        <f t="shared" si="115"/>
        <v>5</v>
      </c>
      <c r="CH62" s="309">
        <f t="shared" si="115"/>
        <v>2</v>
      </c>
      <c r="CI62" s="309">
        <f t="shared" si="115"/>
        <v>1</v>
      </c>
      <c r="CJ62" s="309">
        <f t="shared" si="115"/>
        <v>1</v>
      </c>
      <c r="CK62" s="309">
        <f t="shared" si="115"/>
        <v>-4</v>
      </c>
      <c r="CL62" s="309">
        <f t="shared" si="115"/>
        <v>-3</v>
      </c>
      <c r="CM62" s="309">
        <f t="shared" si="116"/>
        <v>-3</v>
      </c>
      <c r="CN62" s="309">
        <f t="shared" si="116"/>
        <v>-2</v>
      </c>
      <c r="CO62" s="309">
        <f t="shared" si="116"/>
        <v>-5</v>
      </c>
      <c r="CP62" s="309">
        <f t="shared" si="116"/>
        <v>-2</v>
      </c>
      <c r="CQ62" s="309">
        <f t="shared" si="116"/>
        <v>-1</v>
      </c>
      <c r="CR62" s="309">
        <f t="shared" si="116"/>
        <v>-3</v>
      </c>
      <c r="CS62" s="309">
        <f t="shared" si="116"/>
        <v>-3</v>
      </c>
      <c r="CT62" s="348"/>
      <c r="CU62" s="67">
        <f>'MONTHLY SUMMARIES'!J42</f>
        <v>3</v>
      </c>
    </row>
    <row r="63" spans="1:99" s="76" customFormat="1" ht="15" thickBot="1" x14ac:dyDescent="0.35">
      <c r="A63" s="151"/>
      <c r="B63" s="70" t="s">
        <v>42</v>
      </c>
      <c r="C63" s="71">
        <f t="shared" ref="C63:V63" si="117">SUM(C54:C62)</f>
        <v>12739</v>
      </c>
      <c r="D63" s="72">
        <f t="shared" si="117"/>
        <v>13219</v>
      </c>
      <c r="E63" s="72">
        <f t="shared" si="117"/>
        <v>13838</v>
      </c>
      <c r="F63" s="72">
        <f t="shared" si="117"/>
        <v>14889</v>
      </c>
      <c r="G63" s="72">
        <f t="shared" si="117"/>
        <v>15427</v>
      </c>
      <c r="H63" s="72">
        <f t="shared" si="117"/>
        <v>15946</v>
      </c>
      <c r="I63" s="72">
        <f t="shared" si="117"/>
        <v>15775</v>
      </c>
      <c r="J63" s="72">
        <f t="shared" si="117"/>
        <v>15037</v>
      </c>
      <c r="K63" s="72">
        <f t="shared" si="117"/>
        <v>14410</v>
      </c>
      <c r="L63" s="73">
        <f t="shared" si="117"/>
        <v>14568</v>
      </c>
      <c r="M63" s="72">
        <f t="shared" si="117"/>
        <v>12915</v>
      </c>
      <c r="N63" s="72">
        <f t="shared" si="117"/>
        <v>12242</v>
      </c>
      <c r="O63" s="72">
        <f t="shared" si="117"/>
        <v>13095</v>
      </c>
      <c r="P63" s="72">
        <f t="shared" si="117"/>
        <v>15149</v>
      </c>
      <c r="Q63" s="72">
        <f t="shared" si="117"/>
        <v>16868</v>
      </c>
      <c r="R63" s="72">
        <f t="shared" si="117"/>
        <v>17698</v>
      </c>
      <c r="S63" s="72">
        <f t="shared" si="117"/>
        <v>18244</v>
      </c>
      <c r="T63" s="72">
        <f t="shared" si="117"/>
        <v>19096</v>
      </c>
      <c r="U63" s="72">
        <f t="shared" si="117"/>
        <v>18977</v>
      </c>
      <c r="V63" s="72">
        <f t="shared" si="117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/>
      <c r="BA63" s="291"/>
      <c r="BB63" s="291"/>
      <c r="BC63" s="291"/>
      <c r="BD63" s="291"/>
      <c r="BE63" s="291"/>
      <c r="BF63" s="291"/>
      <c r="BG63" s="291"/>
      <c r="BH63" s="291"/>
      <c r="BI63" s="74">
        <f t="shared" ref="BI63" si="118">SUM(BI54:BI62)</f>
        <v>356</v>
      </c>
      <c r="BJ63" s="75">
        <f t="shared" ref="BJ63" si="119">SUM(BJ54:BJ62)</f>
        <v>1930</v>
      </c>
      <c r="BK63" s="75">
        <f t="shared" ref="BK63:BP63" si="120">SUM(BK54:BK62)</f>
        <v>3030</v>
      </c>
      <c r="BL63" s="75">
        <f t="shared" si="120"/>
        <v>2809</v>
      </c>
      <c r="BM63" s="75">
        <f t="shared" si="120"/>
        <v>2817</v>
      </c>
      <c r="BN63" s="75">
        <f t="shared" si="120"/>
        <v>3150</v>
      </c>
      <c r="BO63" s="75">
        <f t="shared" si="120"/>
        <v>3202</v>
      </c>
      <c r="BP63" s="75">
        <f t="shared" si="120"/>
        <v>3452</v>
      </c>
      <c r="BQ63" s="75">
        <f t="shared" ref="BQ63:BR63" si="121">SUM(BQ54:BQ62)</f>
        <v>3953</v>
      </c>
      <c r="BR63" s="75">
        <f t="shared" si="121"/>
        <v>3584</v>
      </c>
      <c r="BS63" s="75">
        <f t="shared" ref="BS63:BT63" si="122">SUM(BS54:BS62)</f>
        <v>3352</v>
      </c>
      <c r="BT63" s="75">
        <f t="shared" si="122"/>
        <v>3076</v>
      </c>
      <c r="BU63" s="75">
        <f t="shared" ref="BU63:BV63" si="123">SUM(BU54:BU62)</f>
        <v>1837</v>
      </c>
      <c r="BV63" s="75">
        <f t="shared" si="123"/>
        <v>-10</v>
      </c>
      <c r="BW63" s="75">
        <f t="shared" ref="BW63:BX63" si="124">SUM(BW54:BW62)</f>
        <v>-940</v>
      </c>
      <c r="BX63" s="75">
        <f t="shared" si="124"/>
        <v>-1410</v>
      </c>
      <c r="BY63" s="75">
        <f t="shared" ref="BY63:BZ63" si="125">SUM(BY54:BY62)</f>
        <v>-2963</v>
      </c>
      <c r="BZ63" s="75">
        <f t="shared" si="125"/>
        <v>-3564</v>
      </c>
      <c r="CA63" s="265">
        <f t="shared" ref="CA63:CB63" si="126">SUM(CA54:CA62)</f>
        <v>-3656</v>
      </c>
      <c r="CB63" s="265">
        <f t="shared" si="126"/>
        <v>-3002</v>
      </c>
      <c r="CC63" s="265">
        <f t="shared" ref="CC63:CE63" si="127">SUM(CC54:CC62)</f>
        <v>-4003</v>
      </c>
      <c r="CD63" s="265">
        <f t="shared" si="127"/>
        <v>-4010</v>
      </c>
      <c r="CE63" s="324">
        <f t="shared" si="127"/>
        <v>-2880</v>
      </c>
      <c r="CF63" s="324">
        <f t="shared" ref="CF63:CG63" si="128">SUM(CF54:CF62)</f>
        <v>-2253</v>
      </c>
      <c r="CG63" s="324">
        <f t="shared" si="128"/>
        <v>-1674</v>
      </c>
      <c r="CH63" s="324">
        <f t="shared" ref="CH63:CI63" si="129">SUM(CH54:CH62)</f>
        <v>-1248</v>
      </c>
      <c r="CI63" s="324">
        <f t="shared" si="129"/>
        <v>-1505</v>
      </c>
      <c r="CJ63" s="324">
        <f t="shared" ref="CJ63" si="130">SUM(CJ54:CJ62)</f>
        <v>-1249</v>
      </c>
      <c r="CK63" s="324">
        <f t="shared" ref="CK63" si="131">SUM(CK54:CK62)</f>
        <v>17</v>
      </c>
      <c r="CL63" s="324">
        <f t="shared" ref="CL63" si="132">SUM(CL54:CL62)</f>
        <v>-291</v>
      </c>
      <c r="CM63" s="324">
        <f t="shared" ref="CM63" si="133">SUM(CM54:CM62)</f>
        <v>56</v>
      </c>
      <c r="CN63" s="324">
        <f t="shared" ref="CN63" si="134">SUM(CN54:CN62)</f>
        <v>-840</v>
      </c>
      <c r="CO63" s="324">
        <f t="shared" ref="CO63" si="135">SUM(CO54:CO62)</f>
        <v>139</v>
      </c>
      <c r="CP63" s="365">
        <f t="shared" ref="CP63" si="136">SUM(CP54:CP62)</f>
        <v>442</v>
      </c>
      <c r="CQ63" s="365">
        <f t="shared" ref="CQ63:CS63" si="137">SUM(CQ54:CQ62)</f>
        <v>649</v>
      </c>
      <c r="CR63" s="365">
        <f t="shared" ref="CR63:CS63" si="138">SUM(CR54:CR62)</f>
        <v>193</v>
      </c>
      <c r="CS63" s="365">
        <f t="shared" si="138"/>
        <v>656</v>
      </c>
      <c r="CT63" s="349"/>
      <c r="CU63" s="74">
        <f>CU54+CU57+CU60+CU61+CU62</f>
        <v>13914</v>
      </c>
    </row>
    <row r="64" spans="1:99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50"/>
      <c r="CU64" s="98"/>
    </row>
    <row r="65" spans="1:99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/>
      <c r="BA65" s="297"/>
      <c r="BB65" s="297"/>
      <c r="BC65" s="297"/>
      <c r="BD65" s="297"/>
      <c r="BE65" s="297"/>
      <c r="BF65" s="297"/>
      <c r="BG65" s="297"/>
      <c r="BH65" s="297"/>
      <c r="BI65" s="45">
        <f t="shared" ref="BI65:CS65" si="139">O65-C65</f>
        <v>-535076.38000000035</v>
      </c>
      <c r="BJ65" s="46">
        <f t="shared" si="139"/>
        <v>-923719.03000000026</v>
      </c>
      <c r="BK65" s="46">
        <f t="shared" si="139"/>
        <v>-1841.3999999999069</v>
      </c>
      <c r="BL65" s="46">
        <f t="shared" si="139"/>
        <v>386134.12000000011</v>
      </c>
      <c r="BM65" s="46">
        <f t="shared" si="139"/>
        <v>-321387.26</v>
      </c>
      <c r="BN65" s="46">
        <f t="shared" si="139"/>
        <v>-38623.930000000051</v>
      </c>
      <c r="BO65" s="46">
        <f t="shared" si="139"/>
        <v>-48477.920000000042</v>
      </c>
      <c r="BP65" s="46">
        <f t="shared" si="139"/>
        <v>69874.859999999986</v>
      </c>
      <c r="BQ65" s="46">
        <f t="shared" si="139"/>
        <v>-45954.599999999977</v>
      </c>
      <c r="BR65" s="46">
        <f t="shared" si="139"/>
        <v>-21608.679999999935</v>
      </c>
      <c r="BS65" s="46">
        <f t="shared" si="139"/>
        <v>-88764.450000000186</v>
      </c>
      <c r="BT65" s="46">
        <f t="shared" si="139"/>
        <v>137714.74000000022</v>
      </c>
      <c r="BU65" s="46">
        <f t="shared" si="139"/>
        <v>244818.68000000017</v>
      </c>
      <c r="BV65" s="46">
        <f t="shared" si="139"/>
        <v>85127</v>
      </c>
      <c r="BW65" s="46">
        <f t="shared" si="139"/>
        <v>-368520</v>
      </c>
      <c r="BX65" s="46">
        <f t="shared" si="139"/>
        <v>-548352</v>
      </c>
      <c r="BY65" s="46">
        <f t="shared" si="139"/>
        <v>-53318</v>
      </c>
      <c r="BZ65" s="46">
        <f t="shared" si="139"/>
        <v>-109026</v>
      </c>
      <c r="CA65" s="271">
        <f t="shared" si="139"/>
        <v>-70436</v>
      </c>
      <c r="CB65" s="271">
        <f t="shared" si="139"/>
        <v>-99114</v>
      </c>
      <c r="CC65" s="271">
        <f t="shared" si="139"/>
        <v>-112069</v>
      </c>
      <c r="CD65" s="271">
        <f t="shared" si="139"/>
        <v>-161626</v>
      </c>
      <c r="CE65" s="312">
        <f t="shared" si="139"/>
        <v>620096</v>
      </c>
      <c r="CF65" s="312">
        <f t="shared" si="139"/>
        <v>464401</v>
      </c>
      <c r="CG65" s="312">
        <f t="shared" si="139"/>
        <v>848287</v>
      </c>
      <c r="CH65" s="312">
        <f t="shared" si="139"/>
        <v>657631</v>
      </c>
      <c r="CI65" s="312">
        <f t="shared" si="139"/>
        <v>819440</v>
      </c>
      <c r="CJ65" s="312">
        <f t="shared" si="139"/>
        <v>599220</v>
      </c>
      <c r="CK65" s="312">
        <f t="shared" si="139"/>
        <v>422580</v>
      </c>
      <c r="CL65" s="312">
        <f t="shared" si="139"/>
        <v>372717</v>
      </c>
      <c r="CM65" s="312">
        <f t="shared" si="139"/>
        <v>425201</v>
      </c>
      <c r="CN65" s="312">
        <f t="shared" si="139"/>
        <v>194781</v>
      </c>
      <c r="CO65" s="312">
        <f t="shared" si="139"/>
        <v>560970</v>
      </c>
      <c r="CP65" s="312">
        <f t="shared" si="139"/>
        <v>1338653</v>
      </c>
      <c r="CQ65" s="312">
        <f t="shared" si="139"/>
        <v>831843</v>
      </c>
      <c r="CR65" s="312">
        <f t="shared" si="139"/>
        <v>876956</v>
      </c>
      <c r="CS65" s="312">
        <f t="shared" si="139"/>
        <v>325270</v>
      </c>
      <c r="CT65" s="350"/>
      <c r="CU65" s="67">
        <f>'MONTHLY SUMMARIES'!J45</f>
        <v>5291666</v>
      </c>
    </row>
    <row r="66" spans="1:99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/>
      <c r="BA66" s="297"/>
      <c r="BB66" s="297"/>
      <c r="BC66" s="297"/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50"/>
      <c r="CU66" s="81">
        <f>CU65-CU67</f>
        <v>5252652</v>
      </c>
    </row>
    <row r="67" spans="1:99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/>
      <c r="BA67" s="297"/>
      <c r="BB67" s="297"/>
      <c r="BC67" s="297"/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50"/>
      <c r="CU67" s="67">
        <f>GETPIVOTDATA("VALUE",'CRS ESCO pvt'!$I$2,"DATE_FILE",$CU$8,"COMPANY",$CU$6,"TRIM_CAT","Resdiential-ESCO","TRIM_LINE",A64)</f>
        <v>39014</v>
      </c>
    </row>
    <row r="68" spans="1:99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/>
      <c r="BA68" s="297"/>
      <c r="BB68" s="297"/>
      <c r="BC68" s="297"/>
      <c r="BD68" s="297"/>
      <c r="BE68" s="297"/>
      <c r="BF68" s="297"/>
      <c r="BG68" s="297"/>
      <c r="BH68" s="297"/>
      <c r="BI68" s="45">
        <f t="shared" ref="BI68:CS68" si="140">O68-C68</f>
        <v>-120702.33999999997</v>
      </c>
      <c r="BJ68" s="46">
        <f t="shared" si="140"/>
        <v>-151082.84999999998</v>
      </c>
      <c r="BK68" s="46">
        <f t="shared" si="140"/>
        <v>-110645.53000000003</v>
      </c>
      <c r="BL68" s="46">
        <f t="shared" si="140"/>
        <v>5551.5300000000279</v>
      </c>
      <c r="BM68" s="46">
        <f t="shared" si="140"/>
        <v>-61323.380000000005</v>
      </c>
      <c r="BN68" s="46">
        <f t="shared" si="140"/>
        <v>-13631.51999999999</v>
      </c>
      <c r="BO68" s="46">
        <f t="shared" si="140"/>
        <v>-5142.5199999999895</v>
      </c>
      <c r="BP68" s="46">
        <f t="shared" si="140"/>
        <v>-20588.859999999986</v>
      </c>
      <c r="BQ68" s="46">
        <f t="shared" si="140"/>
        <v>-8502.140000000014</v>
      </c>
      <c r="BR68" s="46">
        <f t="shared" si="140"/>
        <v>8380.8999999999942</v>
      </c>
      <c r="BS68" s="46">
        <f t="shared" si="140"/>
        <v>-11712.440000000002</v>
      </c>
      <c r="BT68" s="46">
        <f t="shared" si="140"/>
        <v>86482.969999999972</v>
      </c>
      <c r="BU68" s="46">
        <f t="shared" si="140"/>
        <v>165256.57999999996</v>
      </c>
      <c r="BV68" s="46">
        <f t="shared" si="140"/>
        <v>216834</v>
      </c>
      <c r="BW68" s="46">
        <f t="shared" si="140"/>
        <v>75419</v>
      </c>
      <c r="BX68" s="46">
        <f t="shared" si="140"/>
        <v>61013</v>
      </c>
      <c r="BY68" s="46">
        <f t="shared" si="140"/>
        <v>72647</v>
      </c>
      <c r="BZ68" s="46">
        <f t="shared" si="140"/>
        <v>45513</v>
      </c>
      <c r="CA68" s="271">
        <f t="shared" si="140"/>
        <v>8629</v>
      </c>
      <c r="CB68" s="271">
        <f t="shared" si="140"/>
        <v>39319</v>
      </c>
      <c r="CC68" s="271">
        <f t="shared" si="140"/>
        <v>-4437</v>
      </c>
      <c r="CD68" s="271">
        <f t="shared" si="140"/>
        <v>32212</v>
      </c>
      <c r="CE68" s="312">
        <f t="shared" si="140"/>
        <v>155761</v>
      </c>
      <c r="CF68" s="312">
        <f t="shared" si="140"/>
        <v>223985</v>
      </c>
      <c r="CG68" s="312">
        <f t="shared" si="140"/>
        <v>243735</v>
      </c>
      <c r="CH68" s="312">
        <f t="shared" si="140"/>
        <v>118465</v>
      </c>
      <c r="CI68" s="312">
        <f t="shared" si="140"/>
        <v>221278</v>
      </c>
      <c r="CJ68" s="312">
        <f t="shared" si="140"/>
        <v>142719</v>
      </c>
      <c r="CK68" s="312">
        <f t="shared" si="140"/>
        <v>68112</v>
      </c>
      <c r="CL68" s="312">
        <f t="shared" si="140"/>
        <v>91184</v>
      </c>
      <c r="CM68" s="312">
        <f t="shared" si="140"/>
        <v>106863</v>
      </c>
      <c r="CN68" s="312">
        <f t="shared" si="140"/>
        <v>57255</v>
      </c>
      <c r="CO68" s="312">
        <f t="shared" si="140"/>
        <v>168183</v>
      </c>
      <c r="CP68" s="312">
        <f t="shared" si="140"/>
        <v>300780</v>
      </c>
      <c r="CQ68" s="312">
        <f t="shared" si="140"/>
        <v>338018</v>
      </c>
      <c r="CR68" s="312">
        <f t="shared" si="140"/>
        <v>302284</v>
      </c>
      <c r="CS68" s="312">
        <f t="shared" si="140"/>
        <v>197215</v>
      </c>
      <c r="CT68" s="350"/>
      <c r="CU68" s="67">
        <f>'MONTHLY SUMMARIES'!J46</f>
        <v>1200716</v>
      </c>
    </row>
    <row r="69" spans="1:99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/>
      <c r="BA69" s="297"/>
      <c r="BB69" s="297"/>
      <c r="BC69" s="297"/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50"/>
      <c r="CU69" s="81">
        <f>CU68-CU70</f>
        <v>1191019</v>
      </c>
    </row>
    <row r="70" spans="1:99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/>
      <c r="BA70" s="297"/>
      <c r="BB70" s="297"/>
      <c r="BC70" s="297"/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50"/>
      <c r="CU70" s="67">
        <f>GETPIVOTDATA("VALUE",'CRS ESCO pvt'!$I$2,"DATE_FILE",$CU$8,"COMPANY",$CU$6,"TRIM_CAT","Low Income Resdiential-ESCO","TRIM_LINE",A64)</f>
        <v>9697</v>
      </c>
    </row>
    <row r="71" spans="1:99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/>
      <c r="BA71" s="297"/>
      <c r="BB71" s="297"/>
      <c r="BC71" s="297"/>
      <c r="BD71" s="297"/>
      <c r="BE71" s="297"/>
      <c r="BF71" s="297"/>
      <c r="BG71" s="297"/>
      <c r="BH71" s="297"/>
      <c r="BI71" s="45">
        <f t="shared" ref="BI71:BR73" si="141">O71-C71</f>
        <v>-179910.08999999997</v>
      </c>
      <c r="BJ71" s="46">
        <f t="shared" si="141"/>
        <v>140771.09999999998</v>
      </c>
      <c r="BK71" s="46">
        <f t="shared" si="141"/>
        <v>141132.40000000002</v>
      </c>
      <c r="BL71" s="46">
        <f t="shared" si="141"/>
        <v>107808.84000000003</v>
      </c>
      <c r="BM71" s="46">
        <f t="shared" si="141"/>
        <v>4697.6600000000035</v>
      </c>
      <c r="BN71" s="46">
        <f t="shared" si="141"/>
        <v>-25932.130000000005</v>
      </c>
      <c r="BO71" s="46">
        <f t="shared" si="141"/>
        <v>-9053.1700000000128</v>
      </c>
      <c r="BP71" s="46">
        <f t="shared" si="141"/>
        <v>5157.6000000000058</v>
      </c>
      <c r="BQ71" s="46">
        <f t="shared" si="141"/>
        <v>-14018.790000000008</v>
      </c>
      <c r="BR71" s="46">
        <f t="shared" si="141"/>
        <v>-79230.260000000009</v>
      </c>
      <c r="BS71" s="46">
        <f t="shared" ref="BS71:CB73" si="142">Y71-M71</f>
        <v>159736.47999999998</v>
      </c>
      <c r="BT71" s="46">
        <f t="shared" si="142"/>
        <v>-96836.979999999981</v>
      </c>
      <c r="BU71" s="46">
        <f t="shared" si="142"/>
        <v>-50075.180000000051</v>
      </c>
      <c r="BV71" s="46">
        <f t="shared" si="142"/>
        <v>-474340</v>
      </c>
      <c r="BW71" s="46">
        <f t="shared" si="142"/>
        <v>-243376</v>
      </c>
      <c r="BX71" s="46">
        <f t="shared" si="142"/>
        <v>-132497</v>
      </c>
      <c r="BY71" s="46">
        <f t="shared" si="142"/>
        <v>-71056</v>
      </c>
      <c r="BZ71" s="46">
        <f t="shared" si="142"/>
        <v>14445</v>
      </c>
      <c r="CA71" s="271">
        <f t="shared" si="142"/>
        <v>31354</v>
      </c>
      <c r="CB71" s="271">
        <f t="shared" si="142"/>
        <v>84476</v>
      </c>
      <c r="CC71" s="271">
        <f t="shared" ref="CC71:CL73" si="143">AI71-W71</f>
        <v>130451</v>
      </c>
      <c r="CD71" s="271">
        <f t="shared" si="143"/>
        <v>125556</v>
      </c>
      <c r="CE71" s="312">
        <f t="shared" si="143"/>
        <v>777744</v>
      </c>
      <c r="CF71" s="312">
        <f t="shared" si="143"/>
        <v>693330</v>
      </c>
      <c r="CG71" s="312">
        <f t="shared" si="143"/>
        <v>814387</v>
      </c>
      <c r="CH71" s="312">
        <f t="shared" si="143"/>
        <v>426803</v>
      </c>
      <c r="CI71" s="312">
        <f t="shared" si="143"/>
        <v>415052</v>
      </c>
      <c r="CJ71" s="312">
        <f t="shared" si="143"/>
        <v>294352</v>
      </c>
      <c r="CK71" s="312">
        <f t="shared" si="143"/>
        <v>215916</v>
      </c>
      <c r="CL71" s="312">
        <f t="shared" si="143"/>
        <v>126880</v>
      </c>
      <c r="CM71" s="312">
        <f t="shared" ref="CM71:CS73" si="144">AS71-AG71</f>
        <v>128287</v>
      </c>
      <c r="CN71" s="312">
        <f t="shared" si="144"/>
        <v>28202</v>
      </c>
      <c r="CO71" s="312">
        <f t="shared" si="144"/>
        <v>19330</v>
      </c>
      <c r="CP71" s="312">
        <f t="shared" si="144"/>
        <v>257386</v>
      </c>
      <c r="CQ71" s="312">
        <f t="shared" si="144"/>
        <v>-543224</v>
      </c>
      <c r="CR71" s="312">
        <f t="shared" si="144"/>
        <v>-563223</v>
      </c>
      <c r="CS71" s="312">
        <f t="shared" si="144"/>
        <v>-352029</v>
      </c>
      <c r="CT71" s="350"/>
      <c r="CU71" s="67">
        <f>'MONTHLY SUMMARIES'!J47</f>
        <v>1292670</v>
      </c>
    </row>
    <row r="72" spans="1:99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/>
      <c r="BA72" s="297"/>
      <c r="BB72" s="297"/>
      <c r="BC72" s="297"/>
      <c r="BD72" s="297"/>
      <c r="BE72" s="297"/>
      <c r="BF72" s="297"/>
      <c r="BG72" s="297"/>
      <c r="BH72" s="297"/>
      <c r="BI72" s="45">
        <f t="shared" si="141"/>
        <v>-405910.25999999995</v>
      </c>
      <c r="BJ72" s="46">
        <f t="shared" si="141"/>
        <v>-246878.29000000004</v>
      </c>
      <c r="BK72" s="46">
        <f t="shared" si="141"/>
        <v>48192.729999999981</v>
      </c>
      <c r="BL72" s="46">
        <f t="shared" si="141"/>
        <v>21618.47</v>
      </c>
      <c r="BM72" s="46">
        <f t="shared" si="141"/>
        <v>-38776</v>
      </c>
      <c r="BN72" s="46">
        <f t="shared" si="141"/>
        <v>-97189.790000000008</v>
      </c>
      <c r="BO72" s="46">
        <f t="shared" si="141"/>
        <v>-63471.97</v>
      </c>
      <c r="BP72" s="46">
        <f t="shared" si="141"/>
        <v>-2927.7799999999988</v>
      </c>
      <c r="BQ72" s="46">
        <f t="shared" si="141"/>
        <v>103668.94</v>
      </c>
      <c r="BR72" s="46">
        <f t="shared" si="141"/>
        <v>-157406.31</v>
      </c>
      <c r="BS72" s="46">
        <f t="shared" si="142"/>
        <v>66828.37</v>
      </c>
      <c r="BT72" s="46">
        <f t="shared" si="142"/>
        <v>53840.020000000019</v>
      </c>
      <c r="BU72" s="46">
        <f t="shared" si="142"/>
        <v>-11008.309999999998</v>
      </c>
      <c r="BV72" s="46">
        <f t="shared" si="142"/>
        <v>-185705</v>
      </c>
      <c r="BW72" s="46">
        <f t="shared" si="142"/>
        <v>-146079</v>
      </c>
      <c r="BX72" s="46">
        <f t="shared" si="142"/>
        <v>-15760</v>
      </c>
      <c r="BY72" s="46">
        <f t="shared" si="142"/>
        <v>-3329</v>
      </c>
      <c r="BZ72" s="46">
        <f t="shared" si="142"/>
        <v>-28591</v>
      </c>
      <c r="CA72" s="271">
        <f t="shared" si="142"/>
        <v>16121</v>
      </c>
      <c r="CB72" s="271">
        <f t="shared" si="142"/>
        <v>42448</v>
      </c>
      <c r="CC72" s="271">
        <f t="shared" si="143"/>
        <v>-72118</v>
      </c>
      <c r="CD72" s="271">
        <f t="shared" si="143"/>
        <v>176267</v>
      </c>
      <c r="CE72" s="312">
        <f t="shared" si="143"/>
        <v>354166</v>
      </c>
      <c r="CF72" s="312">
        <f t="shared" si="143"/>
        <v>210977</v>
      </c>
      <c r="CG72" s="312">
        <f t="shared" si="143"/>
        <v>229081</v>
      </c>
      <c r="CH72" s="312">
        <f t="shared" si="143"/>
        <v>140512</v>
      </c>
      <c r="CI72" s="312">
        <f t="shared" si="143"/>
        <v>195079</v>
      </c>
      <c r="CJ72" s="312">
        <f t="shared" si="143"/>
        <v>135894</v>
      </c>
      <c r="CK72" s="312">
        <f t="shared" si="143"/>
        <v>52693</v>
      </c>
      <c r="CL72" s="312">
        <f t="shared" si="143"/>
        <v>83472</v>
      </c>
      <c r="CM72" s="312">
        <f t="shared" si="144"/>
        <v>64678</v>
      </c>
      <c r="CN72" s="312">
        <f t="shared" si="144"/>
        <v>28326</v>
      </c>
      <c r="CO72" s="312">
        <f t="shared" si="144"/>
        <v>85123</v>
      </c>
      <c r="CP72" s="312">
        <f t="shared" si="144"/>
        <v>24968</v>
      </c>
      <c r="CQ72" s="312">
        <f t="shared" si="144"/>
        <v>-229561</v>
      </c>
      <c r="CR72" s="312">
        <f t="shared" si="144"/>
        <v>-362942</v>
      </c>
      <c r="CS72" s="312">
        <f t="shared" si="144"/>
        <v>-153406</v>
      </c>
      <c r="CT72" s="350"/>
      <c r="CU72" s="67">
        <f>'MONTHLY SUMMARIES'!J48</f>
        <v>469234</v>
      </c>
    </row>
    <row r="73" spans="1:99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/>
      <c r="BA73" s="297"/>
      <c r="BB73" s="297"/>
      <c r="BC73" s="297"/>
      <c r="BD73" s="297"/>
      <c r="BE73" s="297"/>
      <c r="BF73" s="297"/>
      <c r="BG73" s="297"/>
      <c r="BH73" s="297"/>
      <c r="BI73" s="45">
        <f t="shared" si="141"/>
        <v>48077.41</v>
      </c>
      <c r="BJ73" s="46">
        <f t="shared" si="141"/>
        <v>95063.01999999999</v>
      </c>
      <c r="BK73" s="46">
        <f t="shared" si="141"/>
        <v>-146077.59999999998</v>
      </c>
      <c r="BL73" s="46">
        <f t="shared" si="141"/>
        <v>92239.46</v>
      </c>
      <c r="BM73" s="46">
        <f t="shared" si="141"/>
        <v>39292.589999999997</v>
      </c>
      <c r="BN73" s="46">
        <f t="shared" si="141"/>
        <v>69933.42</v>
      </c>
      <c r="BO73" s="46">
        <f t="shared" si="141"/>
        <v>41234.019999999997</v>
      </c>
      <c r="BP73" s="46">
        <f t="shared" si="141"/>
        <v>97083.24</v>
      </c>
      <c r="BQ73" s="46">
        <f t="shared" si="141"/>
        <v>-55385.34</v>
      </c>
      <c r="BR73" s="46">
        <f t="shared" si="141"/>
        <v>62112.97</v>
      </c>
      <c r="BS73" s="46">
        <f t="shared" si="142"/>
        <v>104230.72</v>
      </c>
      <c r="BT73" s="46">
        <f t="shared" si="142"/>
        <v>69500.56</v>
      </c>
      <c r="BU73" s="46">
        <f t="shared" si="142"/>
        <v>-71140.63</v>
      </c>
      <c r="BV73" s="46">
        <f t="shared" si="142"/>
        <v>-175074</v>
      </c>
      <c r="BW73" s="46">
        <f t="shared" si="142"/>
        <v>-3176</v>
      </c>
      <c r="BX73" s="46">
        <f t="shared" si="142"/>
        <v>67111</v>
      </c>
      <c r="BY73" s="46">
        <f t="shared" si="142"/>
        <v>-37071</v>
      </c>
      <c r="BZ73" s="46">
        <f t="shared" si="142"/>
        <v>29428</v>
      </c>
      <c r="CA73" s="271">
        <f t="shared" si="142"/>
        <v>68943</v>
      </c>
      <c r="CB73" s="271">
        <f t="shared" si="142"/>
        <v>50022</v>
      </c>
      <c r="CC73" s="271">
        <f t="shared" si="143"/>
        <v>6837</v>
      </c>
      <c r="CD73" s="271">
        <f t="shared" si="143"/>
        <v>-43317</v>
      </c>
      <c r="CE73" s="312">
        <f t="shared" si="143"/>
        <v>186334</v>
      </c>
      <c r="CF73" s="312">
        <f t="shared" si="143"/>
        <v>-12468</v>
      </c>
      <c r="CG73" s="312">
        <f t="shared" si="143"/>
        <v>321473</v>
      </c>
      <c r="CH73" s="312">
        <f t="shared" si="143"/>
        <v>222912</v>
      </c>
      <c r="CI73" s="312">
        <f t="shared" si="143"/>
        <v>194352</v>
      </c>
      <c r="CJ73" s="312">
        <f t="shared" si="143"/>
        <v>128456</v>
      </c>
      <c r="CK73" s="312">
        <f t="shared" si="143"/>
        <v>22045</v>
      </c>
      <c r="CL73" s="312">
        <f t="shared" si="143"/>
        <v>36282</v>
      </c>
      <c r="CM73" s="312">
        <f t="shared" si="144"/>
        <v>6225</v>
      </c>
      <c r="CN73" s="312">
        <f t="shared" si="144"/>
        <v>-69195</v>
      </c>
      <c r="CO73" s="312">
        <f t="shared" si="144"/>
        <v>209166</v>
      </c>
      <c r="CP73" s="312">
        <f t="shared" si="144"/>
        <v>499931</v>
      </c>
      <c r="CQ73" s="312">
        <f t="shared" si="144"/>
        <v>145077</v>
      </c>
      <c r="CR73" s="312">
        <f t="shared" si="144"/>
        <v>232766</v>
      </c>
      <c r="CS73" s="312">
        <f t="shared" si="144"/>
        <v>-199891</v>
      </c>
      <c r="CT73" s="350"/>
      <c r="CU73" s="67">
        <f>'MONTHLY SUMMARIES'!J49</f>
        <v>263405</v>
      </c>
    </row>
    <row r="74" spans="1:99" s="134" customFormat="1" x14ac:dyDescent="0.3">
      <c r="A74" s="151"/>
      <c r="B74" s="41" t="s">
        <v>42</v>
      </c>
      <c r="C74" s="144">
        <f t="shared" ref="C74:V74" si="145">SUM(C65:C73)</f>
        <v>7159239.5200000005</v>
      </c>
      <c r="D74" s="145">
        <f t="shared" si="145"/>
        <v>7005498.0500000007</v>
      </c>
      <c r="E74" s="145">
        <f t="shared" si="145"/>
        <v>4717446.3999999994</v>
      </c>
      <c r="F74" s="145">
        <f t="shared" si="145"/>
        <v>2689198.5799999996</v>
      </c>
      <c r="G74" s="145">
        <f t="shared" si="145"/>
        <v>2026823.3900000001</v>
      </c>
      <c r="H74" s="145">
        <f t="shared" si="145"/>
        <v>1386886.9500000002</v>
      </c>
      <c r="I74" s="145">
        <f t="shared" si="145"/>
        <v>1281164.56</v>
      </c>
      <c r="J74" s="145">
        <f t="shared" si="145"/>
        <v>1149869.94</v>
      </c>
      <c r="K74" s="145">
        <f t="shared" si="145"/>
        <v>1526893.9300000002</v>
      </c>
      <c r="L74" s="146">
        <f t="shared" si="145"/>
        <v>2625283.38</v>
      </c>
      <c r="M74" s="145">
        <f t="shared" si="145"/>
        <v>4055390.32</v>
      </c>
      <c r="N74" s="145">
        <f t="shared" si="145"/>
        <v>5660846.6900000004</v>
      </c>
      <c r="O74" s="145">
        <f t="shared" si="145"/>
        <v>5965717.8599999994</v>
      </c>
      <c r="P74" s="145">
        <f t="shared" si="145"/>
        <v>5919652</v>
      </c>
      <c r="Q74" s="145">
        <f t="shared" si="145"/>
        <v>4648207</v>
      </c>
      <c r="R74" s="145">
        <f t="shared" si="145"/>
        <v>3302551</v>
      </c>
      <c r="S74" s="145">
        <f t="shared" si="145"/>
        <v>1649327</v>
      </c>
      <c r="T74" s="145">
        <f t="shared" si="145"/>
        <v>1281443</v>
      </c>
      <c r="U74" s="145">
        <f t="shared" si="145"/>
        <v>1196253</v>
      </c>
      <c r="V74" s="145">
        <f t="shared" si="145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/>
      <c r="BA74" s="298"/>
      <c r="BB74" s="298"/>
      <c r="BC74" s="298"/>
      <c r="BD74" s="298"/>
      <c r="BE74" s="298"/>
      <c r="BF74" s="298"/>
      <c r="BG74" s="298"/>
      <c r="BH74" s="298"/>
      <c r="BI74" s="47">
        <f>SUM(BI65:BI73)</f>
        <v>-1193521.6600000004</v>
      </c>
      <c r="BJ74" s="147">
        <f t="shared" ref="BJ74:BL74" si="146">SUM(BJ65:BJ73)</f>
        <v>-1085846.0500000003</v>
      </c>
      <c r="BK74" s="147">
        <f t="shared" si="146"/>
        <v>-69239.399999999907</v>
      </c>
      <c r="BL74" s="147">
        <f t="shared" si="146"/>
        <v>613352.42000000016</v>
      </c>
      <c r="BM74" s="147">
        <f t="shared" ref="BM74:BN74" si="147">SUM(BM65:BM73)</f>
        <v>-377496.39</v>
      </c>
      <c r="BN74" s="147">
        <f t="shared" si="147"/>
        <v>-105443.95000000006</v>
      </c>
      <c r="BO74" s="147">
        <f t="shared" ref="BO74:BP74" si="148">SUM(BO65:BO73)</f>
        <v>-84911.560000000056</v>
      </c>
      <c r="BP74" s="147">
        <f t="shared" si="148"/>
        <v>148599.06</v>
      </c>
      <c r="BQ74" s="147">
        <f t="shared" ref="BQ74:BR74" si="149">SUM(BQ65:BQ73)</f>
        <v>-20191.929999999993</v>
      </c>
      <c r="BR74" s="147">
        <f t="shared" si="149"/>
        <v>-187751.37999999995</v>
      </c>
      <c r="BS74" s="147">
        <f t="shared" ref="BS74:BT74" si="150">SUM(BS65:BS73)</f>
        <v>230318.67999999979</v>
      </c>
      <c r="BT74" s="147">
        <f t="shared" si="150"/>
        <v>250701.31000000023</v>
      </c>
      <c r="BU74" s="147">
        <f t="shared" ref="BU74:BV74" si="151">SUM(BU65:BU73)</f>
        <v>277851.14000000007</v>
      </c>
      <c r="BV74" s="147">
        <f t="shared" si="151"/>
        <v>-533158</v>
      </c>
      <c r="BW74" s="147">
        <f t="shared" ref="BW74:BX74" si="152">SUM(BW65:BW73)</f>
        <v>-685732</v>
      </c>
      <c r="BX74" s="147">
        <f t="shared" si="152"/>
        <v>-568485</v>
      </c>
      <c r="BY74" s="147">
        <f t="shared" ref="BY74:BZ74" si="153">SUM(BY65:BY73)</f>
        <v>-92127</v>
      </c>
      <c r="BZ74" s="147">
        <f t="shared" si="153"/>
        <v>-48231</v>
      </c>
      <c r="CA74" s="272">
        <f t="shared" ref="CA74:CB74" si="154">SUM(CA65:CA73)</f>
        <v>54611</v>
      </c>
      <c r="CB74" s="272">
        <f t="shared" si="154"/>
        <v>117151</v>
      </c>
      <c r="CC74" s="272">
        <f t="shared" ref="CC74:CE74" si="155">SUM(CC65:CC73)</f>
        <v>-51336</v>
      </c>
      <c r="CD74" s="272">
        <f t="shared" si="155"/>
        <v>129092</v>
      </c>
      <c r="CE74" s="313">
        <f t="shared" si="155"/>
        <v>2094101</v>
      </c>
      <c r="CF74" s="313">
        <f t="shared" ref="CF74:CG74" si="156">SUM(CF65:CF73)</f>
        <v>1580225</v>
      </c>
      <c r="CG74" s="313">
        <f t="shared" si="156"/>
        <v>2456963</v>
      </c>
      <c r="CH74" s="313">
        <f t="shared" ref="CH74:CI74" si="157">SUM(CH65:CH73)</f>
        <v>1566323</v>
      </c>
      <c r="CI74" s="313">
        <f t="shared" si="157"/>
        <v>1845201</v>
      </c>
      <c r="CJ74" s="313">
        <f t="shared" ref="CJ74" si="158">SUM(CJ65:CJ73)</f>
        <v>1300641</v>
      </c>
      <c r="CK74" s="313">
        <f t="shared" ref="CK74" si="159">SUM(CK65:CK73)</f>
        <v>781346</v>
      </c>
      <c r="CL74" s="313">
        <f t="shared" ref="CL74" si="160">SUM(CL65:CL73)</f>
        <v>710535</v>
      </c>
      <c r="CM74" s="313">
        <f t="shared" ref="CM74" si="161">SUM(CM65:CM73)</f>
        <v>731254</v>
      </c>
      <c r="CN74" s="313">
        <f t="shared" ref="CN74" si="162">SUM(CN65:CN73)</f>
        <v>239369</v>
      </c>
      <c r="CO74" s="313">
        <f t="shared" ref="CO74" si="163">SUM(CO65:CO73)</f>
        <v>1042772</v>
      </c>
      <c r="CP74" s="313">
        <f t="shared" ref="CP74" si="164">SUM(CP65:CP73)</f>
        <v>2421718</v>
      </c>
      <c r="CQ74" s="313">
        <f t="shared" ref="CQ74:CS74" si="165">SUM(CQ65:CQ73)</f>
        <v>542153</v>
      </c>
      <c r="CR74" s="313">
        <f t="shared" ref="CR74:CS74" si="166">SUM(CR65:CR73)</f>
        <v>485841</v>
      </c>
      <c r="CS74" s="313">
        <f t="shared" si="166"/>
        <v>-182841</v>
      </c>
      <c r="CT74" s="351"/>
      <c r="CU74" s="262">
        <f>CU65+CU68+CU71+CU72+CU73</f>
        <v>8517691</v>
      </c>
    </row>
    <row r="75" spans="1:99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50"/>
      <c r="CU75" s="52"/>
    </row>
    <row r="76" spans="1:99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/>
      <c r="BA76" s="297"/>
      <c r="BB76" s="297"/>
      <c r="BC76" s="297"/>
      <c r="BD76" s="297"/>
      <c r="BE76" s="297"/>
      <c r="BF76" s="297"/>
      <c r="BG76" s="297"/>
      <c r="BH76" s="297"/>
      <c r="BI76" s="45">
        <f t="shared" ref="BI76:CS76" si="167">O76-C76</f>
        <v>-40811.610000000335</v>
      </c>
      <c r="BJ76" s="46">
        <f t="shared" si="167"/>
        <v>-110667.08000000007</v>
      </c>
      <c r="BK76" s="46">
        <f t="shared" si="167"/>
        <v>-461425.23</v>
      </c>
      <c r="BL76" s="46">
        <f t="shared" si="167"/>
        <v>152045.71999999997</v>
      </c>
      <c r="BM76" s="46">
        <f t="shared" si="167"/>
        <v>248402.6399999999</v>
      </c>
      <c r="BN76" s="46">
        <f t="shared" si="167"/>
        <v>-25271.900000000023</v>
      </c>
      <c r="BO76" s="46">
        <f t="shared" si="167"/>
        <v>61243.390000000014</v>
      </c>
      <c r="BP76" s="46">
        <f t="shared" si="167"/>
        <v>53301.570000000007</v>
      </c>
      <c r="BQ76" s="46">
        <f t="shared" si="167"/>
        <v>90818.31</v>
      </c>
      <c r="BR76" s="46">
        <f t="shared" si="167"/>
        <v>61828.94</v>
      </c>
      <c r="BS76" s="46">
        <f t="shared" si="167"/>
        <v>-30840.920000000042</v>
      </c>
      <c r="BT76" s="46">
        <f t="shared" si="167"/>
        <v>-9438.2399999999907</v>
      </c>
      <c r="BU76" s="46">
        <f t="shared" si="167"/>
        <v>121861.93000000017</v>
      </c>
      <c r="BV76" s="46">
        <f t="shared" si="167"/>
        <v>-15451</v>
      </c>
      <c r="BW76" s="46">
        <f t="shared" si="167"/>
        <v>116022</v>
      </c>
      <c r="BX76" s="46">
        <f t="shared" si="167"/>
        <v>-286019</v>
      </c>
      <c r="BY76" s="46">
        <f t="shared" si="167"/>
        <v>-472027</v>
      </c>
      <c r="BZ76" s="46">
        <f t="shared" si="167"/>
        <v>-122860</v>
      </c>
      <c r="CA76" s="271">
        <f t="shared" si="167"/>
        <v>-122580</v>
      </c>
      <c r="CB76" s="271">
        <f t="shared" si="167"/>
        <v>-103231</v>
      </c>
      <c r="CC76" s="271">
        <f t="shared" si="167"/>
        <v>-89662</v>
      </c>
      <c r="CD76" s="271">
        <f t="shared" si="167"/>
        <v>-173014</v>
      </c>
      <c r="CE76" s="312">
        <f t="shared" si="167"/>
        <v>-151589</v>
      </c>
      <c r="CF76" s="312">
        <f t="shared" si="167"/>
        <v>88774</v>
      </c>
      <c r="CG76" s="312">
        <f t="shared" si="167"/>
        <v>64453</v>
      </c>
      <c r="CH76" s="312">
        <f t="shared" si="167"/>
        <v>343142</v>
      </c>
      <c r="CI76" s="312">
        <f t="shared" si="167"/>
        <v>304220</v>
      </c>
      <c r="CJ76" s="312">
        <f t="shared" si="167"/>
        <v>412552</v>
      </c>
      <c r="CK76" s="312">
        <f t="shared" si="167"/>
        <v>292343</v>
      </c>
      <c r="CL76" s="312">
        <f t="shared" si="167"/>
        <v>203303</v>
      </c>
      <c r="CM76" s="312">
        <f t="shared" si="167"/>
        <v>268552</v>
      </c>
      <c r="CN76" s="312">
        <f t="shared" si="167"/>
        <v>104141</v>
      </c>
      <c r="CO76" s="312">
        <f t="shared" si="167"/>
        <v>136669</v>
      </c>
      <c r="CP76" s="312">
        <f t="shared" si="167"/>
        <v>420675</v>
      </c>
      <c r="CQ76" s="312">
        <f t="shared" si="167"/>
        <v>363922</v>
      </c>
      <c r="CR76" s="312">
        <f t="shared" si="167"/>
        <v>447733</v>
      </c>
      <c r="CS76" s="312">
        <f t="shared" si="167"/>
        <v>333785</v>
      </c>
      <c r="CT76" s="350"/>
      <c r="CU76" s="67">
        <f>'MONTHLY SUMMARIES'!J52</f>
        <v>2697362</v>
      </c>
    </row>
    <row r="77" spans="1:99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/>
      <c r="BA77" s="297"/>
      <c r="BB77" s="297"/>
      <c r="BC77" s="297"/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50"/>
      <c r="CU77" s="81">
        <f>CU76-CU78</f>
        <v>2684325</v>
      </c>
    </row>
    <row r="78" spans="1:99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/>
      <c r="BA78" s="297"/>
      <c r="BB78" s="297"/>
      <c r="BC78" s="297"/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50"/>
      <c r="CU78" s="67">
        <f>GETPIVOTDATA("VALUE",'CRS ESCO pvt'!$I$2,"DATE_FILE",$CU$8,"COMPANY",$CU$6,"TRIM_CAT","Resdiential-ESCO","TRIM_LINE",A75)</f>
        <v>13037</v>
      </c>
    </row>
    <row r="79" spans="1:99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/>
      <c r="BA79" s="297"/>
      <c r="BB79" s="297"/>
      <c r="BC79" s="297"/>
      <c r="BD79" s="297"/>
      <c r="BE79" s="297"/>
      <c r="BF79" s="297"/>
      <c r="BG79" s="297"/>
      <c r="BH79" s="297"/>
      <c r="BI79" s="45">
        <f t="shared" ref="BI79:CS79" si="168">O79-C79</f>
        <v>-14655.830000000016</v>
      </c>
      <c r="BJ79" s="46">
        <f t="shared" si="168"/>
        <v>-65093.130000000005</v>
      </c>
      <c r="BK79" s="46">
        <f t="shared" si="168"/>
        <v>-127468.51000000001</v>
      </c>
      <c r="BL79" s="46">
        <f t="shared" si="168"/>
        <v>-73070.349999999977</v>
      </c>
      <c r="BM79" s="46">
        <f t="shared" si="168"/>
        <v>-25322.979999999981</v>
      </c>
      <c r="BN79" s="46">
        <f t="shared" si="168"/>
        <v>-32567.630000000005</v>
      </c>
      <c r="BO79" s="46">
        <f t="shared" si="168"/>
        <v>3252.2200000000012</v>
      </c>
      <c r="BP79" s="46">
        <f t="shared" si="168"/>
        <v>6152.9900000000052</v>
      </c>
      <c r="BQ79" s="46">
        <f t="shared" si="168"/>
        <v>3522.2899999999936</v>
      </c>
      <c r="BR79" s="46">
        <f t="shared" si="168"/>
        <v>9946.5299999999988</v>
      </c>
      <c r="BS79" s="46">
        <f t="shared" si="168"/>
        <v>7583.0599999999977</v>
      </c>
      <c r="BT79" s="46">
        <f t="shared" si="168"/>
        <v>-8102.390000000014</v>
      </c>
      <c r="BU79" s="46">
        <f t="shared" si="168"/>
        <v>98973.650000000023</v>
      </c>
      <c r="BV79" s="46">
        <f t="shared" si="168"/>
        <v>119412</v>
      </c>
      <c r="BW79" s="46">
        <f t="shared" si="168"/>
        <v>155958</v>
      </c>
      <c r="BX79" s="46">
        <f t="shared" si="168"/>
        <v>98306</v>
      </c>
      <c r="BY79" s="46">
        <f t="shared" si="168"/>
        <v>2451</v>
      </c>
      <c r="BZ79" s="46">
        <f t="shared" si="168"/>
        <v>40372</v>
      </c>
      <c r="CA79" s="271">
        <f t="shared" si="168"/>
        <v>31980</v>
      </c>
      <c r="CB79" s="271">
        <f t="shared" si="168"/>
        <v>606</v>
      </c>
      <c r="CC79" s="271">
        <f t="shared" si="168"/>
        <v>-1307</v>
      </c>
      <c r="CD79" s="271">
        <f t="shared" si="168"/>
        <v>-19184</v>
      </c>
      <c r="CE79" s="312">
        <f t="shared" si="168"/>
        <v>41550</v>
      </c>
      <c r="CF79" s="312">
        <f t="shared" si="168"/>
        <v>103066</v>
      </c>
      <c r="CG79" s="312">
        <f t="shared" si="168"/>
        <v>176657</v>
      </c>
      <c r="CH79" s="312">
        <f t="shared" si="168"/>
        <v>179044</v>
      </c>
      <c r="CI79" s="312">
        <f t="shared" si="168"/>
        <v>153074</v>
      </c>
      <c r="CJ79" s="312">
        <f t="shared" si="168"/>
        <v>167485</v>
      </c>
      <c r="CK79" s="312">
        <f t="shared" si="168"/>
        <v>116566</v>
      </c>
      <c r="CL79" s="312">
        <f t="shared" si="168"/>
        <v>68786</v>
      </c>
      <c r="CM79" s="312">
        <f t="shared" si="168"/>
        <v>88841</v>
      </c>
      <c r="CN79" s="312">
        <f t="shared" si="168"/>
        <v>67253</v>
      </c>
      <c r="CO79" s="312">
        <f t="shared" si="168"/>
        <v>96293</v>
      </c>
      <c r="CP79" s="312">
        <f t="shared" si="168"/>
        <v>186833</v>
      </c>
      <c r="CQ79" s="312">
        <f t="shared" si="168"/>
        <v>162322</v>
      </c>
      <c r="CR79" s="312">
        <f t="shared" si="168"/>
        <v>235848</v>
      </c>
      <c r="CS79" s="312">
        <f t="shared" si="168"/>
        <v>156154</v>
      </c>
      <c r="CT79" s="350"/>
      <c r="CU79" s="67">
        <f>'MONTHLY SUMMARIES'!J53</f>
        <v>883488</v>
      </c>
    </row>
    <row r="80" spans="1:99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/>
      <c r="BA80" s="297"/>
      <c r="BB80" s="297"/>
      <c r="BC80" s="297"/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50"/>
      <c r="CU80" s="81">
        <f>CU79-CU81</f>
        <v>879320</v>
      </c>
    </row>
    <row r="81" spans="1:99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/>
      <c r="BA81" s="297"/>
      <c r="BB81" s="297"/>
      <c r="BC81" s="297"/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50"/>
      <c r="CU81" s="67">
        <f>GETPIVOTDATA("VALUE",'CRS ESCO pvt'!$I$2,"DATE_FILE",$CU$8,"COMPANY",$CU$6,"TRIM_CAT","Low Income Resdiential-ESCO","TRIM_LINE",A75)</f>
        <v>4168</v>
      </c>
    </row>
    <row r="82" spans="1:99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/>
      <c r="BA82" s="297"/>
      <c r="BB82" s="297"/>
      <c r="BC82" s="297"/>
      <c r="BD82" s="297"/>
      <c r="BE82" s="297"/>
      <c r="BF82" s="297"/>
      <c r="BG82" s="297"/>
      <c r="BH82" s="297"/>
      <c r="BI82" s="45">
        <f t="shared" ref="BI82:BR84" si="169">O82-C82</f>
        <v>174070.2</v>
      </c>
      <c r="BJ82" s="46">
        <f t="shared" si="169"/>
        <v>151498.59999999998</v>
      </c>
      <c r="BK82" s="46">
        <f t="shared" si="169"/>
        <v>75406.659999999974</v>
      </c>
      <c r="BL82" s="46">
        <f t="shared" si="169"/>
        <v>113992.85999999999</v>
      </c>
      <c r="BM82" s="46">
        <f t="shared" si="169"/>
        <v>39253.450000000012</v>
      </c>
      <c r="BN82" s="46">
        <f t="shared" si="169"/>
        <v>76770.929999999993</v>
      </c>
      <c r="BO82" s="46">
        <f t="shared" si="169"/>
        <v>-10381.070000000007</v>
      </c>
      <c r="BP82" s="46">
        <f t="shared" si="169"/>
        <v>8784.25</v>
      </c>
      <c r="BQ82" s="46">
        <f t="shared" si="169"/>
        <v>8465.1199999999953</v>
      </c>
      <c r="BR82" s="46">
        <f t="shared" si="169"/>
        <v>-7933.4600000000064</v>
      </c>
      <c r="BS82" s="46">
        <f t="shared" ref="BS82:CB84" si="170">Y82-M82</f>
        <v>21458.850000000006</v>
      </c>
      <c r="BT82" s="46">
        <f t="shared" si="170"/>
        <v>-2280.679999999993</v>
      </c>
      <c r="BU82" s="46">
        <f t="shared" si="170"/>
        <v>-183048.86</v>
      </c>
      <c r="BV82" s="46">
        <f t="shared" si="170"/>
        <v>-212047</v>
      </c>
      <c r="BW82" s="46">
        <f t="shared" si="170"/>
        <v>-136499</v>
      </c>
      <c r="BX82" s="46">
        <f t="shared" si="170"/>
        <v>-119078</v>
      </c>
      <c r="BY82" s="46">
        <f t="shared" si="170"/>
        <v>-72558</v>
      </c>
      <c r="BZ82" s="46">
        <f t="shared" si="170"/>
        <v>-105949</v>
      </c>
      <c r="CA82" s="271">
        <f t="shared" si="170"/>
        <v>-14212</v>
      </c>
      <c r="CB82" s="271">
        <f t="shared" si="170"/>
        <v>-5983</v>
      </c>
      <c r="CC82" s="271">
        <f t="shared" ref="CC82:CL84" si="171">AI82-W82</f>
        <v>22054</v>
      </c>
      <c r="CD82" s="271">
        <f t="shared" si="171"/>
        <v>34361</v>
      </c>
      <c r="CE82" s="312">
        <f t="shared" si="171"/>
        <v>80991</v>
      </c>
      <c r="CF82" s="312">
        <f t="shared" si="171"/>
        <v>181717</v>
      </c>
      <c r="CG82" s="312">
        <f t="shared" si="171"/>
        <v>331152</v>
      </c>
      <c r="CH82" s="312">
        <f t="shared" si="171"/>
        <v>191736</v>
      </c>
      <c r="CI82" s="312">
        <f t="shared" si="171"/>
        <v>193875</v>
      </c>
      <c r="CJ82" s="312">
        <f t="shared" si="171"/>
        <v>161163</v>
      </c>
      <c r="CK82" s="312">
        <f t="shared" si="171"/>
        <v>103998</v>
      </c>
      <c r="CL82" s="312">
        <f t="shared" si="171"/>
        <v>81274</v>
      </c>
      <c r="CM82" s="312">
        <f t="shared" ref="CM82:CS84" si="172">AS82-AG82</f>
        <v>78426</v>
      </c>
      <c r="CN82" s="312">
        <f t="shared" si="172"/>
        <v>58099</v>
      </c>
      <c r="CO82" s="312">
        <f t="shared" si="172"/>
        <v>17280</v>
      </c>
      <c r="CP82" s="312">
        <f t="shared" si="172"/>
        <v>60792</v>
      </c>
      <c r="CQ82" s="312">
        <f t="shared" si="172"/>
        <v>-31169</v>
      </c>
      <c r="CR82" s="312">
        <f t="shared" si="172"/>
        <v>-73448</v>
      </c>
      <c r="CS82" s="312">
        <f t="shared" si="172"/>
        <v>-166108</v>
      </c>
      <c r="CT82" s="350"/>
      <c r="CU82" s="67">
        <f>'MONTHLY SUMMARIES'!J54</f>
        <v>471278</v>
      </c>
    </row>
    <row r="83" spans="1:99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/>
      <c r="BA83" s="297"/>
      <c r="BB83" s="297"/>
      <c r="BC83" s="297"/>
      <c r="BD83" s="297"/>
      <c r="BE83" s="297"/>
      <c r="BF83" s="297"/>
      <c r="BG83" s="297"/>
      <c r="BH83" s="297"/>
      <c r="BI83" s="45">
        <f t="shared" si="169"/>
        <v>2640.5200000000186</v>
      </c>
      <c r="BJ83" s="46">
        <f t="shared" si="169"/>
        <v>-2095.1499999999942</v>
      </c>
      <c r="BK83" s="46">
        <f t="shared" si="169"/>
        <v>-155057.34999999998</v>
      </c>
      <c r="BL83" s="46">
        <f t="shared" si="169"/>
        <v>-25015.440000000002</v>
      </c>
      <c r="BM83" s="46">
        <f t="shared" si="169"/>
        <v>-14370.229999999996</v>
      </c>
      <c r="BN83" s="46">
        <f t="shared" si="169"/>
        <v>-10844.599999999999</v>
      </c>
      <c r="BO83" s="46">
        <f t="shared" si="169"/>
        <v>-111401.06</v>
      </c>
      <c r="BP83" s="46">
        <f t="shared" si="169"/>
        <v>-2208.2700000000004</v>
      </c>
      <c r="BQ83" s="46">
        <f t="shared" si="169"/>
        <v>-1254.0400000000009</v>
      </c>
      <c r="BR83" s="46">
        <f t="shared" si="169"/>
        <v>92356.36</v>
      </c>
      <c r="BS83" s="46">
        <f t="shared" si="170"/>
        <v>-103785.92000000001</v>
      </c>
      <c r="BT83" s="46">
        <f t="shared" si="170"/>
        <v>6444.6399999999994</v>
      </c>
      <c r="BU83" s="46">
        <f t="shared" si="170"/>
        <v>-116307.23000000001</v>
      </c>
      <c r="BV83" s="46">
        <f t="shared" si="170"/>
        <v>-113559</v>
      </c>
      <c r="BW83" s="46">
        <f t="shared" si="170"/>
        <v>-50289</v>
      </c>
      <c r="BX83" s="46">
        <f t="shared" si="170"/>
        <v>-3294</v>
      </c>
      <c r="BY83" s="46">
        <f t="shared" si="170"/>
        <v>-21389</v>
      </c>
      <c r="BZ83" s="46">
        <f t="shared" si="170"/>
        <v>-2878</v>
      </c>
      <c r="CA83" s="271">
        <f t="shared" si="170"/>
        <v>-7960</v>
      </c>
      <c r="CB83" s="271">
        <f t="shared" si="170"/>
        <v>2922</v>
      </c>
      <c r="CC83" s="271">
        <f t="shared" si="171"/>
        <v>15264</v>
      </c>
      <c r="CD83" s="271">
        <f t="shared" si="171"/>
        <v>-87633</v>
      </c>
      <c r="CE83" s="312">
        <f t="shared" si="171"/>
        <v>115744</v>
      </c>
      <c r="CF83" s="312">
        <f t="shared" si="171"/>
        <v>136644</v>
      </c>
      <c r="CG83" s="312">
        <f t="shared" si="171"/>
        <v>95855</v>
      </c>
      <c r="CH83" s="312">
        <f t="shared" si="171"/>
        <v>50816</v>
      </c>
      <c r="CI83" s="312">
        <f t="shared" si="171"/>
        <v>68701</v>
      </c>
      <c r="CJ83" s="312">
        <f t="shared" si="171"/>
        <v>-1799</v>
      </c>
      <c r="CK83" s="312">
        <f t="shared" si="171"/>
        <v>28469</v>
      </c>
      <c r="CL83" s="312">
        <f t="shared" si="171"/>
        <v>22942</v>
      </c>
      <c r="CM83" s="312">
        <f t="shared" si="172"/>
        <v>31345</v>
      </c>
      <c r="CN83" s="312">
        <f t="shared" si="172"/>
        <v>52307</v>
      </c>
      <c r="CO83" s="312">
        <f t="shared" si="172"/>
        <v>30720</v>
      </c>
      <c r="CP83" s="312">
        <f t="shared" si="172"/>
        <v>73355</v>
      </c>
      <c r="CQ83" s="312">
        <f t="shared" si="172"/>
        <v>-57779</v>
      </c>
      <c r="CR83" s="312">
        <f t="shared" si="172"/>
        <v>-113561</v>
      </c>
      <c r="CS83" s="312">
        <f t="shared" si="172"/>
        <v>-48627</v>
      </c>
      <c r="CT83" s="350"/>
      <c r="CU83" s="67">
        <f>'MONTHLY SUMMARIES'!J55</f>
        <v>146854</v>
      </c>
    </row>
    <row r="84" spans="1:99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/>
      <c r="BA84" s="297"/>
      <c r="BB84" s="297"/>
      <c r="BC84" s="297"/>
      <c r="BD84" s="297"/>
      <c r="BE84" s="297"/>
      <c r="BF84" s="297"/>
      <c r="BG84" s="297"/>
      <c r="BH84" s="297"/>
      <c r="BI84" s="45">
        <f t="shared" si="169"/>
        <v>323.52999999999884</v>
      </c>
      <c r="BJ84" s="46">
        <f t="shared" si="169"/>
        <v>-50467.759999999995</v>
      </c>
      <c r="BK84" s="46">
        <f t="shared" si="169"/>
        <v>-34622.01</v>
      </c>
      <c r="BL84" s="46">
        <f t="shared" si="169"/>
        <v>-42924.51</v>
      </c>
      <c r="BM84" s="46">
        <f t="shared" si="169"/>
        <v>-106.0099999999984</v>
      </c>
      <c r="BN84" s="46">
        <f t="shared" si="169"/>
        <v>12366.220000000001</v>
      </c>
      <c r="BO84" s="46">
        <f t="shared" si="169"/>
        <v>2630.42</v>
      </c>
      <c r="BP84" s="46">
        <f t="shared" si="169"/>
        <v>37909.54</v>
      </c>
      <c r="BQ84" s="46">
        <f t="shared" si="169"/>
        <v>30496</v>
      </c>
      <c r="BR84" s="46">
        <f t="shared" si="169"/>
        <v>-42428.89</v>
      </c>
      <c r="BS84" s="46">
        <f t="shared" si="170"/>
        <v>34425.17</v>
      </c>
      <c r="BT84" s="46">
        <f t="shared" si="170"/>
        <v>55888.85</v>
      </c>
      <c r="BU84" s="46">
        <f t="shared" si="170"/>
        <v>13255</v>
      </c>
      <c r="BV84" s="46">
        <f t="shared" si="170"/>
        <v>6381</v>
      </c>
      <c r="BW84" s="46">
        <f t="shared" si="170"/>
        <v>14137</v>
      </c>
      <c r="BX84" s="46">
        <f t="shared" si="170"/>
        <v>51890</v>
      </c>
      <c r="BY84" s="46">
        <f t="shared" si="170"/>
        <v>70484</v>
      </c>
      <c r="BZ84" s="46">
        <f t="shared" si="170"/>
        <v>7411</v>
      </c>
      <c r="CA84" s="271">
        <f t="shared" si="170"/>
        <v>39922</v>
      </c>
      <c r="CB84" s="271">
        <f t="shared" si="170"/>
        <v>18510</v>
      </c>
      <c r="CC84" s="271">
        <f t="shared" si="171"/>
        <v>-10798</v>
      </c>
      <c r="CD84" s="271">
        <f t="shared" si="171"/>
        <v>8338</v>
      </c>
      <c r="CE84" s="312">
        <f t="shared" si="171"/>
        <v>4188</v>
      </c>
      <c r="CF84" s="312">
        <f t="shared" si="171"/>
        <v>3882</v>
      </c>
      <c r="CG84" s="312">
        <f t="shared" si="171"/>
        <v>34938</v>
      </c>
      <c r="CH84" s="312">
        <f t="shared" si="171"/>
        <v>84900</v>
      </c>
      <c r="CI84" s="312">
        <f t="shared" si="171"/>
        <v>97717</v>
      </c>
      <c r="CJ84" s="312">
        <f t="shared" si="171"/>
        <v>236842</v>
      </c>
      <c r="CK84" s="312">
        <f t="shared" si="171"/>
        <v>13476</v>
      </c>
      <c r="CL84" s="312">
        <f t="shared" si="171"/>
        <v>36317</v>
      </c>
      <c r="CM84" s="312">
        <f t="shared" si="172"/>
        <v>71183</v>
      </c>
      <c r="CN84" s="312">
        <f t="shared" si="172"/>
        <v>-40342</v>
      </c>
      <c r="CO84" s="312">
        <f t="shared" si="172"/>
        <v>32530</v>
      </c>
      <c r="CP84" s="312">
        <f t="shared" si="172"/>
        <v>169712</v>
      </c>
      <c r="CQ84" s="312">
        <f t="shared" si="172"/>
        <v>106543</v>
      </c>
      <c r="CR84" s="312">
        <f t="shared" si="172"/>
        <v>-4275</v>
      </c>
      <c r="CS84" s="312">
        <f t="shared" si="172"/>
        <v>8609</v>
      </c>
      <c r="CT84" s="350"/>
      <c r="CU84" s="67">
        <f>'MONTHLY SUMMARIES'!J56</f>
        <v>112031</v>
      </c>
    </row>
    <row r="85" spans="1:99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73">SUM(D76:D84)</f>
        <v>3945992.5199999996</v>
      </c>
      <c r="E85" s="145">
        <f t="shared" si="173"/>
        <v>3980253.44</v>
      </c>
      <c r="F85" s="145">
        <f t="shared" si="173"/>
        <v>2802118.7199999997</v>
      </c>
      <c r="G85" s="145">
        <f t="shared" si="173"/>
        <v>1733721.1300000001</v>
      </c>
      <c r="H85" s="145">
        <f t="shared" si="173"/>
        <v>1110669.9800000002</v>
      </c>
      <c r="I85" s="145">
        <f t="shared" si="173"/>
        <v>861182.1</v>
      </c>
      <c r="J85" s="145">
        <f t="shared" si="173"/>
        <v>653775.91999999993</v>
      </c>
      <c r="K85" s="145">
        <f t="shared" si="173"/>
        <v>626933.32000000007</v>
      </c>
      <c r="L85" s="146">
        <f t="shared" si="173"/>
        <v>807336.52</v>
      </c>
      <c r="M85" s="145">
        <f t="shared" si="173"/>
        <v>1398239.76</v>
      </c>
      <c r="N85" s="145">
        <f t="shared" si="173"/>
        <v>2400224.8199999998</v>
      </c>
      <c r="O85" s="145">
        <f t="shared" si="173"/>
        <v>3389410.51</v>
      </c>
      <c r="P85" s="145">
        <f t="shared" si="173"/>
        <v>3869168</v>
      </c>
      <c r="Q85" s="145">
        <f t="shared" ref="Q85:V85" si="174">SUM(Q76:Q84)</f>
        <v>3277087</v>
      </c>
      <c r="R85" s="145">
        <f t="shared" si="174"/>
        <v>2927147</v>
      </c>
      <c r="S85" s="145">
        <f t="shared" si="174"/>
        <v>1981578</v>
      </c>
      <c r="T85" s="145">
        <f t="shared" si="174"/>
        <v>1131123</v>
      </c>
      <c r="U85" s="145">
        <f t="shared" si="174"/>
        <v>806526</v>
      </c>
      <c r="V85" s="145">
        <f t="shared" si="174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/>
      <c r="BA85" s="298"/>
      <c r="BB85" s="298"/>
      <c r="BC85" s="298"/>
      <c r="BD85" s="298"/>
      <c r="BE85" s="298"/>
      <c r="BF85" s="298"/>
      <c r="BG85" s="298"/>
      <c r="BH85" s="298"/>
      <c r="BI85" s="47">
        <f>SUM(BI76:BI84)</f>
        <v>121566.80999999968</v>
      </c>
      <c r="BJ85" s="147">
        <f t="shared" ref="BJ85:BL85" si="175">SUM(BJ76:BJ84)</f>
        <v>-76824.520000000091</v>
      </c>
      <c r="BK85" s="147">
        <f t="shared" si="175"/>
        <v>-703166.44</v>
      </c>
      <c r="BL85" s="147">
        <f t="shared" si="175"/>
        <v>125028.27999999997</v>
      </c>
      <c r="BM85" s="147">
        <f t="shared" ref="BM85:BN85" si="176">SUM(BM76:BM84)</f>
        <v>247856.86999999994</v>
      </c>
      <c r="BN85" s="147">
        <f t="shared" si="176"/>
        <v>20453.019999999968</v>
      </c>
      <c r="BO85" s="147">
        <f t="shared" ref="BO85:BP85" si="177">SUM(BO76:BO84)</f>
        <v>-54656.099999999991</v>
      </c>
      <c r="BP85" s="147">
        <f t="shared" si="177"/>
        <v>103940.08000000002</v>
      </c>
      <c r="BQ85" s="147">
        <f t="shared" ref="BQ85:BR85" si="178">SUM(BQ76:BQ84)</f>
        <v>132047.67999999999</v>
      </c>
      <c r="BR85" s="147">
        <f t="shared" si="178"/>
        <v>113769.48</v>
      </c>
      <c r="BS85" s="147">
        <f t="shared" ref="BS85:BT85" si="179">SUM(BS76:BS84)</f>
        <v>-71159.760000000053</v>
      </c>
      <c r="BT85" s="147">
        <f t="shared" si="179"/>
        <v>42512.18</v>
      </c>
      <c r="BU85" s="147">
        <f t="shared" ref="BU85:BV85" si="180">SUM(BU76:BU84)</f>
        <v>-65265.509999999806</v>
      </c>
      <c r="BV85" s="147">
        <f t="shared" si="180"/>
        <v>-215264</v>
      </c>
      <c r="BW85" s="147">
        <f t="shared" ref="BW85:BX85" si="181">SUM(BW76:BW84)</f>
        <v>99329</v>
      </c>
      <c r="BX85" s="147">
        <f t="shared" si="181"/>
        <v>-258195</v>
      </c>
      <c r="BY85" s="147">
        <f t="shared" ref="BY85:BZ85" si="182">SUM(BY76:BY84)</f>
        <v>-493039</v>
      </c>
      <c r="BZ85" s="147">
        <f t="shared" si="182"/>
        <v>-183904</v>
      </c>
      <c r="CA85" s="272">
        <f t="shared" ref="CA85:CB85" si="183">SUM(CA76:CA84)</f>
        <v>-72850</v>
      </c>
      <c r="CB85" s="272">
        <f t="shared" si="183"/>
        <v>-87176</v>
      </c>
      <c r="CC85" s="272">
        <f t="shared" ref="CC85:CE85" si="184">SUM(CC76:CC84)</f>
        <v>-64449</v>
      </c>
      <c r="CD85" s="272">
        <f t="shared" si="184"/>
        <v>-237132</v>
      </c>
      <c r="CE85" s="313">
        <f t="shared" si="184"/>
        <v>90884</v>
      </c>
      <c r="CF85" s="313">
        <f t="shared" ref="CF85:CG85" si="185">SUM(CF76:CF84)</f>
        <v>514083</v>
      </c>
      <c r="CG85" s="313">
        <f t="shared" si="185"/>
        <v>703055</v>
      </c>
      <c r="CH85" s="313">
        <f t="shared" ref="CH85:CI85" si="186">SUM(CH76:CH84)</f>
        <v>849638</v>
      </c>
      <c r="CI85" s="313">
        <f t="shared" si="186"/>
        <v>817587</v>
      </c>
      <c r="CJ85" s="313">
        <f t="shared" ref="CJ85" si="187">SUM(CJ76:CJ84)</f>
        <v>976243</v>
      </c>
      <c r="CK85" s="313">
        <f t="shared" ref="CK85" si="188">SUM(CK76:CK84)</f>
        <v>554852</v>
      </c>
      <c r="CL85" s="313">
        <f t="shared" ref="CL85" si="189">SUM(CL76:CL84)</f>
        <v>412622</v>
      </c>
      <c r="CM85" s="313">
        <f t="shared" ref="CM85" si="190">SUM(CM76:CM84)</f>
        <v>538347</v>
      </c>
      <c r="CN85" s="313">
        <f t="shared" ref="CN85" si="191">SUM(CN76:CN84)</f>
        <v>241458</v>
      </c>
      <c r="CO85" s="313">
        <f t="shared" ref="CO85" si="192">SUM(CO76:CO84)</f>
        <v>313492</v>
      </c>
      <c r="CP85" s="313">
        <f t="shared" ref="CP85" si="193">SUM(CP76:CP84)</f>
        <v>911367</v>
      </c>
      <c r="CQ85" s="313">
        <f t="shared" ref="CQ85:CS85" si="194">SUM(CQ76:CQ84)</f>
        <v>543839</v>
      </c>
      <c r="CR85" s="313">
        <f t="shared" ref="CR85:CS85" si="195">SUM(CR76:CR84)</f>
        <v>492297</v>
      </c>
      <c r="CS85" s="313">
        <f t="shared" si="195"/>
        <v>283813</v>
      </c>
      <c r="CT85" s="351"/>
      <c r="CU85" s="262">
        <f>CU76+CU79+CU82+CU83+CU84</f>
        <v>4311013</v>
      </c>
    </row>
    <row r="86" spans="1:9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50"/>
      <c r="CU86" s="52"/>
    </row>
    <row r="87" spans="1:99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/>
      <c r="BA87" s="297"/>
      <c r="BB87" s="297"/>
      <c r="BC87" s="297"/>
      <c r="BD87" s="297"/>
      <c r="BE87" s="297"/>
      <c r="BF87" s="297"/>
      <c r="BG87" s="297"/>
      <c r="BH87" s="297"/>
      <c r="BI87" s="45">
        <f t="shared" ref="BI87:CS87" si="196">O87-C87</f>
        <v>115449.58999999985</v>
      </c>
      <c r="BJ87" s="46">
        <f t="shared" si="196"/>
        <v>479481.6799999997</v>
      </c>
      <c r="BK87" s="46">
        <f t="shared" si="196"/>
        <v>1237864.7799999993</v>
      </c>
      <c r="BL87" s="46">
        <f t="shared" si="196"/>
        <v>1514408.0899999999</v>
      </c>
      <c r="BM87" s="46">
        <f t="shared" si="196"/>
        <v>1993400.9700000007</v>
      </c>
      <c r="BN87" s="46">
        <f t="shared" si="196"/>
        <v>2951801.6400000006</v>
      </c>
      <c r="BO87" s="46">
        <f t="shared" si="196"/>
        <v>3357407.62</v>
      </c>
      <c r="BP87" s="46">
        <f t="shared" si="196"/>
        <v>3695921.6799999997</v>
      </c>
      <c r="BQ87" s="46">
        <f t="shared" si="196"/>
        <v>3831542.33</v>
      </c>
      <c r="BR87" s="46">
        <f t="shared" si="196"/>
        <v>3735421.66</v>
      </c>
      <c r="BS87" s="46">
        <f t="shared" si="196"/>
        <v>3698632.4000000004</v>
      </c>
      <c r="BT87" s="46">
        <f t="shared" si="196"/>
        <v>3611074.2</v>
      </c>
      <c r="BU87" s="46">
        <f t="shared" si="196"/>
        <v>3309628.49</v>
      </c>
      <c r="BV87" s="46">
        <f t="shared" si="196"/>
        <v>3265486</v>
      </c>
      <c r="BW87" s="46">
        <f t="shared" si="196"/>
        <v>3176552</v>
      </c>
      <c r="BX87" s="46">
        <f t="shared" si="196"/>
        <v>2880246</v>
      </c>
      <c r="BY87" s="46">
        <f t="shared" si="196"/>
        <v>1357747</v>
      </c>
      <c r="BZ87" s="46">
        <f t="shared" si="196"/>
        <v>190035</v>
      </c>
      <c r="CA87" s="271">
        <f t="shared" si="196"/>
        <v>-228099</v>
      </c>
      <c r="CB87" s="271">
        <f t="shared" si="196"/>
        <v>-737550</v>
      </c>
      <c r="CC87" s="271">
        <f t="shared" si="196"/>
        <v>-968541</v>
      </c>
      <c r="CD87" s="271">
        <f t="shared" si="196"/>
        <v>-1045517</v>
      </c>
      <c r="CE87" s="312">
        <f t="shared" si="196"/>
        <v>-963388</v>
      </c>
      <c r="CF87" s="312">
        <f t="shared" si="196"/>
        <v>-948370</v>
      </c>
      <c r="CG87" s="312">
        <f t="shared" si="196"/>
        <v>-858876</v>
      </c>
      <c r="CH87" s="312">
        <f t="shared" si="196"/>
        <v>-877461</v>
      </c>
      <c r="CI87" s="312">
        <f t="shared" si="196"/>
        <v>-1461629</v>
      </c>
      <c r="CJ87" s="312">
        <f t="shared" si="196"/>
        <v>-1426207</v>
      </c>
      <c r="CK87" s="312">
        <f t="shared" si="196"/>
        <v>-395580</v>
      </c>
      <c r="CL87" s="312">
        <f t="shared" si="196"/>
        <v>102887</v>
      </c>
      <c r="CM87" s="312">
        <f t="shared" si="196"/>
        <v>444728</v>
      </c>
      <c r="CN87" s="312">
        <f t="shared" si="196"/>
        <v>390102</v>
      </c>
      <c r="CO87" s="312">
        <f t="shared" si="196"/>
        <v>213971</v>
      </c>
      <c r="CP87" s="312">
        <f t="shared" si="196"/>
        <v>333001</v>
      </c>
      <c r="CQ87" s="312">
        <f t="shared" si="196"/>
        <v>538002</v>
      </c>
      <c r="CR87" s="312">
        <f t="shared" si="196"/>
        <v>491273</v>
      </c>
      <c r="CS87" s="312">
        <f t="shared" si="196"/>
        <v>821613</v>
      </c>
      <c r="CT87" s="350"/>
      <c r="CU87" s="67">
        <f>'MONTHLY SUMMARIES'!J59</f>
        <v>10992036</v>
      </c>
    </row>
    <row r="88" spans="1:99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/>
      <c r="BA88" s="297"/>
      <c r="BB88" s="297"/>
      <c r="BC88" s="297"/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50"/>
      <c r="CU88" s="81">
        <f>CU87-CU89</f>
        <v>10975097</v>
      </c>
    </row>
    <row r="89" spans="1:99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/>
      <c r="BA89" s="297"/>
      <c r="BB89" s="297"/>
      <c r="BC89" s="297"/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50"/>
      <c r="CU89" s="67">
        <f>GETPIVOTDATA("VALUE",'CRS ESCO pvt'!$I$2,"DATE_FILE",$CU$8,"COMPANY",$CU$6,"TRIM_CAT","Resdiential-ESCO","TRIM_LINE",A86)</f>
        <v>16939</v>
      </c>
    </row>
    <row r="90" spans="1:99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/>
      <c r="BA90" s="297"/>
      <c r="BB90" s="297"/>
      <c r="BC90" s="297"/>
      <c r="BD90" s="297"/>
      <c r="BE90" s="297"/>
      <c r="BF90" s="297"/>
      <c r="BG90" s="297"/>
      <c r="BH90" s="297"/>
      <c r="BI90" s="45">
        <f t="shared" ref="BI90:CS90" si="197">O90-C90</f>
        <v>382264.25</v>
      </c>
      <c r="BJ90" s="46">
        <f t="shared" si="197"/>
        <v>494012.56000000006</v>
      </c>
      <c r="BK90" s="46">
        <f t="shared" si="197"/>
        <v>598891</v>
      </c>
      <c r="BL90" s="46">
        <f t="shared" si="197"/>
        <v>626888.74000000022</v>
      </c>
      <c r="BM90" s="46">
        <f t="shared" si="197"/>
        <v>917463.75</v>
      </c>
      <c r="BN90" s="46">
        <f t="shared" si="197"/>
        <v>1073719.2200000002</v>
      </c>
      <c r="BO90" s="46">
        <f t="shared" si="197"/>
        <v>1194757.8799999999</v>
      </c>
      <c r="BP90" s="46">
        <f t="shared" si="197"/>
        <v>1220237.1000000001</v>
      </c>
      <c r="BQ90" s="46">
        <f t="shared" si="197"/>
        <v>1339534.8999999999</v>
      </c>
      <c r="BR90" s="46">
        <f t="shared" si="197"/>
        <v>1273406.9700000002</v>
      </c>
      <c r="BS90" s="46">
        <f t="shared" si="197"/>
        <v>1292291.1200000001</v>
      </c>
      <c r="BT90" s="46">
        <f t="shared" si="197"/>
        <v>1304466.67</v>
      </c>
      <c r="BU90" s="46">
        <f t="shared" si="197"/>
        <v>1234614.8199999998</v>
      </c>
      <c r="BV90" s="46">
        <f t="shared" si="197"/>
        <v>1256562</v>
      </c>
      <c r="BW90" s="46">
        <f t="shared" si="197"/>
        <v>1324008</v>
      </c>
      <c r="BX90" s="46">
        <f t="shared" si="197"/>
        <v>1450151</v>
      </c>
      <c r="BY90" s="46">
        <f t="shared" si="197"/>
        <v>939444</v>
      </c>
      <c r="BZ90" s="46">
        <f t="shared" si="197"/>
        <v>697259</v>
      </c>
      <c r="CA90" s="271">
        <f t="shared" si="197"/>
        <v>456724</v>
      </c>
      <c r="CB90" s="271">
        <f t="shared" si="197"/>
        <v>205329</v>
      </c>
      <c r="CC90" s="271">
        <f t="shared" si="197"/>
        <v>-83344</v>
      </c>
      <c r="CD90" s="271">
        <f t="shared" si="197"/>
        <v>-43811</v>
      </c>
      <c r="CE90" s="312">
        <f t="shared" si="197"/>
        <v>-49241</v>
      </c>
      <c r="CF90" s="312">
        <f t="shared" si="197"/>
        <v>-21467</v>
      </c>
      <c r="CG90" s="312">
        <f t="shared" si="197"/>
        <v>91089</v>
      </c>
      <c r="CH90" s="312">
        <f t="shared" si="197"/>
        <v>201907</v>
      </c>
      <c r="CI90" s="312">
        <f t="shared" si="197"/>
        <v>186838</v>
      </c>
      <c r="CJ90" s="312">
        <f t="shared" si="197"/>
        <v>89589</v>
      </c>
      <c r="CK90" s="312">
        <f t="shared" si="197"/>
        <v>204253</v>
      </c>
      <c r="CL90" s="312">
        <f t="shared" si="197"/>
        <v>401180</v>
      </c>
      <c r="CM90" s="312">
        <f t="shared" si="197"/>
        <v>507627</v>
      </c>
      <c r="CN90" s="312">
        <f t="shared" si="197"/>
        <v>523178</v>
      </c>
      <c r="CO90" s="312">
        <f t="shared" si="197"/>
        <v>791920</v>
      </c>
      <c r="CP90" s="312">
        <f t="shared" si="197"/>
        <v>777854</v>
      </c>
      <c r="CQ90" s="312">
        <f t="shared" si="197"/>
        <v>923726</v>
      </c>
      <c r="CR90" s="312">
        <f t="shared" si="197"/>
        <v>883711</v>
      </c>
      <c r="CS90" s="312">
        <f t="shared" si="197"/>
        <v>1046842</v>
      </c>
      <c r="CT90" s="350"/>
      <c r="CU90" s="67">
        <f>'MONTHLY SUMMARIES'!J60</f>
        <v>6443620</v>
      </c>
    </row>
    <row r="91" spans="1:99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/>
      <c r="BA91" s="297"/>
      <c r="BB91" s="297"/>
      <c r="BC91" s="297"/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50"/>
      <c r="CU91" s="81">
        <f>CU90-CU92</f>
        <v>6420270</v>
      </c>
    </row>
    <row r="92" spans="1:99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/>
      <c r="BA92" s="297"/>
      <c r="BB92" s="297"/>
      <c r="BC92" s="297"/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50"/>
      <c r="CU92" s="67">
        <f>GETPIVOTDATA("VALUE",'CRS ESCO pvt'!$I$2,"DATE_FILE",$CU$8,"COMPANY",$CU$6,"TRIM_CAT","Low Income Resdiential-ESCO","TRIM_LINE",A86)</f>
        <v>23350</v>
      </c>
    </row>
    <row r="93" spans="1:99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/>
      <c r="BA93" s="297"/>
      <c r="BB93" s="297"/>
      <c r="BC93" s="297"/>
      <c r="BD93" s="297"/>
      <c r="BE93" s="297"/>
      <c r="BF93" s="297"/>
      <c r="BG93" s="297"/>
      <c r="BH93" s="297"/>
      <c r="BI93" s="45">
        <f t="shared" ref="BI93:BR95" si="198">O93-C93</f>
        <v>13079.679999999993</v>
      </c>
      <c r="BJ93" s="46">
        <f t="shared" si="198"/>
        <v>309089.83999999997</v>
      </c>
      <c r="BK93" s="46">
        <f t="shared" si="198"/>
        <v>551872.17999999993</v>
      </c>
      <c r="BL93" s="46">
        <f t="shared" si="198"/>
        <v>645953.66999999993</v>
      </c>
      <c r="BM93" s="46">
        <f t="shared" si="198"/>
        <v>732209.62</v>
      </c>
      <c r="BN93" s="46">
        <f t="shared" si="198"/>
        <v>740202.26</v>
      </c>
      <c r="BO93" s="46">
        <f t="shared" si="198"/>
        <v>786602.94</v>
      </c>
      <c r="BP93" s="46">
        <f t="shared" si="198"/>
        <v>733534.46</v>
      </c>
      <c r="BQ93" s="46">
        <f t="shared" si="198"/>
        <v>620270.30000000005</v>
      </c>
      <c r="BR93" s="46">
        <f t="shared" si="198"/>
        <v>558163.19999999995</v>
      </c>
      <c r="BS93" s="46">
        <f t="shared" ref="BS93:CB95" si="199">Y93-M93</f>
        <v>513955.08999999997</v>
      </c>
      <c r="BT93" s="46">
        <f t="shared" si="199"/>
        <v>508508.44</v>
      </c>
      <c r="BU93" s="46">
        <f t="shared" si="199"/>
        <v>503946.28</v>
      </c>
      <c r="BV93" s="46">
        <f t="shared" si="199"/>
        <v>254472</v>
      </c>
      <c r="BW93" s="46">
        <f t="shared" si="199"/>
        <v>45295</v>
      </c>
      <c r="BX93" s="46">
        <f t="shared" si="199"/>
        <v>13471</v>
      </c>
      <c r="BY93" s="46">
        <f t="shared" si="199"/>
        <v>3531</v>
      </c>
      <c r="BZ93" s="46">
        <f t="shared" si="199"/>
        <v>-9297</v>
      </c>
      <c r="CA93" s="271">
        <f t="shared" si="199"/>
        <v>-225236</v>
      </c>
      <c r="CB93" s="271">
        <f t="shared" si="199"/>
        <v>-232047</v>
      </c>
      <c r="CC93" s="271">
        <f t="shared" ref="CC93:CL95" si="200">AI93-W93</f>
        <v>-156874</v>
      </c>
      <c r="CD93" s="271">
        <f t="shared" si="200"/>
        <v>-154452</v>
      </c>
      <c r="CE93" s="312">
        <f t="shared" si="200"/>
        <v>-93129</v>
      </c>
      <c r="CF93" s="312">
        <f t="shared" si="200"/>
        <v>-73717</v>
      </c>
      <c r="CG93" s="312">
        <f t="shared" si="200"/>
        <v>-33442</v>
      </c>
      <c r="CH93" s="312">
        <f t="shared" si="200"/>
        <v>-56759</v>
      </c>
      <c r="CI93" s="312">
        <f t="shared" si="200"/>
        <v>-36037</v>
      </c>
      <c r="CJ93" s="312">
        <f t="shared" si="200"/>
        <v>-30137</v>
      </c>
      <c r="CK93" s="312">
        <f t="shared" si="200"/>
        <v>-29787</v>
      </c>
      <c r="CL93" s="312">
        <f t="shared" si="200"/>
        <v>-90224</v>
      </c>
      <c r="CM93" s="312">
        <f t="shared" ref="CM93:CS95" si="201">AS93-AG93</f>
        <v>79129</v>
      </c>
      <c r="CN93" s="312">
        <f t="shared" si="201"/>
        <v>72873</v>
      </c>
      <c r="CO93" s="312">
        <f t="shared" si="201"/>
        <v>33837</v>
      </c>
      <c r="CP93" s="312">
        <f t="shared" si="201"/>
        <v>66645</v>
      </c>
      <c r="CQ93" s="312">
        <f t="shared" si="201"/>
        <v>53700</v>
      </c>
      <c r="CR93" s="312">
        <f t="shared" si="201"/>
        <v>13052</v>
      </c>
      <c r="CS93" s="312">
        <f t="shared" si="201"/>
        <v>-14786</v>
      </c>
      <c r="CT93" s="350"/>
      <c r="CU93" s="67">
        <f>'MONTHLY SUMMARIES'!J61</f>
        <v>685540</v>
      </c>
    </row>
    <row r="94" spans="1:99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/>
      <c r="BA94" s="297"/>
      <c r="BB94" s="297"/>
      <c r="BC94" s="297"/>
      <c r="BD94" s="297"/>
      <c r="BE94" s="297"/>
      <c r="BF94" s="297"/>
      <c r="BG94" s="297"/>
      <c r="BH94" s="297"/>
      <c r="BI94" s="45">
        <f t="shared" si="198"/>
        <v>-103496.98999999999</v>
      </c>
      <c r="BJ94" s="46">
        <f t="shared" si="198"/>
        <v>148741.22</v>
      </c>
      <c r="BK94" s="46">
        <f t="shared" si="198"/>
        <v>200935.05</v>
      </c>
      <c r="BL94" s="46">
        <f t="shared" si="198"/>
        <v>82770.020000000019</v>
      </c>
      <c r="BM94" s="46">
        <f t="shared" si="198"/>
        <v>12005.179999999993</v>
      </c>
      <c r="BN94" s="46">
        <f t="shared" si="198"/>
        <v>-31893.409999999974</v>
      </c>
      <c r="BO94" s="46">
        <f t="shared" si="198"/>
        <v>12198.820000000007</v>
      </c>
      <c r="BP94" s="46">
        <f t="shared" si="198"/>
        <v>-186314.99</v>
      </c>
      <c r="BQ94" s="46">
        <f t="shared" si="198"/>
        <v>-146491.90000000002</v>
      </c>
      <c r="BR94" s="46">
        <f t="shared" si="198"/>
        <v>-176986.65000000002</v>
      </c>
      <c r="BS94" s="46">
        <f t="shared" si="199"/>
        <v>56092.94</v>
      </c>
      <c r="BT94" s="46">
        <f t="shared" si="199"/>
        <v>37699.510000000009</v>
      </c>
      <c r="BU94" s="46">
        <f t="shared" si="199"/>
        <v>45613.489999999991</v>
      </c>
      <c r="BV94" s="46">
        <f t="shared" si="199"/>
        <v>-60851</v>
      </c>
      <c r="BW94" s="46">
        <f t="shared" si="199"/>
        <v>-120423</v>
      </c>
      <c r="BX94" s="46">
        <f t="shared" si="199"/>
        <v>-111027</v>
      </c>
      <c r="BY94" s="46">
        <f t="shared" si="199"/>
        <v>-60869</v>
      </c>
      <c r="BZ94" s="46">
        <f t="shared" si="199"/>
        <v>-8915</v>
      </c>
      <c r="CA94" s="271">
        <f t="shared" si="199"/>
        <v>-91</v>
      </c>
      <c r="CB94" s="271">
        <f t="shared" si="199"/>
        <v>22718</v>
      </c>
      <c r="CC94" s="271">
        <f t="shared" si="200"/>
        <v>31019</v>
      </c>
      <c r="CD94" s="271">
        <f t="shared" si="200"/>
        <v>52815</v>
      </c>
      <c r="CE94" s="312">
        <f t="shared" si="200"/>
        <v>-14130</v>
      </c>
      <c r="CF94" s="312">
        <f t="shared" si="200"/>
        <v>30903</v>
      </c>
      <c r="CG94" s="312">
        <f t="shared" si="200"/>
        <v>74497</v>
      </c>
      <c r="CH94" s="312">
        <f t="shared" si="200"/>
        <v>91073</v>
      </c>
      <c r="CI94" s="312">
        <f t="shared" si="200"/>
        <v>34791</v>
      </c>
      <c r="CJ94" s="312">
        <f t="shared" si="200"/>
        <v>-126649</v>
      </c>
      <c r="CK94" s="312">
        <f t="shared" si="200"/>
        <v>-88921</v>
      </c>
      <c r="CL94" s="312">
        <f t="shared" si="200"/>
        <v>-80625</v>
      </c>
      <c r="CM94" s="312">
        <f t="shared" si="201"/>
        <v>-54799</v>
      </c>
      <c r="CN94" s="312">
        <f t="shared" si="201"/>
        <v>43476</v>
      </c>
      <c r="CO94" s="312">
        <f t="shared" si="201"/>
        <v>40785</v>
      </c>
      <c r="CP94" s="312">
        <f t="shared" si="201"/>
        <v>53952</v>
      </c>
      <c r="CQ94" s="312">
        <f t="shared" si="201"/>
        <v>36957</v>
      </c>
      <c r="CR94" s="312">
        <f t="shared" si="201"/>
        <v>27084</v>
      </c>
      <c r="CS94" s="312">
        <f t="shared" si="201"/>
        <v>6666</v>
      </c>
      <c r="CT94" s="350"/>
      <c r="CU94" s="67">
        <f>'MONTHLY SUMMARIES'!J62</f>
        <v>307019</v>
      </c>
    </row>
    <row r="95" spans="1:99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/>
      <c r="BA95" s="297"/>
      <c r="BB95" s="297"/>
      <c r="BC95" s="297"/>
      <c r="BD95" s="297"/>
      <c r="BE95" s="297"/>
      <c r="BF95" s="297"/>
      <c r="BG95" s="297"/>
      <c r="BH95" s="297"/>
      <c r="BI95" s="45">
        <f t="shared" si="198"/>
        <v>73928.42</v>
      </c>
      <c r="BJ95" s="46">
        <f t="shared" si="198"/>
        <v>21314.28</v>
      </c>
      <c r="BK95" s="46">
        <f t="shared" si="198"/>
        <v>-37560.31</v>
      </c>
      <c r="BL95" s="46">
        <f t="shared" si="198"/>
        <v>-39913.17</v>
      </c>
      <c r="BM95" s="46">
        <f t="shared" si="198"/>
        <v>-72458.64</v>
      </c>
      <c r="BN95" s="46">
        <f t="shared" si="198"/>
        <v>133861.78</v>
      </c>
      <c r="BO95" s="46">
        <f t="shared" si="198"/>
        <v>131332.78</v>
      </c>
      <c r="BP95" s="46">
        <f t="shared" si="198"/>
        <v>122752.01000000001</v>
      </c>
      <c r="BQ95" s="46">
        <f t="shared" si="198"/>
        <v>143637.08000000002</v>
      </c>
      <c r="BR95" s="46">
        <f t="shared" si="198"/>
        <v>127685.42</v>
      </c>
      <c r="BS95" s="46">
        <f t="shared" si="199"/>
        <v>85694.5</v>
      </c>
      <c r="BT95" s="46">
        <f t="shared" si="199"/>
        <v>123325.34</v>
      </c>
      <c r="BU95" s="46">
        <f t="shared" si="199"/>
        <v>156808.33000000002</v>
      </c>
      <c r="BV95" s="46">
        <f t="shared" si="199"/>
        <v>219887</v>
      </c>
      <c r="BW95" s="46">
        <f t="shared" si="199"/>
        <v>235653</v>
      </c>
      <c r="BX95" s="46">
        <f t="shared" si="199"/>
        <v>265120</v>
      </c>
      <c r="BY95" s="46">
        <f t="shared" si="199"/>
        <v>301707</v>
      </c>
      <c r="BZ95" s="46">
        <f t="shared" si="199"/>
        <v>186588</v>
      </c>
      <c r="CA95" s="271">
        <f t="shared" si="199"/>
        <v>197519</v>
      </c>
      <c r="CB95" s="271">
        <f t="shared" si="199"/>
        <v>217552</v>
      </c>
      <c r="CC95" s="271">
        <f t="shared" si="200"/>
        <v>215802</v>
      </c>
      <c r="CD95" s="271">
        <f t="shared" si="200"/>
        <v>245674</v>
      </c>
      <c r="CE95" s="312">
        <f t="shared" si="200"/>
        <v>261035</v>
      </c>
      <c r="CF95" s="312">
        <f t="shared" si="200"/>
        <v>238093</v>
      </c>
      <c r="CG95" s="312">
        <f t="shared" si="200"/>
        <v>239168</v>
      </c>
      <c r="CH95" s="312">
        <f t="shared" si="200"/>
        <v>28444</v>
      </c>
      <c r="CI95" s="312">
        <f t="shared" si="200"/>
        <v>-5628</v>
      </c>
      <c r="CJ95" s="312">
        <f t="shared" si="200"/>
        <v>-29224</v>
      </c>
      <c r="CK95" s="312">
        <f t="shared" si="200"/>
        <v>44303</v>
      </c>
      <c r="CL95" s="312">
        <f t="shared" si="200"/>
        <v>48426</v>
      </c>
      <c r="CM95" s="312">
        <f t="shared" si="201"/>
        <v>-145197</v>
      </c>
      <c r="CN95" s="312">
        <f t="shared" si="201"/>
        <v>-275342</v>
      </c>
      <c r="CO95" s="312">
        <f t="shared" si="201"/>
        <v>-307733</v>
      </c>
      <c r="CP95" s="312">
        <f t="shared" si="201"/>
        <v>-354225</v>
      </c>
      <c r="CQ95" s="312">
        <f t="shared" si="201"/>
        <v>-361864</v>
      </c>
      <c r="CR95" s="312">
        <f t="shared" si="201"/>
        <v>-368925</v>
      </c>
      <c r="CS95" s="312">
        <f t="shared" si="201"/>
        <v>-385231</v>
      </c>
      <c r="CT95" s="350"/>
      <c r="CU95" s="67">
        <f>'MONTHLY SUMMARIES'!J63</f>
        <v>85066</v>
      </c>
    </row>
    <row r="96" spans="1:99" s="134" customFormat="1" x14ac:dyDescent="0.3">
      <c r="A96" s="151"/>
      <c r="B96" s="41" t="s">
        <v>42</v>
      </c>
      <c r="C96" s="144">
        <f t="shared" ref="C96:P96" si="202">SUM(C87:C95)</f>
        <v>11793904.639999999</v>
      </c>
      <c r="D96" s="145">
        <f t="shared" si="202"/>
        <v>12611592.42</v>
      </c>
      <c r="E96" s="145">
        <f t="shared" si="202"/>
        <v>13401108.300000001</v>
      </c>
      <c r="F96" s="145">
        <f t="shared" si="202"/>
        <v>14456982.65</v>
      </c>
      <c r="G96" s="145">
        <f t="shared" si="202"/>
        <v>14725343.120000001</v>
      </c>
      <c r="H96" s="145">
        <f t="shared" si="202"/>
        <v>13915970.51</v>
      </c>
      <c r="I96" s="145">
        <f t="shared" si="202"/>
        <v>13083845.960000001</v>
      </c>
      <c r="J96" s="145">
        <f t="shared" si="202"/>
        <v>12337428.74</v>
      </c>
      <c r="K96" s="145">
        <f t="shared" si="202"/>
        <v>11787119.289999999</v>
      </c>
      <c r="L96" s="146">
        <f t="shared" si="202"/>
        <v>11716952.4</v>
      </c>
      <c r="M96" s="145">
        <f t="shared" si="202"/>
        <v>11158942.950000001</v>
      </c>
      <c r="N96" s="145">
        <f t="shared" si="202"/>
        <v>11288590.84</v>
      </c>
      <c r="O96" s="145">
        <f t="shared" si="202"/>
        <v>12275129.59</v>
      </c>
      <c r="P96" s="145">
        <f t="shared" si="202"/>
        <v>14064232</v>
      </c>
      <c r="Q96" s="145">
        <f t="shared" ref="Q96:BI96" si="203">SUM(Q87:Q95)</f>
        <v>15953111</v>
      </c>
      <c r="R96" s="145">
        <f t="shared" si="203"/>
        <v>17287090</v>
      </c>
      <c r="S96" s="145">
        <f t="shared" si="203"/>
        <v>18307964</v>
      </c>
      <c r="T96" s="145">
        <f t="shared" si="203"/>
        <v>18783662</v>
      </c>
      <c r="U96" s="145">
        <f t="shared" si="203"/>
        <v>18566146</v>
      </c>
      <c r="V96" s="145">
        <f t="shared" si="203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/>
      <c r="BA96" s="298"/>
      <c r="BB96" s="298"/>
      <c r="BC96" s="298"/>
      <c r="BD96" s="298"/>
      <c r="BE96" s="298"/>
      <c r="BF96" s="298"/>
      <c r="BG96" s="298"/>
      <c r="BH96" s="298"/>
      <c r="BI96" s="47">
        <f t="shared" si="203"/>
        <v>481224.94999999984</v>
      </c>
      <c r="BJ96" s="147">
        <f t="shared" ref="BJ96:BL96" si="204">SUM(BJ87:BJ95)</f>
        <v>1452639.5799999996</v>
      </c>
      <c r="BK96" s="147">
        <f t="shared" si="204"/>
        <v>2552002.6999999988</v>
      </c>
      <c r="BL96" s="147">
        <f t="shared" si="204"/>
        <v>2830107.35</v>
      </c>
      <c r="BM96" s="147">
        <f t="shared" ref="BM96:BN96" si="205">SUM(BM87:BM95)</f>
        <v>3582620.8800000008</v>
      </c>
      <c r="BN96" s="147">
        <f t="shared" si="205"/>
        <v>4867691.4900000012</v>
      </c>
      <c r="BO96" s="147">
        <f t="shared" ref="BO96:BP96" si="206">SUM(BO87:BO95)</f>
        <v>5482300.04</v>
      </c>
      <c r="BP96" s="147">
        <f t="shared" si="206"/>
        <v>5586130.2599999988</v>
      </c>
      <c r="BQ96" s="147">
        <f t="shared" ref="BQ96:BR96" si="207">SUM(BQ87:BQ95)</f>
        <v>5788492.71</v>
      </c>
      <c r="BR96" s="147">
        <f t="shared" si="207"/>
        <v>5517690.6000000006</v>
      </c>
      <c r="BS96" s="147">
        <f t="shared" ref="BS96:BT96" si="208">SUM(BS87:BS95)</f>
        <v>5646666.0500000007</v>
      </c>
      <c r="BT96" s="147">
        <f t="shared" si="208"/>
        <v>5585074.1600000001</v>
      </c>
      <c r="BU96" s="147">
        <f t="shared" ref="BU96:BV96" si="209">SUM(BU87:BU95)</f>
        <v>5250611.4100000011</v>
      </c>
      <c r="BV96" s="147">
        <f t="shared" si="209"/>
        <v>4935556</v>
      </c>
      <c r="BW96" s="147">
        <f t="shared" ref="BW96:BX96" si="210">SUM(BW87:BW95)</f>
        <v>4661085</v>
      </c>
      <c r="BX96" s="147">
        <f t="shared" si="210"/>
        <v>4497961</v>
      </c>
      <c r="BY96" s="147">
        <f t="shared" ref="BY96:BZ96" si="211">SUM(BY87:BY95)</f>
        <v>2541560</v>
      </c>
      <c r="BZ96" s="147">
        <f t="shared" si="211"/>
        <v>1055670</v>
      </c>
      <c r="CA96" s="272">
        <f t="shared" ref="CA96:CB96" si="212">SUM(CA87:CA95)</f>
        <v>200817</v>
      </c>
      <c r="CB96" s="272">
        <f t="shared" si="212"/>
        <v>-523998</v>
      </c>
      <c r="CC96" s="272">
        <f t="shared" ref="CC96:CE96" si="213">SUM(CC87:CC95)</f>
        <v>-961938</v>
      </c>
      <c r="CD96" s="272">
        <f t="shared" si="213"/>
        <v>-945291</v>
      </c>
      <c r="CE96" s="313">
        <f t="shared" si="213"/>
        <v>-858853</v>
      </c>
      <c r="CF96" s="313">
        <f t="shared" ref="CF96:CG96" si="214">SUM(CF87:CF95)</f>
        <v>-774558</v>
      </c>
      <c r="CG96" s="313">
        <f t="shared" si="214"/>
        <v>-487564</v>
      </c>
      <c r="CH96" s="313">
        <f t="shared" ref="CH96:CI96" si="215">SUM(CH87:CH95)</f>
        <v>-612796</v>
      </c>
      <c r="CI96" s="313">
        <f t="shared" si="215"/>
        <v>-1281665</v>
      </c>
      <c r="CJ96" s="313">
        <f t="shared" ref="CJ96" si="216">SUM(CJ87:CJ95)</f>
        <v>-1522628</v>
      </c>
      <c r="CK96" s="313">
        <f t="shared" ref="CK96" si="217">SUM(CK87:CK95)</f>
        <v>-265732</v>
      </c>
      <c r="CL96" s="313">
        <f t="shared" ref="CL96" si="218">SUM(CL87:CL95)</f>
        <v>381644</v>
      </c>
      <c r="CM96" s="313">
        <f t="shared" ref="CM96" si="219">SUM(CM87:CM95)</f>
        <v>831488</v>
      </c>
      <c r="CN96" s="313">
        <f t="shared" ref="CN96" si="220">SUM(CN87:CN95)</f>
        <v>754287</v>
      </c>
      <c r="CO96" s="313">
        <f t="shared" ref="CO96" si="221">SUM(CO87:CO95)</f>
        <v>772780</v>
      </c>
      <c r="CP96" s="313">
        <f t="shared" ref="CP96" si="222">SUM(CP87:CP95)</f>
        <v>877227</v>
      </c>
      <c r="CQ96" s="313">
        <f t="shared" ref="CQ96:CS96" si="223">SUM(CQ87:CQ95)</f>
        <v>1190521</v>
      </c>
      <c r="CR96" s="313">
        <f t="shared" ref="CR96:CS96" si="224">SUM(CR87:CR95)</f>
        <v>1046195</v>
      </c>
      <c r="CS96" s="313">
        <f t="shared" si="224"/>
        <v>1475104</v>
      </c>
      <c r="CT96" s="351"/>
      <c r="CU96" s="262">
        <f>CU87+CU90+CU93+CU94+CU95</f>
        <v>18513281</v>
      </c>
    </row>
    <row r="97" spans="1:10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50"/>
      <c r="CU97" s="52"/>
    </row>
    <row r="98" spans="1:100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/>
      <c r="BA98" s="297"/>
      <c r="BB98" s="297"/>
      <c r="BC98" s="297"/>
      <c r="BD98" s="297"/>
      <c r="BE98" s="297"/>
      <c r="BF98" s="297"/>
      <c r="BG98" s="297"/>
      <c r="BH98" s="297"/>
      <c r="BI98" s="45">
        <f t="shared" ref="BI98:CS98" si="225">O98-C98</f>
        <v>-460438.40000000037</v>
      </c>
      <c r="BJ98" s="46">
        <f t="shared" si="225"/>
        <v>-554904.4299999997</v>
      </c>
      <c r="BK98" s="46">
        <f t="shared" si="225"/>
        <v>774598.15000000037</v>
      </c>
      <c r="BL98" s="46">
        <f t="shared" si="225"/>
        <v>2052587.9299999997</v>
      </c>
      <c r="BM98" s="46">
        <f t="shared" si="225"/>
        <v>1920416.3499999996</v>
      </c>
      <c r="BN98" s="46">
        <f t="shared" si="225"/>
        <v>2887905.8100000005</v>
      </c>
      <c r="BO98" s="46">
        <f t="shared" si="225"/>
        <v>3370173.09</v>
      </c>
      <c r="BP98" s="46">
        <f t="shared" si="225"/>
        <v>3819098.1099999994</v>
      </c>
      <c r="BQ98" s="46">
        <f t="shared" si="225"/>
        <v>3876406.0399999991</v>
      </c>
      <c r="BR98" s="46">
        <f t="shared" si="225"/>
        <v>3775641.92</v>
      </c>
      <c r="BS98" s="46">
        <f t="shared" si="225"/>
        <v>3579027.0299999993</v>
      </c>
      <c r="BT98" s="46">
        <f t="shared" si="225"/>
        <v>3739350.6999999993</v>
      </c>
      <c r="BU98" s="46">
        <f t="shared" si="225"/>
        <v>3676309.0999999996</v>
      </c>
      <c r="BV98" s="46">
        <f t="shared" si="225"/>
        <v>3335162</v>
      </c>
      <c r="BW98" s="46">
        <f t="shared" si="225"/>
        <v>2924054</v>
      </c>
      <c r="BX98" s="46">
        <f t="shared" si="225"/>
        <v>2045875</v>
      </c>
      <c r="BY98" s="46">
        <f t="shared" si="225"/>
        <v>832402</v>
      </c>
      <c r="BZ98" s="46">
        <f t="shared" si="225"/>
        <v>-41851</v>
      </c>
      <c r="CA98" s="271">
        <f t="shared" si="225"/>
        <v>-421114</v>
      </c>
      <c r="CB98" s="271">
        <f t="shared" si="225"/>
        <v>-939894</v>
      </c>
      <c r="CC98" s="271">
        <f t="shared" si="225"/>
        <v>-1170271</v>
      </c>
      <c r="CD98" s="271">
        <f t="shared" si="225"/>
        <v>-1380157</v>
      </c>
      <c r="CE98" s="312">
        <f t="shared" si="225"/>
        <v>-494880</v>
      </c>
      <c r="CF98" s="312">
        <f t="shared" si="225"/>
        <v>-395194</v>
      </c>
      <c r="CG98" s="312">
        <f t="shared" si="225"/>
        <v>53866</v>
      </c>
      <c r="CH98" s="312">
        <f t="shared" si="225"/>
        <v>123313</v>
      </c>
      <c r="CI98" s="312">
        <f t="shared" si="225"/>
        <v>-337968</v>
      </c>
      <c r="CJ98" s="312">
        <f t="shared" si="225"/>
        <v>-414433</v>
      </c>
      <c r="CK98" s="312">
        <f t="shared" si="225"/>
        <v>319344</v>
      </c>
      <c r="CL98" s="312">
        <f t="shared" si="225"/>
        <v>678908</v>
      </c>
      <c r="CM98" s="312">
        <f t="shared" si="225"/>
        <v>1138481</v>
      </c>
      <c r="CN98" s="312">
        <f t="shared" si="225"/>
        <v>689023</v>
      </c>
      <c r="CO98" s="312">
        <f t="shared" si="225"/>
        <v>911610</v>
      </c>
      <c r="CP98" s="312">
        <f t="shared" si="225"/>
        <v>2092331</v>
      </c>
      <c r="CQ98" s="312">
        <f t="shared" si="225"/>
        <v>1733768</v>
      </c>
      <c r="CR98" s="312">
        <f t="shared" si="225"/>
        <v>1815963</v>
      </c>
      <c r="CS98" s="312">
        <f t="shared" si="225"/>
        <v>1480668</v>
      </c>
      <c r="CT98" s="350"/>
      <c r="CU98" s="67">
        <f>'MONTHLY SUMMARIES'!J66</f>
        <v>18981066</v>
      </c>
    </row>
    <row r="99" spans="1:100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/>
      <c r="BA99" s="297"/>
      <c r="BB99" s="297"/>
      <c r="BC99" s="297"/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50"/>
      <c r="CU99" s="81">
        <f>CU98-CU100</f>
        <v>18912075</v>
      </c>
    </row>
    <row r="100" spans="1:100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50"/>
      <c r="CU100" s="67">
        <f>GETPIVOTDATA("VALUE",'CRS ESCO pvt'!$I$2,"DATE_FILE",$CU$8,"COMPANY",$CU$6,"TRIM_CAT","Resdiential-ESCO","TRIM_LINE",A97)</f>
        <v>68991</v>
      </c>
    </row>
    <row r="101" spans="1:100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45">
        <f t="shared" ref="BI101:CS101" si="226">O101-C101</f>
        <v>246906.08000000007</v>
      </c>
      <c r="BJ101" s="46">
        <f t="shared" si="226"/>
        <v>277837.58000000007</v>
      </c>
      <c r="BK101" s="46">
        <f t="shared" si="226"/>
        <v>360776.95999999996</v>
      </c>
      <c r="BL101" s="46">
        <f t="shared" si="226"/>
        <v>559369.91999999993</v>
      </c>
      <c r="BM101" s="46">
        <f t="shared" si="226"/>
        <v>830816.38999999966</v>
      </c>
      <c r="BN101" s="46">
        <f t="shared" si="226"/>
        <v>1027519.0700000003</v>
      </c>
      <c r="BO101" s="46">
        <f t="shared" si="226"/>
        <v>1192867.58</v>
      </c>
      <c r="BP101" s="46">
        <f t="shared" si="226"/>
        <v>1205801.2300000004</v>
      </c>
      <c r="BQ101" s="46">
        <f t="shared" si="226"/>
        <v>1334555.0499999998</v>
      </c>
      <c r="BR101" s="46">
        <f t="shared" si="226"/>
        <v>1291734.4000000004</v>
      </c>
      <c r="BS101" s="46">
        <f t="shared" si="226"/>
        <v>1288161.7400000002</v>
      </c>
      <c r="BT101" s="46">
        <f t="shared" si="226"/>
        <v>1382847.25</v>
      </c>
      <c r="BU101" s="46">
        <f t="shared" si="226"/>
        <v>1498846.0499999998</v>
      </c>
      <c r="BV101" s="46">
        <f t="shared" si="226"/>
        <v>1592806</v>
      </c>
      <c r="BW101" s="46">
        <f t="shared" si="226"/>
        <v>1555386</v>
      </c>
      <c r="BX101" s="46">
        <f t="shared" si="226"/>
        <v>1609471</v>
      </c>
      <c r="BY101" s="46">
        <f t="shared" si="226"/>
        <v>1014543</v>
      </c>
      <c r="BZ101" s="46">
        <f t="shared" si="226"/>
        <v>783145</v>
      </c>
      <c r="CA101" s="271">
        <f t="shared" si="226"/>
        <v>497334</v>
      </c>
      <c r="CB101" s="271">
        <f t="shared" si="226"/>
        <v>245255</v>
      </c>
      <c r="CC101" s="271">
        <f t="shared" si="226"/>
        <v>-89087</v>
      </c>
      <c r="CD101" s="271">
        <f t="shared" si="226"/>
        <v>-30783</v>
      </c>
      <c r="CE101" s="312">
        <f t="shared" si="226"/>
        <v>148071</v>
      </c>
      <c r="CF101" s="312">
        <f t="shared" si="226"/>
        <v>305585</v>
      </c>
      <c r="CG101" s="312">
        <f t="shared" si="226"/>
        <v>511481</v>
      </c>
      <c r="CH101" s="312">
        <f t="shared" si="226"/>
        <v>499418</v>
      </c>
      <c r="CI101" s="312">
        <f t="shared" si="226"/>
        <v>561190</v>
      </c>
      <c r="CJ101" s="312">
        <f t="shared" si="226"/>
        <v>399793</v>
      </c>
      <c r="CK101" s="312">
        <f t="shared" si="226"/>
        <v>388932</v>
      </c>
      <c r="CL101" s="312">
        <f t="shared" si="226"/>
        <v>561151</v>
      </c>
      <c r="CM101" s="312">
        <f t="shared" si="226"/>
        <v>703331</v>
      </c>
      <c r="CN101" s="312">
        <f t="shared" si="226"/>
        <v>647686</v>
      </c>
      <c r="CO101" s="312">
        <f t="shared" si="226"/>
        <v>1056395</v>
      </c>
      <c r="CP101" s="312">
        <f t="shared" si="226"/>
        <v>1265468</v>
      </c>
      <c r="CQ101" s="312">
        <f t="shared" si="226"/>
        <v>1424066</v>
      </c>
      <c r="CR101" s="312">
        <f t="shared" si="226"/>
        <v>1421843</v>
      </c>
      <c r="CS101" s="312">
        <f t="shared" si="226"/>
        <v>1400210</v>
      </c>
      <c r="CT101" s="350"/>
      <c r="CU101" s="67">
        <f>'MONTHLY SUMMARIES'!J67</f>
        <v>8527824</v>
      </c>
    </row>
    <row r="102" spans="1:100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50"/>
      <c r="CU102" s="81">
        <f>CU101-CU103</f>
        <v>8490608</v>
      </c>
    </row>
    <row r="103" spans="1:100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50"/>
      <c r="CU103" s="67">
        <f>GETPIVOTDATA("VALUE",'CRS ESCO pvt'!$I$2,"DATE_FILE",$CU$8,"COMPANY",$CU$6,"TRIM_CAT","Low Income Resdiential-ESCO","TRIM_LINE",A97)</f>
        <v>37216</v>
      </c>
    </row>
    <row r="104" spans="1:100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45">
        <f t="shared" ref="BI104:BR106" si="227">O104-C104</f>
        <v>7239.7900000000373</v>
      </c>
      <c r="BJ104" s="46">
        <f t="shared" si="227"/>
        <v>601360.54</v>
      </c>
      <c r="BK104" s="46">
        <f t="shared" si="227"/>
        <v>768410.24</v>
      </c>
      <c r="BL104" s="46">
        <f t="shared" si="227"/>
        <v>867755.37</v>
      </c>
      <c r="BM104" s="46">
        <f t="shared" si="227"/>
        <v>776160.73</v>
      </c>
      <c r="BN104" s="46">
        <f t="shared" si="227"/>
        <v>791041.06</v>
      </c>
      <c r="BO104" s="46">
        <f t="shared" si="227"/>
        <v>767169.7</v>
      </c>
      <c r="BP104" s="46">
        <f t="shared" si="227"/>
        <v>747476.31</v>
      </c>
      <c r="BQ104" s="46">
        <f t="shared" si="227"/>
        <v>614715.63</v>
      </c>
      <c r="BR104" s="46">
        <f t="shared" si="227"/>
        <v>470998.48</v>
      </c>
      <c r="BS104" s="46">
        <f t="shared" ref="BS104:CB106" si="228">Y104-M104</f>
        <v>695149.42</v>
      </c>
      <c r="BT104" s="46">
        <f t="shared" si="228"/>
        <v>409390.78</v>
      </c>
      <c r="BU104" s="46">
        <f t="shared" si="228"/>
        <v>270822.24</v>
      </c>
      <c r="BV104" s="46">
        <f t="shared" si="228"/>
        <v>-431916</v>
      </c>
      <c r="BW104" s="46">
        <f t="shared" si="228"/>
        <v>-334579</v>
      </c>
      <c r="BX104" s="46">
        <f t="shared" si="228"/>
        <v>-238104</v>
      </c>
      <c r="BY104" s="46">
        <f t="shared" si="228"/>
        <v>-140083</v>
      </c>
      <c r="BZ104" s="46">
        <f t="shared" si="228"/>
        <v>-100800</v>
      </c>
      <c r="CA104" s="271">
        <f t="shared" si="228"/>
        <v>-208095</v>
      </c>
      <c r="CB104" s="271">
        <f t="shared" si="228"/>
        <v>-153554</v>
      </c>
      <c r="CC104" s="271">
        <f t="shared" ref="CC104:CL106" si="229">AI104-W104</f>
        <v>-4368</v>
      </c>
      <c r="CD104" s="271">
        <f t="shared" si="229"/>
        <v>5466</v>
      </c>
      <c r="CE104" s="312">
        <f t="shared" si="229"/>
        <v>765608</v>
      </c>
      <c r="CF104" s="312">
        <f t="shared" si="229"/>
        <v>801331</v>
      </c>
      <c r="CG104" s="312">
        <f t="shared" si="229"/>
        <v>1112098</v>
      </c>
      <c r="CH104" s="312">
        <f t="shared" si="229"/>
        <v>561781</v>
      </c>
      <c r="CI104" s="312">
        <f t="shared" si="229"/>
        <v>572891</v>
      </c>
      <c r="CJ104" s="312">
        <f t="shared" si="229"/>
        <v>425378</v>
      </c>
      <c r="CK104" s="312">
        <f t="shared" si="229"/>
        <v>290128</v>
      </c>
      <c r="CL104" s="312">
        <f t="shared" si="229"/>
        <v>117931</v>
      </c>
      <c r="CM104" s="312">
        <f t="shared" ref="CM104:CS106" si="230">AS104-AG104</f>
        <v>285843</v>
      </c>
      <c r="CN104" s="312">
        <f t="shared" si="230"/>
        <v>159174</v>
      </c>
      <c r="CO104" s="312">
        <f t="shared" si="230"/>
        <v>70448</v>
      </c>
      <c r="CP104" s="312">
        <f t="shared" si="230"/>
        <v>384824</v>
      </c>
      <c r="CQ104" s="312">
        <f t="shared" si="230"/>
        <v>-520693</v>
      </c>
      <c r="CR104" s="312">
        <f t="shared" si="230"/>
        <v>-623619</v>
      </c>
      <c r="CS104" s="312">
        <f t="shared" si="230"/>
        <v>-532924</v>
      </c>
      <c r="CT104" s="350"/>
      <c r="CU104" s="67">
        <f>'MONTHLY SUMMARIES'!J68</f>
        <v>2449488</v>
      </c>
    </row>
    <row r="105" spans="1:100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45">
        <f t="shared" si="227"/>
        <v>-506766.73</v>
      </c>
      <c r="BJ105" s="46">
        <f t="shared" si="227"/>
        <v>-100231.21999999997</v>
      </c>
      <c r="BK105" s="46">
        <f t="shared" si="227"/>
        <v>94070.430000000051</v>
      </c>
      <c r="BL105" s="46">
        <f t="shared" si="227"/>
        <v>79372.050000000047</v>
      </c>
      <c r="BM105" s="46">
        <f t="shared" si="227"/>
        <v>-41141.050000000047</v>
      </c>
      <c r="BN105" s="46">
        <f t="shared" si="227"/>
        <v>-139927.80000000005</v>
      </c>
      <c r="BO105" s="46">
        <f t="shared" si="227"/>
        <v>-162673.20999999996</v>
      </c>
      <c r="BP105" s="46">
        <f t="shared" si="227"/>
        <v>-191451.03999999998</v>
      </c>
      <c r="BQ105" s="46">
        <f t="shared" si="227"/>
        <v>-44077</v>
      </c>
      <c r="BR105" s="46">
        <f t="shared" si="227"/>
        <v>-242036.59999999998</v>
      </c>
      <c r="BS105" s="46">
        <f t="shared" si="228"/>
        <v>19135.390000000014</v>
      </c>
      <c r="BT105" s="46">
        <f t="shared" si="228"/>
        <v>97984.170000000042</v>
      </c>
      <c r="BU105" s="46">
        <f t="shared" si="228"/>
        <v>-81703.050000000047</v>
      </c>
      <c r="BV105" s="46">
        <f t="shared" si="228"/>
        <v>-360116</v>
      </c>
      <c r="BW105" s="46">
        <f t="shared" si="228"/>
        <v>-316791</v>
      </c>
      <c r="BX105" s="46">
        <f t="shared" si="228"/>
        <v>-130080</v>
      </c>
      <c r="BY105" s="46">
        <f t="shared" si="228"/>
        <v>-85587</v>
      </c>
      <c r="BZ105" s="46">
        <f t="shared" si="228"/>
        <v>-40384</v>
      </c>
      <c r="CA105" s="271">
        <f t="shared" si="228"/>
        <v>8071</v>
      </c>
      <c r="CB105" s="271">
        <f t="shared" si="228"/>
        <v>68088</v>
      </c>
      <c r="CC105" s="271">
        <f t="shared" si="229"/>
        <v>-25834</v>
      </c>
      <c r="CD105" s="271">
        <f t="shared" si="229"/>
        <v>141451</v>
      </c>
      <c r="CE105" s="312">
        <f t="shared" si="229"/>
        <v>455781</v>
      </c>
      <c r="CF105" s="312">
        <f t="shared" si="229"/>
        <v>378526</v>
      </c>
      <c r="CG105" s="312">
        <f t="shared" si="229"/>
        <v>399435</v>
      </c>
      <c r="CH105" s="312">
        <f t="shared" si="229"/>
        <v>282402</v>
      </c>
      <c r="CI105" s="312">
        <f t="shared" si="229"/>
        <v>298572</v>
      </c>
      <c r="CJ105" s="312">
        <f t="shared" si="229"/>
        <v>7446</v>
      </c>
      <c r="CK105" s="312">
        <f t="shared" si="229"/>
        <v>-7758</v>
      </c>
      <c r="CL105" s="312">
        <f t="shared" si="229"/>
        <v>25790</v>
      </c>
      <c r="CM105" s="312">
        <f t="shared" si="230"/>
        <v>41223</v>
      </c>
      <c r="CN105" s="312">
        <f t="shared" si="230"/>
        <v>124109</v>
      </c>
      <c r="CO105" s="312">
        <f t="shared" si="230"/>
        <v>156628</v>
      </c>
      <c r="CP105" s="312">
        <f t="shared" si="230"/>
        <v>152275</v>
      </c>
      <c r="CQ105" s="312">
        <f t="shared" si="230"/>
        <v>-250383</v>
      </c>
      <c r="CR105" s="312">
        <f t="shared" si="230"/>
        <v>-449421</v>
      </c>
      <c r="CS105" s="312">
        <f t="shared" si="230"/>
        <v>-195367</v>
      </c>
      <c r="CT105" s="350"/>
      <c r="CU105" s="67">
        <f>'MONTHLY SUMMARIES'!J69</f>
        <v>923108</v>
      </c>
    </row>
    <row r="106" spans="1:100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45">
        <f t="shared" si="227"/>
        <v>122329.35999999999</v>
      </c>
      <c r="BJ106" s="46">
        <f t="shared" si="227"/>
        <v>65911.539999999979</v>
      </c>
      <c r="BK106" s="46">
        <f t="shared" si="227"/>
        <v>-218259.91999999998</v>
      </c>
      <c r="BL106" s="46">
        <f t="shared" si="227"/>
        <v>9401.7799999999988</v>
      </c>
      <c r="BM106" s="46">
        <f t="shared" si="227"/>
        <v>-33273.06</v>
      </c>
      <c r="BN106" s="46">
        <f t="shared" si="227"/>
        <v>216161.41999999998</v>
      </c>
      <c r="BO106" s="46">
        <f t="shared" si="227"/>
        <v>175197.22</v>
      </c>
      <c r="BP106" s="46">
        <f t="shared" si="227"/>
        <v>257743.79</v>
      </c>
      <c r="BQ106" s="46">
        <f t="shared" si="227"/>
        <v>118747.73999999999</v>
      </c>
      <c r="BR106" s="46">
        <f t="shared" si="227"/>
        <v>147368.5</v>
      </c>
      <c r="BS106" s="46">
        <f t="shared" si="228"/>
        <v>224351.39</v>
      </c>
      <c r="BT106" s="46">
        <f t="shared" si="228"/>
        <v>248714.75</v>
      </c>
      <c r="BU106" s="46">
        <f t="shared" si="228"/>
        <v>98922.700000000012</v>
      </c>
      <c r="BV106" s="46">
        <f t="shared" si="228"/>
        <v>51192</v>
      </c>
      <c r="BW106" s="46">
        <f t="shared" si="228"/>
        <v>246614</v>
      </c>
      <c r="BX106" s="46">
        <f t="shared" si="228"/>
        <v>384121</v>
      </c>
      <c r="BY106" s="46">
        <f t="shared" si="228"/>
        <v>335121</v>
      </c>
      <c r="BZ106" s="46">
        <f t="shared" si="228"/>
        <v>223428</v>
      </c>
      <c r="CA106" s="271">
        <f t="shared" si="228"/>
        <v>306385</v>
      </c>
      <c r="CB106" s="271">
        <f t="shared" si="228"/>
        <v>286087</v>
      </c>
      <c r="CC106" s="271">
        <f t="shared" si="229"/>
        <v>211842</v>
      </c>
      <c r="CD106" s="271">
        <f t="shared" si="229"/>
        <v>210697</v>
      </c>
      <c r="CE106" s="312">
        <f t="shared" si="229"/>
        <v>451557</v>
      </c>
      <c r="CF106" s="312">
        <f t="shared" si="229"/>
        <v>229509</v>
      </c>
      <c r="CG106" s="312">
        <f t="shared" si="229"/>
        <v>595580</v>
      </c>
      <c r="CH106" s="312">
        <f t="shared" si="229"/>
        <v>336258</v>
      </c>
      <c r="CI106" s="312">
        <f t="shared" si="229"/>
        <v>286443</v>
      </c>
      <c r="CJ106" s="312">
        <f t="shared" si="229"/>
        <v>336075</v>
      </c>
      <c r="CK106" s="312">
        <f t="shared" si="229"/>
        <v>79825</v>
      </c>
      <c r="CL106" s="312">
        <f t="shared" si="229"/>
        <v>121025</v>
      </c>
      <c r="CM106" s="312">
        <f t="shared" si="230"/>
        <v>-67789</v>
      </c>
      <c r="CN106" s="312">
        <f t="shared" si="230"/>
        <v>-384880</v>
      </c>
      <c r="CO106" s="312">
        <f t="shared" si="230"/>
        <v>-66038</v>
      </c>
      <c r="CP106" s="312">
        <f t="shared" si="230"/>
        <v>315418</v>
      </c>
      <c r="CQ106" s="312">
        <f t="shared" si="230"/>
        <v>-110244</v>
      </c>
      <c r="CR106" s="312">
        <f t="shared" si="230"/>
        <v>-140435</v>
      </c>
      <c r="CS106" s="312">
        <f t="shared" si="230"/>
        <v>-576513</v>
      </c>
      <c r="CT106" s="350"/>
      <c r="CU106" s="67">
        <f>'MONTHLY SUMMARIES'!J70</f>
        <v>460503</v>
      </c>
    </row>
    <row r="107" spans="1:100" s="134" customFormat="1" ht="15" thickBot="1" x14ac:dyDescent="0.35">
      <c r="A107" s="151"/>
      <c r="B107" s="54" t="s">
        <v>42</v>
      </c>
      <c r="C107" s="130">
        <f t="shared" ref="C107:V107" si="231">SUM(C98:C106)</f>
        <v>22220987.860000003</v>
      </c>
      <c r="D107" s="131">
        <f t="shared" si="231"/>
        <v>23563082.990000002</v>
      </c>
      <c r="E107" s="131">
        <f t="shared" si="231"/>
        <v>22098808.140000004</v>
      </c>
      <c r="F107" s="131">
        <f t="shared" si="231"/>
        <v>19948299.949999996</v>
      </c>
      <c r="G107" s="131">
        <f t="shared" si="231"/>
        <v>18485887.640000001</v>
      </c>
      <c r="H107" s="131">
        <f t="shared" si="231"/>
        <v>16413527.439999999</v>
      </c>
      <c r="I107" s="131">
        <f t="shared" si="231"/>
        <v>15226192.619999999</v>
      </c>
      <c r="J107" s="131">
        <f t="shared" si="231"/>
        <v>14141074.6</v>
      </c>
      <c r="K107" s="131">
        <f t="shared" si="231"/>
        <v>13940946.539999999</v>
      </c>
      <c r="L107" s="132">
        <f t="shared" si="231"/>
        <v>15149572.299999999</v>
      </c>
      <c r="M107" s="131">
        <f t="shared" si="231"/>
        <v>16612573.029999999</v>
      </c>
      <c r="N107" s="131">
        <f t="shared" si="231"/>
        <v>19349662.349999998</v>
      </c>
      <c r="O107" s="131">
        <f t="shared" si="231"/>
        <v>21630257.960000005</v>
      </c>
      <c r="P107" s="131">
        <f t="shared" si="231"/>
        <v>23853057</v>
      </c>
      <c r="Q107" s="131">
        <f t="shared" si="231"/>
        <v>23878404</v>
      </c>
      <c r="R107" s="131">
        <f t="shared" si="231"/>
        <v>23516787</v>
      </c>
      <c r="S107" s="131">
        <f t="shared" si="231"/>
        <v>21938867</v>
      </c>
      <c r="T107" s="131">
        <f t="shared" si="231"/>
        <v>21196227</v>
      </c>
      <c r="U107" s="131">
        <f t="shared" si="231"/>
        <v>20568927</v>
      </c>
      <c r="V107" s="131">
        <f t="shared" si="231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38">
        <f>SUM(BI98:BI106)</f>
        <v>-590729.90000000026</v>
      </c>
      <c r="BJ107" s="133">
        <f t="shared" ref="BJ107:BL107" si="232">SUM(BJ98:BJ106)</f>
        <v>289974.01000000042</v>
      </c>
      <c r="BK107" s="133">
        <f t="shared" si="232"/>
        <v>1779595.8600000003</v>
      </c>
      <c r="BL107" s="133">
        <f t="shared" si="232"/>
        <v>3568487.0499999993</v>
      </c>
      <c r="BM107" s="133">
        <f t="shared" ref="BM107:BN107" si="233">SUM(BM98:BM106)</f>
        <v>3452979.3599999989</v>
      </c>
      <c r="BN107" s="133">
        <f t="shared" si="233"/>
        <v>4782699.5600000015</v>
      </c>
      <c r="BO107" s="133">
        <f t="shared" ref="BO107:BP107" si="234">SUM(BO98:BO106)</f>
        <v>5342734.38</v>
      </c>
      <c r="BP107" s="133">
        <f t="shared" si="234"/>
        <v>5838668.4000000004</v>
      </c>
      <c r="BQ107" s="133">
        <f t="shared" ref="BQ107:BR107" si="235">SUM(BQ98:BQ106)</f>
        <v>5900347.459999999</v>
      </c>
      <c r="BR107" s="133">
        <f t="shared" si="235"/>
        <v>5443706.7000000011</v>
      </c>
      <c r="BS107" s="133">
        <f t="shared" ref="BS107:BT107" si="236">SUM(BS98:BS106)</f>
        <v>5805824.9699999988</v>
      </c>
      <c r="BT107" s="133">
        <f t="shared" si="236"/>
        <v>5878287.6499999994</v>
      </c>
      <c r="BU107" s="133">
        <f t="shared" ref="BU107:BV107" si="237">SUM(BU98:BU106)</f>
        <v>5463197.04</v>
      </c>
      <c r="BV107" s="133">
        <f t="shared" si="237"/>
        <v>4187128</v>
      </c>
      <c r="BW107" s="133">
        <f t="shared" ref="BW107:BX107" si="238">SUM(BW98:BW106)</f>
        <v>4074684</v>
      </c>
      <c r="BX107" s="133">
        <f t="shared" si="238"/>
        <v>3671283</v>
      </c>
      <c r="BY107" s="133">
        <f t="shared" ref="BY107:BZ107" si="239">SUM(BY98:BY106)</f>
        <v>1956396</v>
      </c>
      <c r="BZ107" s="133">
        <f t="shared" si="239"/>
        <v>823538</v>
      </c>
      <c r="CA107" s="274">
        <f t="shared" ref="CA107:CB107" si="240">SUM(CA98:CA106)</f>
        <v>182581</v>
      </c>
      <c r="CB107" s="274">
        <f t="shared" si="240"/>
        <v>-494018</v>
      </c>
      <c r="CC107" s="274">
        <f t="shared" ref="CC107:CE107" si="241">SUM(CC98:CC106)</f>
        <v>-1077718</v>
      </c>
      <c r="CD107" s="274">
        <f t="shared" si="241"/>
        <v>-1053326</v>
      </c>
      <c r="CE107" s="326">
        <f t="shared" si="241"/>
        <v>1326137</v>
      </c>
      <c r="CF107" s="326">
        <f t="shared" ref="CF107:CG107" si="242">SUM(CF98:CF106)</f>
        <v>1319757</v>
      </c>
      <c r="CG107" s="326">
        <f t="shared" si="242"/>
        <v>2672460</v>
      </c>
      <c r="CH107" s="326">
        <f t="shared" ref="CH107:CI107" si="243">SUM(CH98:CH106)</f>
        <v>1803172</v>
      </c>
      <c r="CI107" s="326">
        <f t="shared" si="243"/>
        <v>1381128</v>
      </c>
      <c r="CJ107" s="326">
        <f t="shared" ref="CJ107" si="244">SUM(CJ98:CJ106)</f>
        <v>754259</v>
      </c>
      <c r="CK107" s="326">
        <f t="shared" ref="CK107" si="245">SUM(CK98:CK106)</f>
        <v>1070471</v>
      </c>
      <c r="CL107" s="326">
        <f t="shared" ref="CL107" si="246">SUM(CL98:CL106)</f>
        <v>1504805</v>
      </c>
      <c r="CM107" s="326">
        <f t="shared" ref="CM107" si="247">SUM(CM98:CM106)</f>
        <v>2101089</v>
      </c>
      <c r="CN107" s="326">
        <f t="shared" ref="CN107" si="248">SUM(CN98:CN106)</f>
        <v>1235112</v>
      </c>
      <c r="CO107" s="326">
        <f t="shared" ref="CO107" si="249">SUM(CO98:CO106)</f>
        <v>2129043</v>
      </c>
      <c r="CP107" s="366">
        <f t="shared" ref="CP107" si="250">SUM(CP98:CP106)</f>
        <v>4210316</v>
      </c>
      <c r="CQ107" s="366">
        <f t="shared" ref="CQ107:CS107" si="251">SUM(CQ98:CQ106)</f>
        <v>2276514</v>
      </c>
      <c r="CR107" s="366">
        <f t="shared" ref="CR107:CS107" si="252">SUM(CR98:CR106)</f>
        <v>2024331</v>
      </c>
      <c r="CS107" s="366">
        <f t="shared" si="252"/>
        <v>1576074</v>
      </c>
      <c r="CT107" s="351"/>
      <c r="CU107" s="38">
        <f>CU98+CU101+CU104+CU105+CU106</f>
        <v>31341989</v>
      </c>
      <c r="CV107" s="40"/>
    </row>
    <row r="108" spans="1:10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48"/>
      <c r="CU108" s="81"/>
      <c r="CV108" s="40"/>
    </row>
    <row r="109" spans="1:100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86">
        <f t="shared" ref="BI109:BR113" si="253">O109-C109</f>
        <v>-2824898</v>
      </c>
      <c r="BJ109" s="87">
        <f t="shared" si="253"/>
        <v>2038088</v>
      </c>
      <c r="BK109" s="87">
        <f t="shared" si="253"/>
        <v>2973431</v>
      </c>
      <c r="BL109" s="87">
        <f t="shared" si="253"/>
        <v>690951</v>
      </c>
      <c r="BM109" s="87">
        <f t="shared" si="253"/>
        <v>431418</v>
      </c>
      <c r="BN109" s="87">
        <f t="shared" si="253"/>
        <v>46612</v>
      </c>
      <c r="BO109" s="87">
        <f t="shared" si="253"/>
        <v>485630</v>
      </c>
      <c r="BP109" s="87">
        <f t="shared" si="253"/>
        <v>-150487</v>
      </c>
      <c r="BQ109" s="87">
        <f t="shared" si="253"/>
        <v>-330165</v>
      </c>
      <c r="BR109" s="87">
        <f t="shared" si="253"/>
        <v>-3748839</v>
      </c>
      <c r="BS109" s="87">
        <f t="shared" ref="BS109:CB113" si="254">Y109-M109</f>
        <v>-110403</v>
      </c>
      <c r="BT109" s="87">
        <f t="shared" si="254"/>
        <v>4221373</v>
      </c>
      <c r="BU109" s="87">
        <f t="shared" si="254"/>
        <v>4294452</v>
      </c>
      <c r="BV109" s="87">
        <f t="shared" si="254"/>
        <v>-1873824</v>
      </c>
      <c r="BW109" s="87">
        <f t="shared" si="254"/>
        <v>-3562361</v>
      </c>
      <c r="BX109" s="87">
        <f t="shared" si="254"/>
        <v>-628281</v>
      </c>
      <c r="BY109" s="87">
        <f t="shared" si="254"/>
        <v>-280615</v>
      </c>
      <c r="BZ109" s="87">
        <f t="shared" si="254"/>
        <v>246379</v>
      </c>
      <c r="CA109" s="267">
        <f t="shared" si="254"/>
        <v>-345300</v>
      </c>
      <c r="CB109" s="267">
        <f t="shared" si="254"/>
        <v>-1173458</v>
      </c>
      <c r="CC109" s="267">
        <f t="shared" ref="CC109:CL113" si="255">AI109-W109</f>
        <v>-369323</v>
      </c>
      <c r="CD109" s="267">
        <f t="shared" si="255"/>
        <v>1285124</v>
      </c>
      <c r="CE109" s="309">
        <f t="shared" si="255"/>
        <v>-1606003</v>
      </c>
      <c r="CF109" s="309">
        <f t="shared" si="255"/>
        <v>369396</v>
      </c>
      <c r="CG109" s="309">
        <f t="shared" si="255"/>
        <v>-1222742</v>
      </c>
      <c r="CH109" s="309">
        <f t="shared" si="255"/>
        <v>-355281</v>
      </c>
      <c r="CI109" s="309">
        <f t="shared" si="255"/>
        <v>512269</v>
      </c>
      <c r="CJ109" s="309">
        <f t="shared" si="255"/>
        <v>-397144</v>
      </c>
      <c r="CK109" s="309">
        <f t="shared" si="255"/>
        <v>-173597</v>
      </c>
      <c r="CL109" s="309">
        <f t="shared" si="255"/>
        <v>-283369</v>
      </c>
      <c r="CM109" s="309">
        <f t="shared" ref="CM109:CS113" si="256">AS109-AG109</f>
        <v>101294</v>
      </c>
      <c r="CN109" s="309">
        <f t="shared" si="256"/>
        <v>535389</v>
      </c>
      <c r="CO109" s="309">
        <f t="shared" si="256"/>
        <v>-1331207</v>
      </c>
      <c r="CP109" s="309">
        <f t="shared" si="256"/>
        <v>-1655240</v>
      </c>
      <c r="CQ109" s="309">
        <f t="shared" si="256"/>
        <v>-1226042</v>
      </c>
      <c r="CR109" s="309">
        <f t="shared" si="256"/>
        <v>-5789725</v>
      </c>
      <c r="CS109" s="309">
        <f t="shared" si="256"/>
        <v>-1247681</v>
      </c>
      <c r="CT109" s="348"/>
      <c r="CU109" s="67">
        <f>'MONTHLY SUMMARIES'!J73</f>
        <v>21111286</v>
      </c>
      <c r="CV109" s="40"/>
    </row>
    <row r="110" spans="1:100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86">
        <f t="shared" si="253"/>
        <v>-246947</v>
      </c>
      <c r="BJ110" s="87">
        <f t="shared" si="253"/>
        <v>17926</v>
      </c>
      <c r="BK110" s="87">
        <f t="shared" si="253"/>
        <v>120169</v>
      </c>
      <c r="BL110" s="87">
        <f t="shared" si="253"/>
        <v>13719</v>
      </c>
      <c r="BM110" s="87">
        <f t="shared" si="253"/>
        <v>45364</v>
      </c>
      <c r="BN110" s="87">
        <f t="shared" si="253"/>
        <v>8335</v>
      </c>
      <c r="BO110" s="87">
        <f t="shared" si="253"/>
        <v>24162</v>
      </c>
      <c r="BP110" s="87">
        <f t="shared" si="253"/>
        <v>-640</v>
      </c>
      <c r="BQ110" s="87">
        <f t="shared" si="253"/>
        <v>63431</v>
      </c>
      <c r="BR110" s="87">
        <f t="shared" si="253"/>
        <v>-164649</v>
      </c>
      <c r="BS110" s="87">
        <f t="shared" si="254"/>
        <v>226439</v>
      </c>
      <c r="BT110" s="87">
        <f t="shared" si="254"/>
        <v>474418</v>
      </c>
      <c r="BU110" s="87">
        <f t="shared" si="254"/>
        <v>541162</v>
      </c>
      <c r="BV110" s="87">
        <f t="shared" si="254"/>
        <v>109706</v>
      </c>
      <c r="BW110" s="87">
        <f t="shared" si="254"/>
        <v>-71791</v>
      </c>
      <c r="BX110" s="87">
        <f t="shared" si="254"/>
        <v>102757</v>
      </c>
      <c r="BY110" s="87">
        <f t="shared" si="254"/>
        <v>47912</v>
      </c>
      <c r="BZ110" s="87">
        <f t="shared" si="254"/>
        <v>44471</v>
      </c>
      <c r="CA110" s="267">
        <f t="shared" si="254"/>
        <v>24538</v>
      </c>
      <c r="CB110" s="267">
        <f t="shared" si="254"/>
        <v>-28718</v>
      </c>
      <c r="CC110" s="267">
        <f t="shared" si="255"/>
        <v>87655</v>
      </c>
      <c r="CD110" s="267">
        <f t="shared" si="255"/>
        <v>66137</v>
      </c>
      <c r="CE110" s="309">
        <f t="shared" si="255"/>
        <v>-12535</v>
      </c>
      <c r="CF110" s="309">
        <f t="shared" si="255"/>
        <v>172617</v>
      </c>
      <c r="CG110" s="309">
        <f t="shared" si="255"/>
        <v>64513</v>
      </c>
      <c r="CH110" s="309">
        <f t="shared" si="255"/>
        <v>35032</v>
      </c>
      <c r="CI110" s="309">
        <f t="shared" si="255"/>
        <v>208961</v>
      </c>
      <c r="CJ110" s="309">
        <f t="shared" si="255"/>
        <v>-21872</v>
      </c>
      <c r="CK110" s="309">
        <f t="shared" si="255"/>
        <v>-28141</v>
      </c>
      <c r="CL110" s="309">
        <f t="shared" si="255"/>
        <v>-6202</v>
      </c>
      <c r="CM110" s="309">
        <f t="shared" si="256"/>
        <v>21900</v>
      </c>
      <c r="CN110" s="309">
        <f t="shared" si="256"/>
        <v>77735</v>
      </c>
      <c r="CO110" s="309">
        <f t="shared" si="256"/>
        <v>-47638</v>
      </c>
      <c r="CP110" s="309">
        <f t="shared" si="256"/>
        <v>219032</v>
      </c>
      <c r="CQ110" s="309">
        <f t="shared" si="256"/>
        <v>130377</v>
      </c>
      <c r="CR110" s="309">
        <f t="shared" si="256"/>
        <v>-118940</v>
      </c>
      <c r="CS110" s="309">
        <f t="shared" si="256"/>
        <v>230753</v>
      </c>
      <c r="CT110" s="348"/>
      <c r="CU110" s="67">
        <f>'MONTHLY SUMMARIES'!J74</f>
        <v>2095763</v>
      </c>
      <c r="CV110" s="40"/>
    </row>
    <row r="111" spans="1:100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86">
        <f t="shared" si="253"/>
        <v>-1505034</v>
      </c>
      <c r="BJ111" s="87">
        <f t="shared" si="253"/>
        <v>122765</v>
      </c>
      <c r="BK111" s="87">
        <f t="shared" si="253"/>
        <v>299147</v>
      </c>
      <c r="BL111" s="87">
        <f t="shared" si="253"/>
        <v>-253657</v>
      </c>
      <c r="BM111" s="87">
        <f t="shared" si="253"/>
        <v>-157143</v>
      </c>
      <c r="BN111" s="87">
        <f t="shared" si="253"/>
        <v>-260795</v>
      </c>
      <c r="BO111" s="87">
        <f t="shared" si="253"/>
        <v>30351</v>
      </c>
      <c r="BP111" s="87">
        <f t="shared" si="253"/>
        <v>-371021</v>
      </c>
      <c r="BQ111" s="87">
        <f t="shared" si="253"/>
        <v>-75498</v>
      </c>
      <c r="BR111" s="87">
        <f t="shared" si="253"/>
        <v>-4584546</v>
      </c>
      <c r="BS111" s="87">
        <f t="shared" si="254"/>
        <v>271602</v>
      </c>
      <c r="BT111" s="87">
        <f t="shared" si="254"/>
        <v>1086248</v>
      </c>
      <c r="BU111" s="87">
        <f t="shared" si="254"/>
        <v>2491119</v>
      </c>
      <c r="BV111" s="87">
        <f t="shared" si="254"/>
        <v>-97044</v>
      </c>
      <c r="BW111" s="87">
        <f t="shared" si="254"/>
        <v>-451565</v>
      </c>
      <c r="BX111" s="87">
        <f t="shared" si="254"/>
        <v>164586</v>
      </c>
      <c r="BY111" s="87">
        <f t="shared" si="254"/>
        <v>114153</v>
      </c>
      <c r="BZ111" s="87">
        <f t="shared" si="254"/>
        <v>280459</v>
      </c>
      <c r="CA111" s="267">
        <f t="shared" si="254"/>
        <v>9233</v>
      </c>
      <c r="CB111" s="267">
        <f t="shared" si="254"/>
        <v>-235928</v>
      </c>
      <c r="CC111" s="267">
        <f t="shared" si="255"/>
        <v>-59678</v>
      </c>
      <c r="CD111" s="267">
        <f t="shared" si="255"/>
        <v>258905</v>
      </c>
      <c r="CE111" s="309">
        <f t="shared" si="255"/>
        <v>-530311</v>
      </c>
      <c r="CF111" s="309">
        <f t="shared" si="255"/>
        <v>676665</v>
      </c>
      <c r="CG111" s="309">
        <f t="shared" si="255"/>
        <v>-919114</v>
      </c>
      <c r="CH111" s="309">
        <f t="shared" si="255"/>
        <v>277586</v>
      </c>
      <c r="CI111" s="309">
        <f t="shared" si="255"/>
        <v>-123882</v>
      </c>
      <c r="CJ111" s="309">
        <f t="shared" si="255"/>
        <v>10733</v>
      </c>
      <c r="CK111" s="309">
        <f t="shared" si="255"/>
        <v>44992</v>
      </c>
      <c r="CL111" s="309">
        <f t="shared" si="255"/>
        <v>-72407</v>
      </c>
      <c r="CM111" s="309">
        <f t="shared" si="256"/>
        <v>34110</v>
      </c>
      <c r="CN111" s="309">
        <f t="shared" si="256"/>
        <v>175271</v>
      </c>
      <c r="CO111" s="309">
        <f t="shared" si="256"/>
        <v>-245919</v>
      </c>
      <c r="CP111" s="309">
        <f t="shared" si="256"/>
        <v>-99707</v>
      </c>
      <c r="CQ111" s="309">
        <f t="shared" si="256"/>
        <v>-411717</v>
      </c>
      <c r="CR111" s="309">
        <f t="shared" si="256"/>
        <v>-1522033</v>
      </c>
      <c r="CS111" s="309">
        <f t="shared" si="256"/>
        <v>-464232</v>
      </c>
      <c r="CT111" s="348"/>
      <c r="CU111" s="67">
        <f>'MONTHLY SUMMARIES'!J75</f>
        <v>6360058</v>
      </c>
      <c r="CV111" s="40"/>
    </row>
    <row r="112" spans="1:100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86">
        <f t="shared" si="253"/>
        <v>-8875509</v>
      </c>
      <c r="BJ112" s="87">
        <f t="shared" si="253"/>
        <v>-110214</v>
      </c>
      <c r="BK112" s="87">
        <f t="shared" si="253"/>
        <v>170687</v>
      </c>
      <c r="BL112" s="87">
        <f t="shared" si="253"/>
        <v>-1570325</v>
      </c>
      <c r="BM112" s="87">
        <f t="shared" si="253"/>
        <v>-246170</v>
      </c>
      <c r="BN112" s="87">
        <f t="shared" si="253"/>
        <v>-246645</v>
      </c>
      <c r="BO112" s="87">
        <f t="shared" si="253"/>
        <v>-100345</v>
      </c>
      <c r="BP112" s="87">
        <f t="shared" si="253"/>
        <v>169981</v>
      </c>
      <c r="BQ112" s="87">
        <f t="shared" si="253"/>
        <v>-218231</v>
      </c>
      <c r="BR112" s="87">
        <f t="shared" si="253"/>
        <v>-734373</v>
      </c>
      <c r="BS112" s="87">
        <f t="shared" si="254"/>
        <v>-643806</v>
      </c>
      <c r="BT112" s="87">
        <f t="shared" si="254"/>
        <v>248796</v>
      </c>
      <c r="BU112" s="87">
        <f t="shared" si="254"/>
        <v>725916</v>
      </c>
      <c r="BV112" s="87">
        <f t="shared" si="254"/>
        <v>-164144</v>
      </c>
      <c r="BW112" s="87">
        <f t="shared" si="254"/>
        <v>-400374</v>
      </c>
      <c r="BX112" s="87">
        <f t="shared" si="254"/>
        <v>-69837</v>
      </c>
      <c r="BY112" s="87">
        <f t="shared" si="254"/>
        <v>67700</v>
      </c>
      <c r="BZ112" s="87">
        <f t="shared" si="254"/>
        <v>192706</v>
      </c>
      <c r="CA112" s="267">
        <f t="shared" si="254"/>
        <v>49819</v>
      </c>
      <c r="CB112" s="267">
        <f t="shared" si="254"/>
        <v>-565904</v>
      </c>
      <c r="CC112" s="267">
        <f t="shared" si="255"/>
        <v>-150681</v>
      </c>
      <c r="CD112" s="267">
        <f t="shared" si="255"/>
        <v>42665</v>
      </c>
      <c r="CE112" s="309">
        <f t="shared" si="255"/>
        <v>-152702</v>
      </c>
      <c r="CF112" s="309">
        <f t="shared" si="255"/>
        <v>106438</v>
      </c>
      <c r="CG112" s="309">
        <f t="shared" si="255"/>
        <v>-450798</v>
      </c>
      <c r="CH112" s="309">
        <f t="shared" si="255"/>
        <v>75883</v>
      </c>
      <c r="CI112" s="309">
        <f t="shared" si="255"/>
        <v>-83957</v>
      </c>
      <c r="CJ112" s="309">
        <f t="shared" si="255"/>
        <v>-11818</v>
      </c>
      <c r="CK112" s="309">
        <f t="shared" si="255"/>
        <v>50076</v>
      </c>
      <c r="CL112" s="309">
        <f t="shared" si="255"/>
        <v>-47153</v>
      </c>
      <c r="CM112" s="309">
        <f t="shared" si="256"/>
        <v>24703</v>
      </c>
      <c r="CN112" s="309">
        <f t="shared" si="256"/>
        <v>231942</v>
      </c>
      <c r="CO112" s="309">
        <f t="shared" si="256"/>
        <v>23101</v>
      </c>
      <c r="CP112" s="309">
        <f t="shared" si="256"/>
        <v>11742</v>
      </c>
      <c r="CQ112" s="309">
        <f t="shared" si="256"/>
        <v>-315448</v>
      </c>
      <c r="CR112" s="309">
        <f t="shared" si="256"/>
        <v>-650576</v>
      </c>
      <c r="CS112" s="309">
        <f t="shared" si="256"/>
        <v>-227693</v>
      </c>
      <c r="CT112" s="348"/>
      <c r="CU112" s="67">
        <f>'MONTHLY SUMMARIES'!J76</f>
        <v>3566128</v>
      </c>
      <c r="CV112" s="40"/>
    </row>
    <row r="113" spans="1:100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86">
        <f t="shared" si="253"/>
        <v>-2029058</v>
      </c>
      <c r="BJ113" s="87">
        <f t="shared" si="253"/>
        <v>-408061</v>
      </c>
      <c r="BK113" s="87">
        <f t="shared" si="253"/>
        <v>165551</v>
      </c>
      <c r="BL113" s="87">
        <f t="shared" si="253"/>
        <v>-277562</v>
      </c>
      <c r="BM113" s="87">
        <f t="shared" si="253"/>
        <v>80958</v>
      </c>
      <c r="BN113" s="87">
        <f t="shared" si="253"/>
        <v>-672575</v>
      </c>
      <c r="BO113" s="87">
        <f t="shared" si="253"/>
        <v>341050</v>
      </c>
      <c r="BP113" s="87">
        <f t="shared" si="253"/>
        <v>-249616</v>
      </c>
      <c r="BQ113" s="87">
        <f t="shared" si="253"/>
        <v>155938</v>
      </c>
      <c r="BR113" s="87">
        <f t="shared" si="253"/>
        <v>-935965</v>
      </c>
      <c r="BS113" s="87">
        <f t="shared" si="254"/>
        <v>45071</v>
      </c>
      <c r="BT113" s="87">
        <f t="shared" si="254"/>
        <v>320785</v>
      </c>
      <c r="BU113" s="87">
        <f t="shared" si="254"/>
        <v>447263</v>
      </c>
      <c r="BV113" s="87">
        <f t="shared" si="254"/>
        <v>307635</v>
      </c>
      <c r="BW113" s="87">
        <f t="shared" si="254"/>
        <v>63634</v>
      </c>
      <c r="BX113" s="87">
        <f t="shared" si="254"/>
        <v>17072</v>
      </c>
      <c r="BY113" s="87">
        <f t="shared" si="254"/>
        <v>363957</v>
      </c>
      <c r="BZ113" s="87">
        <f t="shared" si="254"/>
        <v>-159310</v>
      </c>
      <c r="CA113" s="267">
        <f t="shared" si="254"/>
        <v>171956</v>
      </c>
      <c r="CB113" s="267">
        <f t="shared" si="254"/>
        <v>-105561</v>
      </c>
      <c r="CC113" s="267">
        <f t="shared" si="255"/>
        <v>-68823</v>
      </c>
      <c r="CD113" s="267">
        <f t="shared" si="255"/>
        <v>147219</v>
      </c>
      <c r="CE113" s="309">
        <f t="shared" si="255"/>
        <v>-92516</v>
      </c>
      <c r="CF113" s="309">
        <f t="shared" si="255"/>
        <v>14651</v>
      </c>
      <c r="CG113" s="309">
        <f t="shared" si="255"/>
        <v>-681931</v>
      </c>
      <c r="CH113" s="309">
        <f t="shared" si="255"/>
        <v>276999</v>
      </c>
      <c r="CI113" s="309">
        <f t="shared" si="255"/>
        <v>-8877</v>
      </c>
      <c r="CJ113" s="309">
        <f t="shared" si="255"/>
        <v>279050</v>
      </c>
      <c r="CK113" s="309">
        <f t="shared" si="255"/>
        <v>16771</v>
      </c>
      <c r="CL113" s="309">
        <f t="shared" si="255"/>
        <v>1123073</v>
      </c>
      <c r="CM113" s="309">
        <f t="shared" si="256"/>
        <v>831179</v>
      </c>
      <c r="CN113" s="309">
        <f t="shared" si="256"/>
        <v>-76357</v>
      </c>
      <c r="CO113" s="309">
        <f t="shared" si="256"/>
        <v>-126251</v>
      </c>
      <c r="CP113" s="309">
        <f t="shared" si="256"/>
        <v>-133916</v>
      </c>
      <c r="CQ113" s="309">
        <f t="shared" si="256"/>
        <v>490048</v>
      </c>
      <c r="CR113" s="309">
        <f t="shared" si="256"/>
        <v>-57727</v>
      </c>
      <c r="CS113" s="309">
        <f t="shared" si="256"/>
        <v>307119</v>
      </c>
      <c r="CT113" s="348"/>
      <c r="CU113" s="67">
        <f>'MONTHLY SUMMARIES'!J77</f>
        <v>3926699</v>
      </c>
      <c r="CV113" s="40"/>
    </row>
    <row r="114" spans="1:100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57">SUM(D109:D113)</f>
        <v>26543730</v>
      </c>
      <c r="E114" s="141">
        <f t="shared" si="257"/>
        <v>17375817</v>
      </c>
      <c r="F114" s="141">
        <f t="shared" si="257"/>
        <v>12521753</v>
      </c>
      <c r="G114" s="141">
        <f t="shared" si="257"/>
        <v>8221420</v>
      </c>
      <c r="H114" s="141">
        <f t="shared" si="257"/>
        <v>8506262</v>
      </c>
      <c r="I114" s="141">
        <f t="shared" si="257"/>
        <v>7938563</v>
      </c>
      <c r="J114" s="141">
        <f t="shared" si="257"/>
        <v>11130739</v>
      </c>
      <c r="K114" s="141">
        <f t="shared" si="257"/>
        <v>16989616</v>
      </c>
      <c r="L114" s="142">
        <f t="shared" si="257"/>
        <v>39555149</v>
      </c>
      <c r="M114" s="141">
        <f t="shared" si="257"/>
        <v>41742883</v>
      </c>
      <c r="N114" s="141">
        <f t="shared" si="257"/>
        <v>37228996</v>
      </c>
      <c r="O114" s="141">
        <f t="shared" si="257"/>
        <v>33171828</v>
      </c>
      <c r="P114" s="141">
        <f t="shared" si="257"/>
        <v>28204234</v>
      </c>
      <c r="Q114" s="141">
        <f t="shared" si="257"/>
        <v>21104802</v>
      </c>
      <c r="R114" s="141">
        <f t="shared" si="257"/>
        <v>11124879</v>
      </c>
      <c r="S114" s="141">
        <f t="shared" si="257"/>
        <v>8375847</v>
      </c>
      <c r="T114" s="141">
        <f t="shared" si="257"/>
        <v>7381194</v>
      </c>
      <c r="U114" s="141">
        <f t="shared" si="257"/>
        <v>8719411</v>
      </c>
      <c r="V114" s="141">
        <f t="shared" si="257"/>
        <v>10528956</v>
      </c>
      <c r="W114" s="141">
        <f t="shared" si="257"/>
        <v>16585091</v>
      </c>
      <c r="X114" s="142">
        <f t="shared" si="257"/>
        <v>29386777</v>
      </c>
      <c r="Y114" s="141">
        <v>41531786</v>
      </c>
      <c r="Z114" s="193">
        <v>43580616</v>
      </c>
      <c r="AA114" s="141">
        <f t="shared" ref="AA114" si="258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88">
        <f t="shared" ref="BI114:BI121" si="259">SUM(BI109:BI113)</f>
        <v>-15481446</v>
      </c>
      <c r="BJ114" s="143">
        <f t="shared" ref="BJ114:BL114" si="260">SUM(BJ109:BJ113)</f>
        <v>1660504</v>
      </c>
      <c r="BK114" s="143">
        <f t="shared" si="260"/>
        <v>3728985</v>
      </c>
      <c r="BL114" s="143">
        <f t="shared" si="260"/>
        <v>-1396874</v>
      </c>
      <c r="BM114" s="143">
        <f t="shared" ref="BM114:BN114" si="261">SUM(BM109:BM113)</f>
        <v>154427</v>
      </c>
      <c r="BN114" s="143">
        <f t="shared" si="261"/>
        <v>-1125068</v>
      </c>
      <c r="BO114" s="143">
        <f t="shared" ref="BO114:BP114" si="262">SUM(BO109:BO113)</f>
        <v>780848</v>
      </c>
      <c r="BP114" s="143">
        <f t="shared" si="262"/>
        <v>-601783</v>
      </c>
      <c r="BQ114" s="143">
        <f t="shared" ref="BQ114:BR114" si="263">SUM(BQ109:BQ113)</f>
        <v>-404525</v>
      </c>
      <c r="BR114" s="143">
        <f t="shared" si="263"/>
        <v>-10168372</v>
      </c>
      <c r="BS114" s="143">
        <f t="shared" ref="BS114:BT114" si="264">SUM(BS109:BS113)</f>
        <v>-211097</v>
      </c>
      <c r="BT114" s="143">
        <f t="shared" si="264"/>
        <v>6351620</v>
      </c>
      <c r="BU114" s="143">
        <f t="shared" ref="BU114:BV114" si="265">SUM(BU109:BU113)</f>
        <v>8499912</v>
      </c>
      <c r="BV114" s="143">
        <f t="shared" si="265"/>
        <v>-1717671</v>
      </c>
      <c r="BW114" s="143">
        <f t="shared" ref="BW114:BX114" si="266">SUM(BW109:BW113)</f>
        <v>-4422457</v>
      </c>
      <c r="BX114" s="143">
        <f t="shared" si="266"/>
        <v>-413703</v>
      </c>
      <c r="BY114" s="143">
        <f t="shared" ref="BY114:BZ114" si="267">SUM(BY109:BY113)</f>
        <v>313107</v>
      </c>
      <c r="BZ114" s="143">
        <f t="shared" si="267"/>
        <v>604705</v>
      </c>
      <c r="CA114" s="268">
        <f t="shared" ref="CA114:CB114" si="268">SUM(CA109:CA113)</f>
        <v>-89754</v>
      </c>
      <c r="CB114" s="268">
        <f t="shared" si="268"/>
        <v>-2109569</v>
      </c>
      <c r="CC114" s="268">
        <f t="shared" ref="CC114:CE114" si="269">SUM(CC109:CC113)</f>
        <v>-560850</v>
      </c>
      <c r="CD114" s="268">
        <f t="shared" si="269"/>
        <v>1800050</v>
      </c>
      <c r="CE114" s="310">
        <f t="shared" si="269"/>
        <v>-2394067</v>
      </c>
      <c r="CF114" s="310">
        <f t="shared" ref="CF114:CG114" si="270">SUM(CF109:CF113)</f>
        <v>1339767</v>
      </c>
      <c r="CG114" s="310">
        <f t="shared" si="270"/>
        <v>-3210072</v>
      </c>
      <c r="CH114" s="310">
        <f t="shared" ref="CH114:CI114" si="271">SUM(CH109:CH113)</f>
        <v>310219</v>
      </c>
      <c r="CI114" s="310">
        <f t="shared" si="271"/>
        <v>504514</v>
      </c>
      <c r="CJ114" s="310">
        <f t="shared" ref="CJ114" si="272">SUM(CJ109:CJ113)</f>
        <v>-141051</v>
      </c>
      <c r="CK114" s="310">
        <f t="shared" ref="CK114" si="273">SUM(CK109:CK113)</f>
        <v>-89899</v>
      </c>
      <c r="CL114" s="310">
        <f t="shared" ref="CL114" si="274">SUM(CL109:CL113)</f>
        <v>713942</v>
      </c>
      <c r="CM114" s="310">
        <f t="shared" ref="CM114" si="275">SUM(CM109:CM113)</f>
        <v>1013186</v>
      </c>
      <c r="CN114" s="310">
        <f t="shared" ref="CN114" si="276">SUM(CN109:CN113)</f>
        <v>943980</v>
      </c>
      <c r="CO114" s="310">
        <f t="shared" ref="CO114" si="277">SUM(CO109:CO113)</f>
        <v>-1727914</v>
      </c>
      <c r="CP114" s="310">
        <f t="shared" ref="CP114" si="278">SUM(CP109:CP113)</f>
        <v>-1658089</v>
      </c>
      <c r="CQ114" s="310">
        <f t="shared" ref="CQ114:CS114" si="279">SUM(CQ109:CQ113)</f>
        <v>-1332782</v>
      </c>
      <c r="CR114" s="310">
        <f t="shared" ref="CR114:CS114" si="280">SUM(CR109:CR113)</f>
        <v>-8139001</v>
      </c>
      <c r="CS114" s="310">
        <f t="shared" si="280"/>
        <v>-1401734</v>
      </c>
      <c r="CT114" s="349"/>
      <c r="CU114" s="88">
        <f>SUM(CU109:CU113)</f>
        <v>37059934</v>
      </c>
      <c r="CV114" s="40"/>
    </row>
    <row r="115" spans="1:100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50"/>
      <c r="CU115" s="52"/>
    </row>
    <row r="116" spans="1:100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7">
        <f t="shared" ref="BI116:BR120" si="281">O116-C116</f>
        <v>-5064601.43</v>
      </c>
      <c r="BJ116" s="103">
        <f t="shared" si="281"/>
        <v>1680520.0399999991</v>
      </c>
      <c r="BK116" s="103">
        <f t="shared" si="281"/>
        <v>2496789.25</v>
      </c>
      <c r="BL116" s="103">
        <f t="shared" si="281"/>
        <v>-64856.25</v>
      </c>
      <c r="BM116" s="103">
        <f t="shared" si="281"/>
        <v>58219.959999999963</v>
      </c>
      <c r="BN116" s="103">
        <f t="shared" si="281"/>
        <v>-455248.66000000015</v>
      </c>
      <c r="BO116" s="103">
        <f t="shared" si="281"/>
        <v>35946.299999999814</v>
      </c>
      <c r="BP116" s="103">
        <f t="shared" si="281"/>
        <v>-962671.46</v>
      </c>
      <c r="BQ116" s="103">
        <f t="shared" si="281"/>
        <v>-894082.9299999997</v>
      </c>
      <c r="BR116" s="103">
        <f t="shared" si="281"/>
        <v>-3263809.9399999976</v>
      </c>
      <c r="BS116" s="103">
        <f t="shared" ref="BS116:CB120" si="282">Y116-M116</f>
        <v>1772897.629999999</v>
      </c>
      <c r="BT116" s="103">
        <f t="shared" si="282"/>
        <v>7325049.1600000001</v>
      </c>
      <c r="BU116" s="103">
        <f t="shared" si="282"/>
        <v>7264086.7899999991</v>
      </c>
      <c r="BV116" s="103">
        <f t="shared" si="282"/>
        <v>-1175285.4299999997</v>
      </c>
      <c r="BW116" s="103">
        <f t="shared" si="282"/>
        <v>-3428647.1199999992</v>
      </c>
      <c r="BX116" s="103">
        <f t="shared" si="282"/>
        <v>-53198.920000000857</v>
      </c>
      <c r="BY116" s="103">
        <f t="shared" si="282"/>
        <v>106439.33000000007</v>
      </c>
      <c r="BZ116" s="103">
        <f t="shared" si="282"/>
        <v>830073.66999999993</v>
      </c>
      <c r="CA116" s="277">
        <f t="shared" si="282"/>
        <v>407778.41000000015</v>
      </c>
      <c r="CB116" s="277">
        <f t="shared" si="282"/>
        <v>-119064</v>
      </c>
      <c r="CC116" s="277">
        <f t="shared" ref="CC116:CL120" si="283">AI116-W116</f>
        <v>2223448.3499999996</v>
      </c>
      <c r="CD116" s="277">
        <f t="shared" si="283"/>
        <v>8052200.4899999984</v>
      </c>
      <c r="CE116" s="312">
        <f t="shared" si="283"/>
        <v>5960436</v>
      </c>
      <c r="CF116" s="312">
        <f t="shared" si="283"/>
        <v>8708876</v>
      </c>
      <c r="CG116" s="312">
        <f t="shared" si="283"/>
        <v>7370041.6600000001</v>
      </c>
      <c r="CH116" s="312">
        <f t="shared" si="283"/>
        <v>7181909.2100000009</v>
      </c>
      <c r="CI116" s="312">
        <f t="shared" si="283"/>
        <v>5780724.3300000001</v>
      </c>
      <c r="CJ116" s="312">
        <f t="shared" si="283"/>
        <v>3102164.7300000004</v>
      </c>
      <c r="CK116" s="312">
        <f t="shared" si="283"/>
        <v>3008951</v>
      </c>
      <c r="CL116" s="312">
        <f t="shared" si="283"/>
        <v>2109262.2300000004</v>
      </c>
      <c r="CM116" s="312">
        <f t="shared" ref="CM116:CS120" si="284">AS116-AG116</f>
        <v>2646928</v>
      </c>
      <c r="CN116" s="312">
        <f t="shared" si="284"/>
        <v>3557461</v>
      </c>
      <c r="CO116" s="312">
        <f t="shared" si="284"/>
        <v>2105002</v>
      </c>
      <c r="CP116" s="312">
        <f t="shared" si="284"/>
        <v>4605996</v>
      </c>
      <c r="CQ116" s="312">
        <f t="shared" si="284"/>
        <v>6783805</v>
      </c>
      <c r="CR116" s="312">
        <f t="shared" si="284"/>
        <v>-947155</v>
      </c>
      <c r="CS116" s="312">
        <f t="shared" si="284"/>
        <v>1868489</v>
      </c>
      <c r="CT116" s="350"/>
      <c r="CU116" s="67">
        <f>'MONTHLY SUMMARIES'!J80</f>
        <v>42140998</v>
      </c>
    </row>
    <row r="117" spans="1:100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7">
        <f t="shared" si="281"/>
        <v>-401978.27</v>
      </c>
      <c r="BJ117" s="103">
        <f t="shared" si="281"/>
        <v>-48475.010000000009</v>
      </c>
      <c r="BK117" s="103">
        <f t="shared" si="281"/>
        <v>81408.650000000023</v>
      </c>
      <c r="BL117" s="103">
        <f t="shared" si="281"/>
        <v>-41839.119999999995</v>
      </c>
      <c r="BM117" s="103">
        <f t="shared" si="281"/>
        <v>29675.190000000002</v>
      </c>
      <c r="BN117" s="103">
        <f t="shared" si="281"/>
        <v>-16673.849999999977</v>
      </c>
      <c r="BO117" s="103">
        <f t="shared" si="281"/>
        <v>2904.539999999979</v>
      </c>
      <c r="BP117" s="103">
        <f t="shared" si="281"/>
        <v>-43593.429999999993</v>
      </c>
      <c r="BQ117" s="103">
        <f t="shared" si="281"/>
        <v>49034.660000000033</v>
      </c>
      <c r="BR117" s="103">
        <f t="shared" si="281"/>
        <v>-77230.540000000037</v>
      </c>
      <c r="BS117" s="103">
        <f t="shared" si="282"/>
        <v>450639.30000000005</v>
      </c>
      <c r="BT117" s="103">
        <f t="shared" si="282"/>
        <v>761747.60000000009</v>
      </c>
      <c r="BU117" s="103">
        <f t="shared" si="282"/>
        <v>840669.58000000007</v>
      </c>
      <c r="BV117" s="103">
        <f t="shared" si="282"/>
        <v>270187.15999999992</v>
      </c>
      <c r="BW117" s="103">
        <f t="shared" si="282"/>
        <v>-13987.720000000088</v>
      </c>
      <c r="BX117" s="103">
        <f t="shared" si="282"/>
        <v>199605.93000000005</v>
      </c>
      <c r="BY117" s="103">
        <f t="shared" si="282"/>
        <v>108139.68</v>
      </c>
      <c r="BZ117" s="103">
        <f t="shared" si="282"/>
        <v>98689.289999999979</v>
      </c>
      <c r="CA117" s="277">
        <f t="shared" si="282"/>
        <v>91863.82</v>
      </c>
      <c r="CB117" s="277">
        <f t="shared" si="282"/>
        <v>57960</v>
      </c>
      <c r="CC117" s="277">
        <f t="shared" si="283"/>
        <v>347236.44999999995</v>
      </c>
      <c r="CD117" s="277">
        <f t="shared" si="283"/>
        <v>591959.06000000006</v>
      </c>
      <c r="CE117" s="312">
        <f t="shared" si="283"/>
        <v>640352</v>
      </c>
      <c r="CF117" s="312">
        <f t="shared" si="283"/>
        <v>901359</v>
      </c>
      <c r="CG117" s="312">
        <f t="shared" si="283"/>
        <v>832800.29</v>
      </c>
      <c r="CH117" s="312">
        <f t="shared" si="283"/>
        <v>741718.98</v>
      </c>
      <c r="CI117" s="312">
        <f t="shared" si="283"/>
        <v>764681.17</v>
      </c>
      <c r="CJ117" s="312">
        <f t="shared" si="283"/>
        <v>286505.33999999997</v>
      </c>
      <c r="CK117" s="312">
        <f t="shared" si="283"/>
        <v>219666</v>
      </c>
      <c r="CL117" s="312">
        <f t="shared" si="283"/>
        <v>180000.43</v>
      </c>
      <c r="CM117" s="312">
        <f t="shared" si="284"/>
        <v>225434</v>
      </c>
      <c r="CN117" s="312">
        <f t="shared" si="284"/>
        <v>346121</v>
      </c>
      <c r="CO117" s="312">
        <f t="shared" si="284"/>
        <v>319505</v>
      </c>
      <c r="CP117" s="312">
        <f t="shared" si="284"/>
        <v>1132956</v>
      </c>
      <c r="CQ117" s="312">
        <f t="shared" si="284"/>
        <v>1033294</v>
      </c>
      <c r="CR117" s="312">
        <f t="shared" si="284"/>
        <v>663658</v>
      </c>
      <c r="CS117" s="312">
        <f t="shared" si="284"/>
        <v>881824</v>
      </c>
      <c r="CT117" s="350"/>
      <c r="CU117" s="67">
        <f>'MONTHLY SUMMARIES'!J81</f>
        <v>4216543</v>
      </c>
    </row>
    <row r="118" spans="1:100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7">
        <f t="shared" si="281"/>
        <v>-1848478.38</v>
      </c>
      <c r="BJ118" s="103">
        <f t="shared" si="281"/>
        <v>-71600.730000000447</v>
      </c>
      <c r="BK118" s="103">
        <f t="shared" si="281"/>
        <v>174792.74000000022</v>
      </c>
      <c r="BL118" s="103">
        <f t="shared" si="281"/>
        <v>-330394.68000000017</v>
      </c>
      <c r="BM118" s="103">
        <f t="shared" si="281"/>
        <v>-224466.40999999992</v>
      </c>
      <c r="BN118" s="103">
        <f t="shared" si="281"/>
        <v>-325014.17000000004</v>
      </c>
      <c r="BO118" s="103">
        <f t="shared" si="281"/>
        <v>-98250.060000000056</v>
      </c>
      <c r="BP118" s="103">
        <f t="shared" si="281"/>
        <v>-358266.43999999994</v>
      </c>
      <c r="BQ118" s="103">
        <f t="shared" si="281"/>
        <v>-225127.97999999998</v>
      </c>
      <c r="BR118" s="103">
        <f t="shared" si="281"/>
        <v>-4603638.2</v>
      </c>
      <c r="BS118" s="103">
        <f t="shared" si="282"/>
        <v>249223.51999999955</v>
      </c>
      <c r="BT118" s="103">
        <f t="shared" si="282"/>
        <v>1038981.5199999996</v>
      </c>
      <c r="BU118" s="103">
        <f t="shared" si="282"/>
        <v>2515858.71</v>
      </c>
      <c r="BV118" s="103">
        <f t="shared" si="282"/>
        <v>-94054.819999999367</v>
      </c>
      <c r="BW118" s="103">
        <f t="shared" si="282"/>
        <v>-438833.18000000017</v>
      </c>
      <c r="BX118" s="103">
        <f t="shared" si="282"/>
        <v>130918.66000000015</v>
      </c>
      <c r="BY118" s="103">
        <f t="shared" si="282"/>
        <v>102196.20999999996</v>
      </c>
      <c r="BZ118" s="103">
        <f t="shared" si="282"/>
        <v>257062.67000000004</v>
      </c>
      <c r="CA118" s="277">
        <f t="shared" si="282"/>
        <v>124338.27000000002</v>
      </c>
      <c r="CB118" s="277">
        <f t="shared" si="282"/>
        <v>-7887</v>
      </c>
      <c r="CC118" s="277">
        <f t="shared" si="283"/>
        <v>427711.06000000006</v>
      </c>
      <c r="CD118" s="277">
        <f t="shared" si="283"/>
        <v>1535131.88</v>
      </c>
      <c r="CE118" s="312">
        <f t="shared" si="283"/>
        <v>1226622</v>
      </c>
      <c r="CF118" s="312">
        <f t="shared" si="283"/>
        <v>2557586</v>
      </c>
      <c r="CG118" s="312">
        <f t="shared" si="283"/>
        <v>1052127.6200000001</v>
      </c>
      <c r="CH118" s="312">
        <f t="shared" si="283"/>
        <v>1942447.8099999996</v>
      </c>
      <c r="CI118" s="312">
        <f t="shared" si="283"/>
        <v>893307.41000000015</v>
      </c>
      <c r="CJ118" s="312">
        <f t="shared" si="283"/>
        <v>845238.91999999993</v>
      </c>
      <c r="CK118" s="312">
        <f t="shared" si="283"/>
        <v>869255</v>
      </c>
      <c r="CL118" s="312">
        <f t="shared" si="283"/>
        <v>597693.73</v>
      </c>
      <c r="CM118" s="312">
        <f t="shared" si="284"/>
        <v>689812</v>
      </c>
      <c r="CN118" s="312">
        <f t="shared" si="284"/>
        <v>1001636</v>
      </c>
      <c r="CO118" s="312">
        <f t="shared" si="284"/>
        <v>875123</v>
      </c>
      <c r="CP118" s="312">
        <f t="shared" si="284"/>
        <v>1543430</v>
      </c>
      <c r="CQ118" s="312">
        <f t="shared" si="284"/>
        <v>1473906</v>
      </c>
      <c r="CR118" s="312">
        <f t="shared" si="284"/>
        <v>196756</v>
      </c>
      <c r="CS118" s="312">
        <f t="shared" si="284"/>
        <v>174860</v>
      </c>
      <c r="CT118" s="350"/>
      <c r="CU118" s="67">
        <f>'MONTHLY SUMMARIES'!J82</f>
        <v>9052168</v>
      </c>
    </row>
    <row r="119" spans="1:100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7">
        <f t="shared" si="281"/>
        <v>-4535882.1100000003</v>
      </c>
      <c r="BJ119" s="103">
        <f t="shared" si="281"/>
        <v>-289784.32000000007</v>
      </c>
      <c r="BK119" s="103">
        <f t="shared" si="281"/>
        <v>-19811.850000000093</v>
      </c>
      <c r="BL119" s="103">
        <f t="shared" si="281"/>
        <v>-817803.28000000014</v>
      </c>
      <c r="BM119" s="103">
        <f t="shared" si="281"/>
        <v>-234554.09999999998</v>
      </c>
      <c r="BN119" s="103">
        <f t="shared" si="281"/>
        <v>-195812.9</v>
      </c>
      <c r="BO119" s="103">
        <f t="shared" si="281"/>
        <v>-81678.859999999986</v>
      </c>
      <c r="BP119" s="103">
        <f t="shared" si="281"/>
        <v>-10980.479999999981</v>
      </c>
      <c r="BQ119" s="103">
        <f t="shared" si="281"/>
        <v>-196202.57999999996</v>
      </c>
      <c r="BR119" s="103">
        <f t="shared" si="281"/>
        <v>-435673.46999999974</v>
      </c>
      <c r="BS119" s="103">
        <f t="shared" si="282"/>
        <v>-155380</v>
      </c>
      <c r="BT119" s="103">
        <f t="shared" si="282"/>
        <v>235200.41000000015</v>
      </c>
      <c r="BU119" s="103">
        <f t="shared" si="282"/>
        <v>458189.78000000026</v>
      </c>
      <c r="BV119" s="103">
        <f t="shared" si="282"/>
        <v>-17343.320000000065</v>
      </c>
      <c r="BW119" s="103">
        <f t="shared" si="282"/>
        <v>-237592.58000000007</v>
      </c>
      <c r="BX119" s="103">
        <f t="shared" si="282"/>
        <v>-29847.759999999951</v>
      </c>
      <c r="BY119" s="103">
        <f t="shared" si="282"/>
        <v>66498.229999999981</v>
      </c>
      <c r="BZ119" s="103">
        <f t="shared" si="282"/>
        <v>157435.51999999999</v>
      </c>
      <c r="CA119" s="277">
        <f t="shared" si="282"/>
        <v>84626.659999999974</v>
      </c>
      <c r="CB119" s="277">
        <f t="shared" si="282"/>
        <v>-194109</v>
      </c>
      <c r="CC119" s="277">
        <f t="shared" si="283"/>
        <v>139997.33999999997</v>
      </c>
      <c r="CD119" s="277">
        <f t="shared" si="283"/>
        <v>628765.37999999989</v>
      </c>
      <c r="CE119" s="312">
        <f t="shared" si="283"/>
        <v>557999</v>
      </c>
      <c r="CF119" s="312">
        <f t="shared" si="283"/>
        <v>795826</v>
      </c>
      <c r="CG119" s="312">
        <f t="shared" si="283"/>
        <v>471430.04999999981</v>
      </c>
      <c r="CH119" s="312">
        <f t="shared" si="283"/>
        <v>835422.59000000008</v>
      </c>
      <c r="CI119" s="312">
        <f t="shared" si="283"/>
        <v>453324.62000000011</v>
      </c>
      <c r="CJ119" s="312">
        <f t="shared" si="283"/>
        <v>282217.44</v>
      </c>
      <c r="CK119" s="312">
        <f t="shared" si="283"/>
        <v>385402</v>
      </c>
      <c r="CL119" s="312">
        <f t="shared" si="283"/>
        <v>149309.88</v>
      </c>
      <c r="CM119" s="312">
        <f t="shared" si="284"/>
        <v>216095</v>
      </c>
      <c r="CN119" s="312">
        <f t="shared" si="284"/>
        <v>517863</v>
      </c>
      <c r="CO119" s="312">
        <f t="shared" si="284"/>
        <v>490173</v>
      </c>
      <c r="CP119" s="312">
        <f t="shared" si="284"/>
        <v>769283</v>
      </c>
      <c r="CQ119" s="312">
        <f t="shared" si="284"/>
        <v>517664</v>
      </c>
      <c r="CR119" s="312">
        <f t="shared" si="284"/>
        <v>281363</v>
      </c>
      <c r="CS119" s="312">
        <f t="shared" si="284"/>
        <v>329507</v>
      </c>
      <c r="CT119" s="350"/>
      <c r="CU119" s="67">
        <f>'MONTHLY SUMMARIES'!J83</f>
        <v>3562095</v>
      </c>
    </row>
    <row r="120" spans="1:100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7">
        <f t="shared" si="281"/>
        <v>-2209954.2000000002</v>
      </c>
      <c r="BJ120" s="103">
        <f t="shared" si="281"/>
        <v>-450117.73</v>
      </c>
      <c r="BK120" s="103">
        <f t="shared" si="281"/>
        <v>6512.1100000001024</v>
      </c>
      <c r="BL120" s="103">
        <f t="shared" si="281"/>
        <v>-258092.02000000002</v>
      </c>
      <c r="BM120" s="103">
        <f t="shared" si="281"/>
        <v>-50701.579999999958</v>
      </c>
      <c r="BN120" s="103">
        <f t="shared" si="281"/>
        <v>-200825.8899999999</v>
      </c>
      <c r="BO120" s="103">
        <f t="shared" si="281"/>
        <v>-28912.590000000084</v>
      </c>
      <c r="BP120" s="103">
        <f t="shared" si="281"/>
        <v>-284631</v>
      </c>
      <c r="BQ120" s="103">
        <f t="shared" si="281"/>
        <v>-33200.030000000028</v>
      </c>
      <c r="BR120" s="103">
        <f t="shared" si="281"/>
        <v>-314143.79000000004</v>
      </c>
      <c r="BS120" s="103">
        <f t="shared" si="282"/>
        <v>20244.449999999953</v>
      </c>
      <c r="BT120" s="103">
        <f t="shared" si="282"/>
        <v>132052.97999999998</v>
      </c>
      <c r="BU120" s="103">
        <f t="shared" si="282"/>
        <v>233643.39000000013</v>
      </c>
      <c r="BV120" s="103">
        <f t="shared" si="282"/>
        <v>212528.04000000004</v>
      </c>
      <c r="BW120" s="103">
        <f t="shared" si="282"/>
        <v>-27020.699999999953</v>
      </c>
      <c r="BX120" s="103">
        <f t="shared" si="282"/>
        <v>50497.439999999944</v>
      </c>
      <c r="BY120" s="103">
        <f t="shared" si="282"/>
        <v>54299.989999999991</v>
      </c>
      <c r="BZ120" s="103">
        <f t="shared" si="282"/>
        <v>-1398.8800000000047</v>
      </c>
      <c r="CA120" s="277">
        <f t="shared" si="282"/>
        <v>24371.060000000056</v>
      </c>
      <c r="CB120" s="277">
        <f t="shared" si="282"/>
        <v>78100</v>
      </c>
      <c r="CC120" s="277">
        <f t="shared" si="283"/>
        <v>27212.530000000028</v>
      </c>
      <c r="CD120" s="277">
        <f t="shared" si="283"/>
        <v>317858.51</v>
      </c>
      <c r="CE120" s="312">
        <f t="shared" si="283"/>
        <v>236374</v>
      </c>
      <c r="CF120" s="312">
        <f t="shared" si="283"/>
        <v>403976</v>
      </c>
      <c r="CG120" s="312">
        <f t="shared" si="283"/>
        <v>154632.14999999991</v>
      </c>
      <c r="CH120" s="312">
        <f t="shared" si="283"/>
        <v>717968.81</v>
      </c>
      <c r="CI120" s="312">
        <f t="shared" si="283"/>
        <v>311823.17999999993</v>
      </c>
      <c r="CJ120" s="312">
        <f t="shared" si="283"/>
        <v>439057.56000000006</v>
      </c>
      <c r="CK120" s="312">
        <f t="shared" si="283"/>
        <v>377039</v>
      </c>
      <c r="CL120" s="312">
        <f t="shared" si="283"/>
        <v>1213209.8199999998</v>
      </c>
      <c r="CM120" s="312">
        <f t="shared" si="284"/>
        <v>606472</v>
      </c>
      <c r="CN120" s="312">
        <f t="shared" si="284"/>
        <v>298007</v>
      </c>
      <c r="CO120" s="312">
        <f t="shared" si="284"/>
        <v>687636</v>
      </c>
      <c r="CP120" s="312">
        <f t="shared" si="284"/>
        <v>534937</v>
      </c>
      <c r="CQ120" s="312">
        <f t="shared" si="284"/>
        <v>1245100</v>
      </c>
      <c r="CR120" s="312">
        <f t="shared" si="284"/>
        <v>903322</v>
      </c>
      <c r="CS120" s="312">
        <f t="shared" si="284"/>
        <v>916981</v>
      </c>
      <c r="CT120" s="350"/>
      <c r="CU120" s="67">
        <f>'MONTHLY SUMMARIES'!J84</f>
        <v>2857328</v>
      </c>
    </row>
    <row r="121" spans="1:100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85">SUM(D116:D120)</f>
        <v>30829642.719999999</v>
      </c>
      <c r="E121" s="136">
        <f t="shared" si="285"/>
        <v>18995575.689999998</v>
      </c>
      <c r="F121" s="136">
        <f t="shared" si="285"/>
        <v>11683573.01</v>
      </c>
      <c r="G121" s="136">
        <f t="shared" si="285"/>
        <v>8352256.5</v>
      </c>
      <c r="H121" s="136">
        <f t="shared" si="285"/>
        <v>7634014.1100000003</v>
      </c>
      <c r="I121" s="136">
        <f t="shared" si="285"/>
        <v>7640611.4500000002</v>
      </c>
      <c r="J121" s="136">
        <f t="shared" si="285"/>
        <v>10418189.810000001</v>
      </c>
      <c r="K121" s="136">
        <f t="shared" si="285"/>
        <v>16998924.130000003</v>
      </c>
      <c r="L121" s="138">
        <f t="shared" si="285"/>
        <v>42605280.620000005</v>
      </c>
      <c r="M121" s="136">
        <f t="shared" si="285"/>
        <v>45994176.099999994</v>
      </c>
      <c r="N121" s="136">
        <f t="shared" si="285"/>
        <v>40969149.330000006</v>
      </c>
      <c r="O121" s="136">
        <f t="shared" si="285"/>
        <v>36463990.980000004</v>
      </c>
      <c r="P121" s="136">
        <f t="shared" si="285"/>
        <v>31650184.969999995</v>
      </c>
      <c r="Q121" s="145">
        <f t="shared" si="285"/>
        <v>21735266.59</v>
      </c>
      <c r="R121" s="145">
        <f t="shared" si="285"/>
        <v>10170587.66</v>
      </c>
      <c r="S121" s="145">
        <f t="shared" si="285"/>
        <v>7930429.5600000005</v>
      </c>
      <c r="T121" s="145">
        <f t="shared" si="285"/>
        <v>6440438.6399999987</v>
      </c>
      <c r="U121" s="145">
        <f t="shared" si="285"/>
        <v>7470620.7799999993</v>
      </c>
      <c r="V121" s="145">
        <f t="shared" si="285"/>
        <v>8758047</v>
      </c>
      <c r="W121" s="145">
        <f t="shared" si="285"/>
        <v>15699345.270000001</v>
      </c>
      <c r="X121" s="138">
        <f t="shared" si="28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/>
      <c r="BA121" s="302"/>
      <c r="BB121" s="302"/>
      <c r="BC121" s="302"/>
      <c r="BD121" s="302"/>
      <c r="BE121" s="302"/>
      <c r="BF121" s="302"/>
      <c r="BG121" s="302"/>
      <c r="BH121" s="302"/>
      <c r="BI121" s="137">
        <f t="shared" si="259"/>
        <v>-14060894.390000001</v>
      </c>
      <c r="BJ121" s="139">
        <f t="shared" ref="BJ121:BL121" si="286">SUM(BJ116:BJ120)</f>
        <v>820542.2499999986</v>
      </c>
      <c r="BK121" s="139">
        <f t="shared" si="286"/>
        <v>2739690.9000000004</v>
      </c>
      <c r="BL121" s="139">
        <f t="shared" si="286"/>
        <v>-1512985.3500000003</v>
      </c>
      <c r="BM121" s="139">
        <f t="shared" ref="BM121:BN121" si="287">SUM(BM116:BM120)</f>
        <v>-421826.93999999989</v>
      </c>
      <c r="BN121" s="139">
        <f t="shared" si="287"/>
        <v>-1193575.4700000002</v>
      </c>
      <c r="BO121" s="139">
        <f t="shared" ref="BO121:BP121" si="288">SUM(BO116:BO120)</f>
        <v>-169990.67000000033</v>
      </c>
      <c r="BP121" s="139">
        <f t="shared" si="288"/>
        <v>-1660142.8099999998</v>
      </c>
      <c r="BQ121" s="139">
        <f t="shared" ref="BQ121:BR121" si="289">SUM(BQ116:BQ120)</f>
        <v>-1299578.8599999996</v>
      </c>
      <c r="BR121" s="139">
        <f t="shared" si="289"/>
        <v>-8694495.9399999976</v>
      </c>
      <c r="BS121" s="139">
        <f t="shared" ref="BS121:BT121" si="290">SUM(BS116:BS120)</f>
        <v>2337624.8999999985</v>
      </c>
      <c r="BT121" s="139">
        <f t="shared" si="290"/>
        <v>9493031.6699999999</v>
      </c>
      <c r="BU121" s="139">
        <f t="shared" ref="BU121:BV121" si="291">SUM(BU116:BU120)</f>
        <v>11312448.25</v>
      </c>
      <c r="BV121" s="139">
        <f t="shared" si="291"/>
        <v>-803968.36999999918</v>
      </c>
      <c r="BW121" s="139">
        <f t="shared" ref="BW121:BX121" si="292">SUM(BW116:BW120)</f>
        <v>-4146081.3</v>
      </c>
      <c r="BX121" s="139">
        <f t="shared" si="292"/>
        <v>297975.34999999934</v>
      </c>
      <c r="BY121" s="139">
        <f t="shared" ref="BY121:BZ121" si="293">SUM(BY116:BY120)</f>
        <v>437573.44</v>
      </c>
      <c r="BZ121" s="139">
        <f t="shared" si="293"/>
        <v>1341862.27</v>
      </c>
      <c r="CA121" s="278">
        <f t="shared" ref="CA121:CB121" si="294">SUM(CA116:CA120)</f>
        <v>732978.2200000002</v>
      </c>
      <c r="CB121" s="278">
        <f t="shared" si="294"/>
        <v>-185000</v>
      </c>
      <c r="CC121" s="278">
        <f t="shared" ref="CC121:CE121" si="295">SUM(CC116:CC120)</f>
        <v>3165605.7299999995</v>
      </c>
      <c r="CD121" s="278">
        <f t="shared" si="295"/>
        <v>11125915.319999998</v>
      </c>
      <c r="CE121" s="313">
        <f t="shared" si="295"/>
        <v>8621783</v>
      </c>
      <c r="CF121" s="313">
        <f t="shared" ref="CF121:CG121" si="296">SUM(CF116:CF120)</f>
        <v>13367623</v>
      </c>
      <c r="CG121" s="313">
        <f t="shared" si="296"/>
        <v>9881031.7700000014</v>
      </c>
      <c r="CH121" s="313">
        <f t="shared" ref="CH121:CI121" si="297">SUM(CH116:CH120)</f>
        <v>11419467.4</v>
      </c>
      <c r="CI121" s="313">
        <f t="shared" si="297"/>
        <v>8203860.71</v>
      </c>
      <c r="CJ121" s="313">
        <f t="shared" ref="CJ121" si="298">SUM(CJ116:CJ120)</f>
        <v>4955183.99</v>
      </c>
      <c r="CK121" s="313">
        <f t="shared" ref="CK121" si="299">SUM(CK116:CK120)</f>
        <v>4860313</v>
      </c>
      <c r="CL121" s="313">
        <f t="shared" ref="CL121" si="300">SUM(CL116:CL120)</f>
        <v>4249476.09</v>
      </c>
      <c r="CM121" s="313">
        <f t="shared" ref="CM121" si="301">SUM(CM116:CM120)</f>
        <v>4384741</v>
      </c>
      <c r="CN121" s="313">
        <f t="shared" ref="CN121" si="302">SUM(CN116:CN120)</f>
        <v>5721088</v>
      </c>
      <c r="CO121" s="313">
        <f t="shared" ref="CO121" si="303">SUM(CO116:CO120)</f>
        <v>4477439</v>
      </c>
      <c r="CP121" s="313">
        <f t="shared" ref="CP121" si="304">SUM(CP116:CP120)</f>
        <v>8586602</v>
      </c>
      <c r="CQ121" s="313">
        <f t="shared" ref="CQ121:CS121" si="305">SUM(CQ116:CQ120)</f>
        <v>11053769</v>
      </c>
      <c r="CR121" s="313">
        <f t="shared" ref="CR121:CS121" si="306">SUM(CR116:CR120)</f>
        <v>1097944</v>
      </c>
      <c r="CS121" s="313">
        <f t="shared" si="306"/>
        <v>4171661</v>
      </c>
      <c r="CT121" s="351"/>
      <c r="CU121" s="88">
        <f>SUM(CU116:CU120)</f>
        <v>61829132</v>
      </c>
      <c r="CV121" s="40"/>
    </row>
    <row r="122" spans="1:100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50"/>
      <c r="CU122" s="52"/>
    </row>
    <row r="123" spans="1:100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/>
      <c r="BA123" s="200"/>
      <c r="BB123" s="200"/>
      <c r="BC123" s="200"/>
      <c r="BD123" s="200"/>
      <c r="BE123" s="200"/>
      <c r="BF123" s="200"/>
      <c r="BG123" s="200"/>
      <c r="BH123" s="200"/>
      <c r="BI123" s="173">
        <f t="shared" ref="BI123:BR127" si="307">O123-C123</f>
        <v>270409.08999999997</v>
      </c>
      <c r="BJ123" s="103">
        <f t="shared" si="307"/>
        <v>239057.22</v>
      </c>
      <c r="BK123" s="103">
        <f t="shared" si="307"/>
        <v>158306.97</v>
      </c>
      <c r="BL123" s="103">
        <f t="shared" si="307"/>
        <v>68028.039999999994</v>
      </c>
      <c r="BM123" s="103">
        <f t="shared" si="307"/>
        <v>43528.88</v>
      </c>
      <c r="BN123" s="103">
        <f t="shared" si="307"/>
        <v>32893.46</v>
      </c>
      <c r="BO123" s="103">
        <f t="shared" si="307"/>
        <v>35030.49</v>
      </c>
      <c r="BP123" s="103">
        <f t="shared" si="307"/>
        <v>50497.32</v>
      </c>
      <c r="BQ123" s="103">
        <f t="shared" si="307"/>
        <v>101508.63</v>
      </c>
      <c r="BR123" s="103">
        <f t="shared" si="307"/>
        <v>167441.71999999997</v>
      </c>
      <c r="BS123" s="103">
        <f t="shared" ref="BS123:CB127" si="308">Y123-M123</f>
        <v>253181.3</v>
      </c>
      <c r="BT123" s="103">
        <f t="shared" si="308"/>
        <v>214347.59</v>
      </c>
      <c r="BU123" s="103">
        <f t="shared" si="308"/>
        <v>7154.0900000000256</v>
      </c>
      <c r="BV123" s="103">
        <f t="shared" si="308"/>
        <v>-64769.440000000002</v>
      </c>
      <c r="BW123" s="103">
        <f t="shared" si="308"/>
        <v>-62807.790000000008</v>
      </c>
      <c r="BX123" s="103">
        <f t="shared" si="308"/>
        <v>-14802.929999999993</v>
      </c>
      <c r="BY123" s="103">
        <f t="shared" si="308"/>
        <v>-7919.5</v>
      </c>
      <c r="BZ123" s="103">
        <f t="shared" si="308"/>
        <v>-1214.7400000000016</v>
      </c>
      <c r="CA123" s="277">
        <f t="shared" si="308"/>
        <v>-2551.3099999999977</v>
      </c>
      <c r="CB123" s="277">
        <f t="shared" si="308"/>
        <v>-12613</v>
      </c>
      <c r="CC123" s="277">
        <f t="shared" ref="CC123:CL127" si="309">AI123-W123</f>
        <v>-7522.3800000000047</v>
      </c>
      <c r="CD123" s="277">
        <f t="shared" si="309"/>
        <v>33218.950000000012</v>
      </c>
      <c r="CE123" s="312">
        <f t="shared" si="309"/>
        <v>6938</v>
      </c>
      <c r="CF123" s="312">
        <f t="shared" si="309"/>
        <v>57004</v>
      </c>
      <c r="CG123" s="312">
        <f t="shared" si="309"/>
        <v>23506.539999999979</v>
      </c>
      <c r="CH123" s="312">
        <f t="shared" si="309"/>
        <v>18924.78</v>
      </c>
      <c r="CI123" s="312">
        <f t="shared" si="309"/>
        <v>10432.779999999999</v>
      </c>
      <c r="CJ123" s="312">
        <f t="shared" si="309"/>
        <v>-64.05000000000291</v>
      </c>
      <c r="CK123" s="312">
        <f t="shared" si="309"/>
        <v>4960</v>
      </c>
      <c r="CL123" s="312">
        <f t="shared" si="309"/>
        <v>1492.8100000000013</v>
      </c>
      <c r="CM123" s="312">
        <f t="shared" ref="CM123:CS127" si="310">AS123-AG123</f>
        <v>15089</v>
      </c>
      <c r="CN123" s="312">
        <f t="shared" si="310"/>
        <v>25287</v>
      </c>
      <c r="CO123" s="312">
        <f t="shared" si="310"/>
        <v>-96953</v>
      </c>
      <c r="CP123" s="312">
        <f t="shared" si="310"/>
        <v>-209517</v>
      </c>
      <c r="CQ123" s="312">
        <f t="shared" si="310"/>
        <v>-206223</v>
      </c>
      <c r="CR123" s="312">
        <f t="shared" si="310"/>
        <v>-21358</v>
      </c>
      <c r="CS123" s="312">
        <f t="shared" si="310"/>
        <v>33001</v>
      </c>
      <c r="CT123" s="350"/>
      <c r="CU123" s="67">
        <f>'MONTHLY SUMMARIES'!J87</f>
        <v>338133</v>
      </c>
    </row>
    <row r="124" spans="1:100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173">
        <f t="shared" si="307"/>
        <v>32621.069999999996</v>
      </c>
      <c r="BJ124" s="103">
        <f t="shared" si="307"/>
        <v>31549.909999999996</v>
      </c>
      <c r="BK124" s="103">
        <f t="shared" si="307"/>
        <v>13720.76</v>
      </c>
      <c r="BL124" s="103">
        <f t="shared" si="307"/>
        <v>7328.43</v>
      </c>
      <c r="BM124" s="103">
        <f t="shared" si="307"/>
        <v>5202.01</v>
      </c>
      <c r="BN124" s="103">
        <f t="shared" si="307"/>
        <v>3858.6500000000005</v>
      </c>
      <c r="BO124" s="103">
        <f t="shared" si="307"/>
        <v>3385.2599999999998</v>
      </c>
      <c r="BP124" s="103">
        <f t="shared" si="307"/>
        <v>5381.52</v>
      </c>
      <c r="BQ124" s="103">
        <f t="shared" si="307"/>
        <v>11852.43</v>
      </c>
      <c r="BR124" s="103">
        <f t="shared" si="307"/>
        <v>15936.300000000001</v>
      </c>
      <c r="BS124" s="103">
        <f t="shared" si="308"/>
        <v>26799.68</v>
      </c>
      <c r="BT124" s="103">
        <f t="shared" si="308"/>
        <v>17649.439999999999</v>
      </c>
      <c r="BU124" s="103">
        <f t="shared" si="308"/>
        <v>1418.010000000002</v>
      </c>
      <c r="BV124" s="103">
        <f t="shared" si="308"/>
        <v>-7684.9999999999964</v>
      </c>
      <c r="BW124" s="103">
        <f t="shared" si="308"/>
        <v>-4545.5300000000007</v>
      </c>
      <c r="BX124" s="103">
        <f t="shared" si="308"/>
        <v>-1460.0199999999995</v>
      </c>
      <c r="BY124" s="103">
        <f t="shared" si="308"/>
        <v>-1006.7200000000003</v>
      </c>
      <c r="BZ124" s="103">
        <f t="shared" si="308"/>
        <v>-16.890000000000327</v>
      </c>
      <c r="CA124" s="277">
        <f t="shared" si="308"/>
        <v>14.390000000000327</v>
      </c>
      <c r="CB124" s="277">
        <f t="shared" si="308"/>
        <v>-1128</v>
      </c>
      <c r="CC124" s="277">
        <f t="shared" si="309"/>
        <v>-2313.1299999999992</v>
      </c>
      <c r="CD124" s="277">
        <f t="shared" si="309"/>
        <v>4630.119999999999</v>
      </c>
      <c r="CE124" s="312">
        <f t="shared" si="309"/>
        <v>1127</v>
      </c>
      <c r="CF124" s="312">
        <f t="shared" si="309"/>
        <v>8704</v>
      </c>
      <c r="CG124" s="312">
        <f t="shared" si="309"/>
        <v>3253.2200000000012</v>
      </c>
      <c r="CH124" s="312">
        <f t="shared" si="309"/>
        <v>2105.7599999999984</v>
      </c>
      <c r="CI124" s="312">
        <f t="shared" si="309"/>
        <v>4471</v>
      </c>
      <c r="CJ124" s="312">
        <f t="shared" si="309"/>
        <v>627.60999999999967</v>
      </c>
      <c r="CK124" s="312">
        <f t="shared" si="309"/>
        <v>1062</v>
      </c>
      <c r="CL124" s="312">
        <f t="shared" si="309"/>
        <v>341.07999999999993</v>
      </c>
      <c r="CM124" s="312">
        <f t="shared" si="310"/>
        <v>1319</v>
      </c>
      <c r="CN124" s="312">
        <f t="shared" si="310"/>
        <v>2186</v>
      </c>
      <c r="CO124" s="312">
        <f t="shared" si="310"/>
        <v>-10723</v>
      </c>
      <c r="CP124" s="312">
        <f t="shared" si="310"/>
        <v>-23997</v>
      </c>
      <c r="CQ124" s="312">
        <f t="shared" si="310"/>
        <v>-23114</v>
      </c>
      <c r="CR124" s="312">
        <f t="shared" si="310"/>
        <v>-1873</v>
      </c>
      <c r="CS124" s="312">
        <f t="shared" si="310"/>
        <v>7230</v>
      </c>
      <c r="CT124" s="350"/>
      <c r="CU124" s="67">
        <f>'MONTHLY SUMMARIES'!J88</f>
        <v>46093</v>
      </c>
    </row>
    <row r="125" spans="1:100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/>
      <c r="BA125" s="200"/>
      <c r="BB125" s="200"/>
      <c r="BC125" s="200"/>
      <c r="BD125" s="200"/>
      <c r="BE125" s="200"/>
      <c r="BF125" s="200"/>
      <c r="BG125" s="200"/>
      <c r="BH125" s="200"/>
      <c r="BI125" s="173">
        <f t="shared" si="307"/>
        <v>120031.18000000001</v>
      </c>
      <c r="BJ125" s="103">
        <f t="shared" si="307"/>
        <v>98713.94</v>
      </c>
      <c r="BK125" s="103">
        <f t="shared" si="307"/>
        <v>71388.179999999993</v>
      </c>
      <c r="BL125" s="103">
        <f t="shared" si="307"/>
        <v>38451.990000000005</v>
      </c>
      <c r="BM125" s="103">
        <f t="shared" si="307"/>
        <v>38126.89</v>
      </c>
      <c r="BN125" s="103">
        <f t="shared" si="307"/>
        <v>35723.14</v>
      </c>
      <c r="BO125" s="103">
        <f t="shared" si="307"/>
        <v>39530.06</v>
      </c>
      <c r="BP125" s="103">
        <f t="shared" si="307"/>
        <v>48607.06</v>
      </c>
      <c r="BQ125" s="103">
        <f t="shared" si="307"/>
        <v>74114.81</v>
      </c>
      <c r="BR125" s="103">
        <f t="shared" si="307"/>
        <v>126639.09</v>
      </c>
      <c r="BS125" s="103">
        <f t="shared" si="308"/>
        <v>163016.4</v>
      </c>
      <c r="BT125" s="103">
        <f t="shared" si="308"/>
        <v>142257.26</v>
      </c>
      <c r="BU125" s="103">
        <f t="shared" si="308"/>
        <v>56034.039999999994</v>
      </c>
      <c r="BV125" s="103">
        <f t="shared" si="308"/>
        <v>25892.050000000003</v>
      </c>
      <c r="BW125" s="103">
        <f t="shared" si="308"/>
        <v>5285.9700000000012</v>
      </c>
      <c r="BX125" s="103">
        <f t="shared" si="308"/>
        <v>23944.339999999997</v>
      </c>
      <c r="BY125" s="103">
        <f t="shared" si="308"/>
        <v>18742.71</v>
      </c>
      <c r="BZ125" s="103">
        <f t="shared" si="308"/>
        <v>17626.04</v>
      </c>
      <c r="CA125" s="277">
        <f t="shared" si="308"/>
        <v>17497.11</v>
      </c>
      <c r="CB125" s="277">
        <f t="shared" si="308"/>
        <v>9589</v>
      </c>
      <c r="CC125" s="277">
        <f t="shared" si="309"/>
        <v>17089.449999999997</v>
      </c>
      <c r="CD125" s="277">
        <f t="shared" si="309"/>
        <v>28096.14</v>
      </c>
      <c r="CE125" s="312">
        <f t="shared" si="309"/>
        <v>27692</v>
      </c>
      <c r="CF125" s="312">
        <f t="shared" si="309"/>
        <v>68406</v>
      </c>
      <c r="CG125" s="312">
        <f t="shared" si="309"/>
        <v>43921</v>
      </c>
      <c r="CH125" s="312">
        <f t="shared" si="309"/>
        <v>36579.759999999995</v>
      </c>
      <c r="CI125" s="312">
        <f t="shared" si="309"/>
        <v>30883.050000000003</v>
      </c>
      <c r="CJ125" s="312">
        <f t="shared" si="309"/>
        <v>12025.75</v>
      </c>
      <c r="CK125" s="312">
        <f t="shared" si="309"/>
        <v>24642</v>
      </c>
      <c r="CL125" s="312">
        <f t="shared" si="309"/>
        <v>20889.099999999999</v>
      </c>
      <c r="CM125" s="312">
        <f t="shared" si="310"/>
        <v>10383</v>
      </c>
      <c r="CN125" s="312">
        <f t="shared" si="310"/>
        <v>21187</v>
      </c>
      <c r="CO125" s="312">
        <f t="shared" si="310"/>
        <v>-83552</v>
      </c>
      <c r="CP125" s="312">
        <f t="shared" si="310"/>
        <v>-133027</v>
      </c>
      <c r="CQ125" s="312">
        <f t="shared" si="310"/>
        <v>-102344</v>
      </c>
      <c r="CR125" s="312">
        <f t="shared" si="310"/>
        <v>3718</v>
      </c>
      <c r="CS125" s="312">
        <f t="shared" si="310"/>
        <v>48743</v>
      </c>
      <c r="CT125" s="350"/>
      <c r="CU125" s="67">
        <f>'MONTHLY SUMMARIES'!J89</f>
        <v>269544</v>
      </c>
    </row>
    <row r="126" spans="1:100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/>
      <c r="BA126" s="200"/>
      <c r="BB126" s="200"/>
      <c r="BC126" s="200"/>
      <c r="BD126" s="200"/>
      <c r="BE126" s="200"/>
      <c r="BF126" s="200"/>
      <c r="BG126" s="200"/>
      <c r="BH126" s="200"/>
      <c r="BI126" s="173">
        <f t="shared" si="307"/>
        <v>29221.05</v>
      </c>
      <c r="BJ126" s="103">
        <f t="shared" si="307"/>
        <v>19844.400000000001</v>
      </c>
      <c r="BK126" s="103">
        <f t="shared" si="307"/>
        <v>20247.05</v>
      </c>
      <c r="BL126" s="103">
        <f t="shared" si="307"/>
        <v>6481.69</v>
      </c>
      <c r="BM126" s="103">
        <f t="shared" si="307"/>
        <v>9477.19</v>
      </c>
      <c r="BN126" s="103">
        <f t="shared" si="307"/>
        <v>6791.9</v>
      </c>
      <c r="BO126" s="103">
        <f t="shared" si="307"/>
        <v>11704.4</v>
      </c>
      <c r="BP126" s="103">
        <f t="shared" si="307"/>
        <v>8020</v>
      </c>
      <c r="BQ126" s="103">
        <f t="shared" si="307"/>
        <v>25966.11</v>
      </c>
      <c r="BR126" s="103">
        <f t="shared" si="307"/>
        <v>45509.57</v>
      </c>
      <c r="BS126" s="103">
        <f t="shared" si="308"/>
        <v>52133.95</v>
      </c>
      <c r="BT126" s="103">
        <f t="shared" si="308"/>
        <v>92414.06</v>
      </c>
      <c r="BU126" s="103">
        <f t="shared" si="308"/>
        <v>57922.520000000004</v>
      </c>
      <c r="BV126" s="103">
        <f t="shared" si="308"/>
        <v>34249.279999999999</v>
      </c>
      <c r="BW126" s="103">
        <f t="shared" si="308"/>
        <v>11692.95</v>
      </c>
      <c r="BX126" s="103">
        <f t="shared" si="308"/>
        <v>14956.720000000001</v>
      </c>
      <c r="BY126" s="103">
        <f t="shared" si="308"/>
        <v>5511.8099999999995</v>
      </c>
      <c r="BZ126" s="103">
        <f t="shared" si="308"/>
        <v>7102.9500000000007</v>
      </c>
      <c r="CA126" s="277">
        <f t="shared" si="308"/>
        <v>3799.6000000000004</v>
      </c>
      <c r="CB126" s="277">
        <f t="shared" si="308"/>
        <v>10775</v>
      </c>
      <c r="CC126" s="277">
        <f t="shared" si="309"/>
        <v>18683.89</v>
      </c>
      <c r="CD126" s="277">
        <f t="shared" si="309"/>
        <v>34828.43</v>
      </c>
      <c r="CE126" s="312">
        <f t="shared" si="309"/>
        <v>52897</v>
      </c>
      <c r="CF126" s="312">
        <f t="shared" si="309"/>
        <v>6220</v>
      </c>
      <c r="CG126" s="312">
        <f t="shared" si="309"/>
        <v>5649.429999999993</v>
      </c>
      <c r="CH126" s="312">
        <f t="shared" si="309"/>
        <v>16488.32</v>
      </c>
      <c r="CI126" s="312">
        <f t="shared" si="309"/>
        <v>13677</v>
      </c>
      <c r="CJ126" s="312">
        <f t="shared" si="309"/>
        <v>665.59000000000015</v>
      </c>
      <c r="CK126" s="312">
        <f t="shared" si="309"/>
        <v>2650</v>
      </c>
      <c r="CL126" s="312">
        <f t="shared" si="309"/>
        <v>1485.1499999999996</v>
      </c>
      <c r="CM126" s="312">
        <f t="shared" si="310"/>
        <v>5107</v>
      </c>
      <c r="CN126" s="312">
        <f t="shared" si="310"/>
        <v>11114</v>
      </c>
      <c r="CO126" s="312">
        <f t="shared" si="310"/>
        <v>-35986</v>
      </c>
      <c r="CP126" s="312">
        <f t="shared" si="310"/>
        <v>-46263</v>
      </c>
      <c r="CQ126" s="312">
        <f t="shared" si="310"/>
        <v>-54280</v>
      </c>
      <c r="CR126" s="312">
        <f t="shared" si="310"/>
        <v>6315</v>
      </c>
      <c r="CS126" s="312">
        <f t="shared" si="310"/>
        <v>38592</v>
      </c>
      <c r="CT126" s="350"/>
      <c r="CU126" s="67">
        <f>'MONTHLY SUMMARIES'!J90</f>
        <v>131385</v>
      </c>
    </row>
    <row r="127" spans="1:100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173">
        <f t="shared" si="307"/>
        <v>0</v>
      </c>
      <c r="BJ127" s="103">
        <f t="shared" si="307"/>
        <v>0</v>
      </c>
      <c r="BK127" s="103">
        <f t="shared" si="307"/>
        <v>0</v>
      </c>
      <c r="BL127" s="103">
        <f t="shared" si="307"/>
        <v>0</v>
      </c>
      <c r="BM127" s="103">
        <f t="shared" si="307"/>
        <v>0</v>
      </c>
      <c r="BN127" s="103">
        <f t="shared" si="307"/>
        <v>54.64</v>
      </c>
      <c r="BO127" s="103">
        <f t="shared" si="307"/>
        <v>545.88</v>
      </c>
      <c r="BP127" s="103">
        <f t="shared" si="307"/>
        <v>1366</v>
      </c>
      <c r="BQ127" s="103">
        <f t="shared" si="307"/>
        <v>6611.62</v>
      </c>
      <c r="BR127" s="103">
        <f t="shared" si="307"/>
        <v>11932.54</v>
      </c>
      <c r="BS127" s="103">
        <f t="shared" si="308"/>
        <v>21871</v>
      </c>
      <c r="BT127" s="103">
        <f t="shared" si="308"/>
        <v>23592</v>
      </c>
      <c r="BU127" s="103">
        <f t="shared" si="308"/>
        <v>19777</v>
      </c>
      <c r="BV127" s="103">
        <f t="shared" si="308"/>
        <v>13863.73</v>
      </c>
      <c r="BW127" s="103">
        <f t="shared" si="308"/>
        <v>8709.9599999999991</v>
      </c>
      <c r="BX127" s="103">
        <f t="shared" si="308"/>
        <v>6370.24</v>
      </c>
      <c r="BY127" s="103">
        <f t="shared" si="308"/>
        <v>5285</v>
      </c>
      <c r="BZ127" s="103">
        <f t="shared" si="308"/>
        <v>3668.4300000000003</v>
      </c>
      <c r="CA127" s="277">
        <f t="shared" si="308"/>
        <v>4423.12</v>
      </c>
      <c r="CB127" s="277">
        <f t="shared" si="308"/>
        <v>6349</v>
      </c>
      <c r="CC127" s="277">
        <f t="shared" si="309"/>
        <v>4210.38</v>
      </c>
      <c r="CD127" s="277">
        <f t="shared" si="309"/>
        <v>11614.46</v>
      </c>
      <c r="CE127" s="312">
        <f t="shared" si="309"/>
        <v>9841</v>
      </c>
      <c r="CF127" s="312">
        <f t="shared" si="309"/>
        <v>14629</v>
      </c>
      <c r="CG127" s="312">
        <f t="shared" si="309"/>
        <v>61613</v>
      </c>
      <c r="CH127" s="312">
        <f t="shared" si="309"/>
        <v>56616.270000000004</v>
      </c>
      <c r="CI127" s="312">
        <f t="shared" si="309"/>
        <v>49367.040000000001</v>
      </c>
      <c r="CJ127" s="312">
        <f t="shared" si="309"/>
        <v>42239.76</v>
      </c>
      <c r="CK127" s="312">
        <f t="shared" si="309"/>
        <v>41860</v>
      </c>
      <c r="CL127" s="312">
        <f t="shared" si="309"/>
        <v>47464.93</v>
      </c>
      <c r="CM127" s="312">
        <f t="shared" si="310"/>
        <v>45390</v>
      </c>
      <c r="CN127" s="312">
        <f t="shared" si="310"/>
        <v>37953</v>
      </c>
      <c r="CO127" s="312">
        <f t="shared" si="310"/>
        <v>-10822</v>
      </c>
      <c r="CP127" s="312">
        <f t="shared" si="310"/>
        <v>-16567</v>
      </c>
      <c r="CQ127" s="312">
        <f t="shared" si="310"/>
        <v>-6321</v>
      </c>
      <c r="CR127" s="312">
        <f t="shared" si="310"/>
        <v>38072</v>
      </c>
      <c r="CS127" s="312">
        <f t="shared" si="310"/>
        <v>-9355</v>
      </c>
      <c r="CT127" s="350"/>
      <c r="CU127" s="67">
        <f>'MONTHLY SUMMARIES'!J91</f>
        <v>72035</v>
      </c>
    </row>
    <row r="128" spans="1:100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11">SUM(D123:D127)</f>
        <v>5544.02</v>
      </c>
      <c r="E128" s="136">
        <f t="shared" si="311"/>
        <v>3541.61</v>
      </c>
      <c r="F128" s="136">
        <f t="shared" si="311"/>
        <v>2628.84</v>
      </c>
      <c r="G128" s="136">
        <f t="shared" si="311"/>
        <v>1426.73</v>
      </c>
      <c r="H128" s="136">
        <f t="shared" si="311"/>
        <v>1351.3500000000001</v>
      </c>
      <c r="I128" s="136">
        <f t="shared" si="311"/>
        <v>2602</v>
      </c>
      <c r="J128" s="136">
        <f t="shared" si="311"/>
        <v>3114.1</v>
      </c>
      <c r="K128" s="136">
        <f t="shared" si="311"/>
        <v>9419.19</v>
      </c>
      <c r="L128" s="138">
        <f t="shared" si="311"/>
        <v>32561.680000000004</v>
      </c>
      <c r="M128" s="136">
        <f t="shared" si="311"/>
        <v>68785.67</v>
      </c>
      <c r="N128" s="136">
        <f t="shared" si="311"/>
        <v>153570.65</v>
      </c>
      <c r="O128" s="136">
        <f t="shared" si="311"/>
        <v>458730.15</v>
      </c>
      <c r="P128" s="136">
        <f t="shared" si="311"/>
        <v>394709.49000000005</v>
      </c>
      <c r="Q128" s="145">
        <f t="shared" si="311"/>
        <v>267204.57</v>
      </c>
      <c r="R128" s="145">
        <f t="shared" si="311"/>
        <v>122918.99</v>
      </c>
      <c r="S128" s="145">
        <f t="shared" si="311"/>
        <v>97761.700000000012</v>
      </c>
      <c r="T128" s="145">
        <f t="shared" si="311"/>
        <v>80673.14</v>
      </c>
      <c r="U128" s="145">
        <f t="shared" si="311"/>
        <v>92798.09</v>
      </c>
      <c r="V128" s="145">
        <f t="shared" si="311"/>
        <v>116986</v>
      </c>
      <c r="W128" s="145">
        <f t="shared" si="311"/>
        <v>229472.78999999998</v>
      </c>
      <c r="X128" s="138">
        <f t="shared" si="311"/>
        <v>400020.89999999997</v>
      </c>
      <c r="Y128" s="145">
        <v>585788</v>
      </c>
      <c r="Z128" s="242">
        <v>643831</v>
      </c>
      <c r="AA128" s="145">
        <f t="shared" ref="AA128" si="312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/>
      <c r="BA128" s="302"/>
      <c r="BB128" s="302"/>
      <c r="BC128" s="302"/>
      <c r="BD128" s="302"/>
      <c r="BE128" s="302"/>
      <c r="BF128" s="302"/>
      <c r="BG128" s="302"/>
      <c r="BH128" s="302"/>
      <c r="BI128" s="137">
        <f t="shared" ref="BI128:BI146" si="313">SUM(BI123:BI127)</f>
        <v>452282.38999999996</v>
      </c>
      <c r="BJ128" s="139">
        <f t="shared" ref="BJ128:BL128" si="314">SUM(BJ123:BJ127)</f>
        <v>389165.47000000003</v>
      </c>
      <c r="BK128" s="139">
        <f t="shared" si="314"/>
        <v>263662.96000000002</v>
      </c>
      <c r="BL128" s="139">
        <f t="shared" si="314"/>
        <v>120290.15000000001</v>
      </c>
      <c r="BM128" s="139">
        <f t="shared" ref="BM128:BN128" si="315">SUM(BM123:BM127)</f>
        <v>96334.97</v>
      </c>
      <c r="BN128" s="139">
        <f t="shared" si="315"/>
        <v>79321.789999999994</v>
      </c>
      <c r="BO128" s="139">
        <f t="shared" ref="BO128:BP128" si="316">SUM(BO123:BO127)</f>
        <v>90196.09</v>
      </c>
      <c r="BP128" s="139">
        <f t="shared" si="316"/>
        <v>113871.9</v>
      </c>
      <c r="BQ128" s="139">
        <f t="shared" ref="BQ128:BR128" si="317">SUM(BQ123:BQ127)</f>
        <v>220053.59999999998</v>
      </c>
      <c r="BR128" s="139">
        <f t="shared" si="317"/>
        <v>367459.22</v>
      </c>
      <c r="BS128" s="139">
        <f t="shared" ref="BS128:BT128" si="318">SUM(BS123:BS127)</f>
        <v>517002.33</v>
      </c>
      <c r="BT128" s="139">
        <f t="shared" si="318"/>
        <v>490260.35000000003</v>
      </c>
      <c r="BU128" s="139">
        <f t="shared" ref="BU128:BV128" si="319">SUM(BU123:BU127)</f>
        <v>142305.66000000003</v>
      </c>
      <c r="BV128" s="139">
        <f t="shared" si="319"/>
        <v>1550.619999999999</v>
      </c>
      <c r="BW128" s="139">
        <f t="shared" ref="BW128:BX128" si="320">SUM(BW123:BW127)</f>
        <v>-41664.44000000001</v>
      </c>
      <c r="BX128" s="139">
        <f t="shared" si="320"/>
        <v>29008.350000000006</v>
      </c>
      <c r="BY128" s="139">
        <f t="shared" ref="BY128:BZ128" si="321">SUM(BY123:BY127)</f>
        <v>20613.299999999996</v>
      </c>
      <c r="BZ128" s="139">
        <f t="shared" si="321"/>
        <v>27165.79</v>
      </c>
      <c r="CA128" s="278">
        <f t="shared" ref="CA128:CB128" si="322">SUM(CA123:CA127)</f>
        <v>23182.91</v>
      </c>
      <c r="CB128" s="278">
        <f t="shared" si="322"/>
        <v>12972</v>
      </c>
      <c r="CC128" s="278">
        <f t="shared" ref="CC128:CE128" si="323">SUM(CC123:CC127)</f>
        <v>30148.209999999995</v>
      </c>
      <c r="CD128" s="278">
        <f t="shared" si="323"/>
        <v>112388.1</v>
      </c>
      <c r="CE128" s="313">
        <f t="shared" si="323"/>
        <v>98495</v>
      </c>
      <c r="CF128" s="313">
        <f t="shared" ref="CF128:CG128" si="324">SUM(CF123:CF127)</f>
        <v>154963</v>
      </c>
      <c r="CG128" s="313">
        <f t="shared" si="324"/>
        <v>137943.18999999997</v>
      </c>
      <c r="CH128" s="313">
        <f t="shared" ref="CH128:CI128" si="325">SUM(CH123:CH127)</f>
        <v>130714.89</v>
      </c>
      <c r="CI128" s="313">
        <f t="shared" si="325"/>
        <v>108830.87</v>
      </c>
      <c r="CJ128" s="313">
        <f t="shared" ref="CJ128" si="326">SUM(CJ123:CJ127)</f>
        <v>55494.66</v>
      </c>
      <c r="CK128" s="313">
        <f t="shared" ref="CK128" si="327">SUM(CK123:CK127)</f>
        <v>75174</v>
      </c>
      <c r="CL128" s="313">
        <f t="shared" ref="CL128" si="328">SUM(CL123:CL127)</f>
        <v>71673.070000000007</v>
      </c>
      <c r="CM128" s="313">
        <f t="shared" ref="CM128" si="329">SUM(CM123:CM127)</f>
        <v>77288</v>
      </c>
      <c r="CN128" s="313">
        <f t="shared" ref="CN128" si="330">SUM(CN123:CN127)</f>
        <v>97727</v>
      </c>
      <c r="CO128" s="313">
        <f t="shared" ref="CO128" si="331">SUM(CO123:CO127)</f>
        <v>-238036</v>
      </c>
      <c r="CP128" s="313">
        <f t="shared" ref="CP128" si="332">SUM(CP123:CP127)</f>
        <v>-429371</v>
      </c>
      <c r="CQ128" s="313">
        <f t="shared" ref="CQ128:CS128" si="333">SUM(CQ123:CQ127)</f>
        <v>-392282</v>
      </c>
      <c r="CR128" s="313">
        <f t="shared" ref="CR128:CS128" si="334">SUM(CR123:CR127)</f>
        <v>24874</v>
      </c>
      <c r="CS128" s="313">
        <f t="shared" si="334"/>
        <v>118211</v>
      </c>
      <c r="CT128" s="351"/>
      <c r="CU128" s="88">
        <f>SUM(CU123:CU127)</f>
        <v>857190</v>
      </c>
      <c r="CV128" s="40"/>
    </row>
    <row r="129" spans="1:10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50"/>
      <c r="CU129" s="52"/>
    </row>
    <row r="130" spans="1:100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35">D116+D123</f>
        <v>20918769.620000001</v>
      </c>
      <c r="E130" s="101">
        <f t="shared" si="335"/>
        <v>12820560.579999998</v>
      </c>
      <c r="F130" s="101">
        <f t="shared" si="335"/>
        <v>7184646.3800000008</v>
      </c>
      <c r="G130" s="101">
        <f t="shared" si="335"/>
        <v>5414460.3300000001</v>
      </c>
      <c r="H130" s="101">
        <f t="shared" si="335"/>
        <v>4805277.2299999995</v>
      </c>
      <c r="I130" s="101">
        <f t="shared" si="335"/>
        <v>4995457.1100000003</v>
      </c>
      <c r="J130" s="101">
        <f t="shared" si="335"/>
        <v>6760753.1399999997</v>
      </c>
      <c r="K130" s="101">
        <f t="shared" si="335"/>
        <v>11659329.33</v>
      </c>
      <c r="L130" s="102">
        <f t="shared" si="335"/>
        <v>27116721.779999997</v>
      </c>
      <c r="M130" s="101">
        <f t="shared" si="335"/>
        <v>32224911.07</v>
      </c>
      <c r="N130" s="101">
        <f t="shared" si="335"/>
        <v>28612815.25</v>
      </c>
      <c r="O130" s="101">
        <f t="shared" si="335"/>
        <v>25912851.920000002</v>
      </c>
      <c r="P130" s="101">
        <f t="shared" si="335"/>
        <v>22838346.879999999</v>
      </c>
      <c r="Q130" s="101">
        <f t="shared" si="335"/>
        <v>15475656.799999999</v>
      </c>
      <c r="R130" s="101">
        <f t="shared" ref="R130:S130" si="336">R116+R123</f>
        <v>7187818.1700000009</v>
      </c>
      <c r="S130" s="101">
        <f t="shared" si="336"/>
        <v>5516209.1699999999</v>
      </c>
      <c r="T130" s="101">
        <f t="shared" ref="T130:U130" si="337">T116+T123</f>
        <v>4382922.0299999993</v>
      </c>
      <c r="U130" s="101">
        <f t="shared" si="337"/>
        <v>5066433.8999999994</v>
      </c>
      <c r="V130" s="101">
        <f t="shared" ref="V130:W130" si="338">V116+V123</f>
        <v>5848579</v>
      </c>
      <c r="W130" s="101">
        <f t="shared" si="338"/>
        <v>10866755.030000001</v>
      </c>
      <c r="X130" s="102">
        <f t="shared" ref="X130" si="339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7">
        <f t="shared" ref="BI130:CS130" si="340">O130-C130</f>
        <v>-4794192.34</v>
      </c>
      <c r="BJ130" s="103">
        <f t="shared" si="340"/>
        <v>1919577.2599999979</v>
      </c>
      <c r="BK130" s="103">
        <f t="shared" si="340"/>
        <v>2655096.2200000007</v>
      </c>
      <c r="BL130" s="103">
        <f t="shared" si="340"/>
        <v>3171.7900000000373</v>
      </c>
      <c r="BM130" s="103">
        <f t="shared" si="340"/>
        <v>101748.83999999985</v>
      </c>
      <c r="BN130" s="103">
        <f t="shared" si="340"/>
        <v>-422355.20000000019</v>
      </c>
      <c r="BO130" s="103">
        <f t="shared" si="340"/>
        <v>70976.789999999106</v>
      </c>
      <c r="BP130" s="103">
        <f t="shared" si="340"/>
        <v>-912174.13999999966</v>
      </c>
      <c r="BQ130" s="103">
        <f t="shared" si="340"/>
        <v>-792574.29999999888</v>
      </c>
      <c r="BR130" s="103">
        <f t="shared" si="340"/>
        <v>-3096368.2199999951</v>
      </c>
      <c r="BS130" s="103">
        <f t="shared" si="340"/>
        <v>2026078.9299999997</v>
      </c>
      <c r="BT130" s="103">
        <f t="shared" si="340"/>
        <v>7539396.75</v>
      </c>
      <c r="BU130" s="103">
        <f t="shared" si="340"/>
        <v>7271240.879999999</v>
      </c>
      <c r="BV130" s="103">
        <f t="shared" si="340"/>
        <v>-1240054.870000001</v>
      </c>
      <c r="BW130" s="103">
        <f t="shared" si="340"/>
        <v>-3491454.9099999983</v>
      </c>
      <c r="BX130" s="103">
        <f t="shared" si="340"/>
        <v>-68001.85000000149</v>
      </c>
      <c r="BY130" s="103">
        <f t="shared" si="340"/>
        <v>98519.830000000075</v>
      </c>
      <c r="BZ130" s="103">
        <f t="shared" si="340"/>
        <v>828858.93000000063</v>
      </c>
      <c r="CA130" s="277">
        <f t="shared" si="340"/>
        <v>405227.10000000056</v>
      </c>
      <c r="CB130" s="277">
        <f t="shared" si="340"/>
        <v>-131677</v>
      </c>
      <c r="CC130" s="277">
        <f t="shared" si="340"/>
        <v>2215925.9699999988</v>
      </c>
      <c r="CD130" s="277">
        <f t="shared" si="340"/>
        <v>8085419.4399999976</v>
      </c>
      <c r="CE130" s="312">
        <f t="shared" si="340"/>
        <v>5967374</v>
      </c>
      <c r="CF130" s="312">
        <f t="shared" si="340"/>
        <v>8765880</v>
      </c>
      <c r="CG130" s="312">
        <f t="shared" si="340"/>
        <v>7393548.1999999993</v>
      </c>
      <c r="CH130" s="312">
        <f t="shared" si="340"/>
        <v>7200833.9900000021</v>
      </c>
      <c r="CI130" s="312">
        <f t="shared" si="340"/>
        <v>5791157.1099999994</v>
      </c>
      <c r="CJ130" s="312">
        <f t="shared" si="340"/>
        <v>3102100.6800000006</v>
      </c>
      <c r="CK130" s="312">
        <f t="shared" si="340"/>
        <v>3013911</v>
      </c>
      <c r="CL130" s="312">
        <f t="shared" si="340"/>
        <v>2110755.04</v>
      </c>
      <c r="CM130" s="312">
        <f t="shared" si="340"/>
        <v>2662017</v>
      </c>
      <c r="CN130" s="312">
        <f t="shared" si="340"/>
        <v>3582748</v>
      </c>
      <c r="CO130" s="312">
        <f t="shared" si="340"/>
        <v>2008049</v>
      </c>
      <c r="CP130" s="312">
        <f t="shared" si="340"/>
        <v>4396479</v>
      </c>
      <c r="CQ130" s="312">
        <f t="shared" si="340"/>
        <v>6577582</v>
      </c>
      <c r="CR130" s="312">
        <f t="shared" si="340"/>
        <v>-968513</v>
      </c>
      <c r="CS130" s="312">
        <f t="shared" si="340"/>
        <v>1901490</v>
      </c>
      <c r="CT130" s="350"/>
      <c r="CU130" s="67">
        <f>'MONTHLY SUMMARIES'!J94</f>
        <v>42479131</v>
      </c>
    </row>
    <row r="131" spans="1:100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50"/>
      <c r="CU131" s="81">
        <f>CU130-CU132</f>
        <v>41829264</v>
      </c>
    </row>
    <row r="132" spans="1:100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50"/>
      <c r="CU132" s="67">
        <f>GETPIVOTDATA("VALUE",'CRS ESCO pvt'!$I$2,"DATE_FILE",$CU$8,"COMPANY",$CU$6,"TRIM_CAT","Resdiential-ESCO","TRIM_LINE",11)+GETPIVOTDATA("VALUE",'CRS ESCO pvt'!$I$2,"DATE_FILE",$CU$8,"COMPANY",$CU$6,"TRIM_CAT","Resdiential-ESCO","TRIM_LINE",12)</f>
        <v>649867</v>
      </c>
    </row>
    <row r="133" spans="1:100" s="40" customFormat="1" x14ac:dyDescent="0.3">
      <c r="A133" s="150"/>
      <c r="B133" s="41" t="s">
        <v>38</v>
      </c>
      <c r="C133" s="100">
        <f t="shared" ref="C133:P133" si="341">C117+C124</f>
        <v>2064798.0999999999</v>
      </c>
      <c r="D133" s="101">
        <f t="shared" si="341"/>
        <v>1681719.2000000002</v>
      </c>
      <c r="E133" s="101">
        <f t="shared" si="341"/>
        <v>841091.67</v>
      </c>
      <c r="F133" s="101">
        <f t="shared" si="341"/>
        <v>524961.82999999996</v>
      </c>
      <c r="G133" s="101">
        <f t="shared" si="341"/>
        <v>339897.84</v>
      </c>
      <c r="H133" s="101">
        <f t="shared" si="341"/>
        <v>285638.28999999998</v>
      </c>
      <c r="I133" s="101">
        <f t="shared" si="341"/>
        <v>299466.99</v>
      </c>
      <c r="J133" s="101">
        <f t="shared" si="341"/>
        <v>408495.91</v>
      </c>
      <c r="K133" s="101">
        <f t="shared" si="341"/>
        <v>732007.59</v>
      </c>
      <c r="L133" s="102">
        <f t="shared" si="341"/>
        <v>1974673.06</v>
      </c>
      <c r="M133" s="101">
        <f t="shared" si="341"/>
        <v>2092179.02</v>
      </c>
      <c r="N133" s="101">
        <f t="shared" si="341"/>
        <v>1922755.96</v>
      </c>
      <c r="O133" s="101">
        <f t="shared" si="341"/>
        <v>1695440.9</v>
      </c>
      <c r="P133" s="101">
        <f t="shared" si="341"/>
        <v>1664794.1</v>
      </c>
      <c r="Q133" s="101">
        <f>Q117+Q124</f>
        <v>936221.08000000007</v>
      </c>
      <c r="R133" s="101">
        <f t="shared" ref="R133:S133" si="342">R117+R124</f>
        <v>490451.13999999996</v>
      </c>
      <c r="S133" s="101">
        <f t="shared" si="342"/>
        <v>374775.03999999998</v>
      </c>
      <c r="T133" s="101">
        <f t="shared" ref="T133:U133" si="343">T117+T124</f>
        <v>272823.09000000003</v>
      </c>
      <c r="U133" s="101">
        <f t="shared" si="343"/>
        <v>305756.78999999998</v>
      </c>
      <c r="V133" s="101">
        <f t="shared" ref="V133:W133" si="344">V117+V124</f>
        <v>370284</v>
      </c>
      <c r="W133" s="101">
        <f t="shared" si="344"/>
        <v>792894.68</v>
      </c>
      <c r="X133" s="102">
        <f t="shared" ref="X133" si="345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7">
        <f t="shared" ref="BI133:CS133" si="346">O133-C133</f>
        <v>-369357.19999999995</v>
      </c>
      <c r="BJ133" s="103">
        <f t="shared" si="346"/>
        <v>-16925.100000000093</v>
      </c>
      <c r="BK133" s="103">
        <f t="shared" si="346"/>
        <v>95129.410000000033</v>
      </c>
      <c r="BL133" s="103">
        <f t="shared" si="346"/>
        <v>-34510.69</v>
      </c>
      <c r="BM133" s="103">
        <f t="shared" si="346"/>
        <v>34877.199999999953</v>
      </c>
      <c r="BN133" s="103">
        <f t="shared" si="346"/>
        <v>-12815.199999999953</v>
      </c>
      <c r="BO133" s="103">
        <f t="shared" si="346"/>
        <v>6289.7999999999884</v>
      </c>
      <c r="BP133" s="103">
        <f t="shared" si="346"/>
        <v>-38211.909999999974</v>
      </c>
      <c r="BQ133" s="103">
        <f t="shared" si="346"/>
        <v>60887.090000000084</v>
      </c>
      <c r="BR133" s="103">
        <f t="shared" si="346"/>
        <v>-61294.240000000224</v>
      </c>
      <c r="BS133" s="103">
        <f t="shared" si="346"/>
        <v>477438.98</v>
      </c>
      <c r="BT133" s="103">
        <f t="shared" si="346"/>
        <v>779397.04</v>
      </c>
      <c r="BU133" s="103">
        <f t="shared" si="346"/>
        <v>842087.58999999985</v>
      </c>
      <c r="BV133" s="103">
        <f t="shared" si="346"/>
        <v>262502.15999999992</v>
      </c>
      <c r="BW133" s="103">
        <f t="shared" si="346"/>
        <v>-18533.250000000116</v>
      </c>
      <c r="BX133" s="103">
        <f t="shared" si="346"/>
        <v>198145.91000000009</v>
      </c>
      <c r="BY133" s="103">
        <f t="shared" si="346"/>
        <v>107132.96000000002</v>
      </c>
      <c r="BZ133" s="103">
        <f t="shared" si="346"/>
        <v>98672.399999999965</v>
      </c>
      <c r="CA133" s="277">
        <f t="shared" si="346"/>
        <v>91878.210000000021</v>
      </c>
      <c r="CB133" s="277">
        <f t="shared" si="346"/>
        <v>56832</v>
      </c>
      <c r="CC133" s="277">
        <f t="shared" si="346"/>
        <v>344923.31999999995</v>
      </c>
      <c r="CD133" s="277">
        <f t="shared" si="346"/>
        <v>596589.18000000017</v>
      </c>
      <c r="CE133" s="312">
        <f t="shared" si="346"/>
        <v>641479</v>
      </c>
      <c r="CF133" s="312">
        <f t="shared" si="346"/>
        <v>910063</v>
      </c>
      <c r="CG133" s="312">
        <f t="shared" si="346"/>
        <v>836053.51000000024</v>
      </c>
      <c r="CH133" s="312">
        <f t="shared" si="346"/>
        <v>743824.74</v>
      </c>
      <c r="CI133" s="312">
        <f t="shared" si="346"/>
        <v>769152.17</v>
      </c>
      <c r="CJ133" s="312">
        <f t="shared" si="346"/>
        <v>287132.94999999995</v>
      </c>
      <c r="CK133" s="312">
        <f t="shared" si="346"/>
        <v>220728</v>
      </c>
      <c r="CL133" s="312">
        <f t="shared" si="346"/>
        <v>180341.51</v>
      </c>
      <c r="CM133" s="312">
        <f t="shared" si="346"/>
        <v>226753</v>
      </c>
      <c r="CN133" s="312">
        <f t="shared" si="346"/>
        <v>348307</v>
      </c>
      <c r="CO133" s="312">
        <f t="shared" si="346"/>
        <v>308782</v>
      </c>
      <c r="CP133" s="312">
        <f t="shared" si="346"/>
        <v>1108959</v>
      </c>
      <c r="CQ133" s="312">
        <f t="shared" si="346"/>
        <v>1010180</v>
      </c>
      <c r="CR133" s="312">
        <f t="shared" si="346"/>
        <v>661785</v>
      </c>
      <c r="CS133" s="312">
        <f t="shared" si="346"/>
        <v>889054</v>
      </c>
      <c r="CT133" s="350"/>
      <c r="CU133" s="67">
        <f>'MONTHLY SUMMARIES'!J95</f>
        <v>4262636</v>
      </c>
    </row>
    <row r="134" spans="1:100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50"/>
      <c r="CU134" s="81">
        <f>CU133-CU135</f>
        <v>4179863</v>
      </c>
    </row>
    <row r="135" spans="1:100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50"/>
      <c r="CU135" s="67">
        <f>GETPIVOTDATA("VALUE",'CRS ESCO pvt'!$I$2,"DATE_FILE",$CU$8,"COMPANY",$CU$6,"TRIM_CAT","Low Income Resdiential-ESCO","TRIM_LINE",11)+GETPIVOTDATA("VALUE",'CRS ESCO pvt'!$I$2,"DATE_FILE",$CU$8,"COMPANY",$CU$6,"TRIM_CAT","Low Income Resdiential-ESCO","TRIM_LINE",12)</f>
        <v>82773</v>
      </c>
    </row>
    <row r="136" spans="1:100" s="40" customFormat="1" x14ac:dyDescent="0.3">
      <c r="A136" s="150"/>
      <c r="B136" s="41" t="s">
        <v>39</v>
      </c>
      <c r="C136" s="100">
        <f t="shared" ref="C136:P136" si="347">C118+C125</f>
        <v>7158614.8300000001</v>
      </c>
      <c r="D136" s="101">
        <f t="shared" si="347"/>
        <v>4502597.99</v>
      </c>
      <c r="E136" s="101">
        <f t="shared" si="347"/>
        <v>2800234.8299999996</v>
      </c>
      <c r="F136" s="101">
        <f t="shared" si="347"/>
        <v>1544444.02</v>
      </c>
      <c r="G136" s="101">
        <f t="shared" si="347"/>
        <v>1250297.5999999999</v>
      </c>
      <c r="H136" s="101">
        <f t="shared" si="347"/>
        <v>1186601.49</v>
      </c>
      <c r="I136" s="101">
        <f t="shared" si="347"/>
        <v>1097488.6200000001</v>
      </c>
      <c r="J136" s="101">
        <f t="shared" si="347"/>
        <v>1538751.38</v>
      </c>
      <c r="K136" s="101">
        <f t="shared" si="347"/>
        <v>2426801.66</v>
      </c>
      <c r="L136" s="102">
        <f t="shared" si="347"/>
        <v>9489604.0899999999</v>
      </c>
      <c r="M136" s="101">
        <f t="shared" si="347"/>
        <v>7083826.0800000001</v>
      </c>
      <c r="N136" s="101">
        <f t="shared" si="347"/>
        <v>6435159.2200000007</v>
      </c>
      <c r="O136" s="101">
        <f t="shared" si="347"/>
        <v>5430167.6299999999</v>
      </c>
      <c r="P136" s="101">
        <f t="shared" si="347"/>
        <v>4529711.2</v>
      </c>
      <c r="Q136" s="101">
        <f>Q118+Q125</f>
        <v>3046415.75</v>
      </c>
      <c r="R136" s="101">
        <f t="shared" ref="R136:S136" si="348">R118+R125</f>
        <v>1252501.3299999998</v>
      </c>
      <c r="S136" s="101">
        <f t="shared" si="348"/>
        <v>1063958.08</v>
      </c>
      <c r="T136" s="101">
        <f t="shared" ref="T136:U136" si="349">T118+T125</f>
        <v>897310.46</v>
      </c>
      <c r="U136" s="101">
        <f t="shared" si="349"/>
        <v>1038768.62</v>
      </c>
      <c r="V136" s="101">
        <f t="shared" ref="V136:W136" si="350">V118+V125</f>
        <v>1229092</v>
      </c>
      <c r="W136" s="101">
        <f t="shared" si="350"/>
        <v>2275788.4899999998</v>
      </c>
      <c r="X136" s="102">
        <f t="shared" ref="X136" si="351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7">
        <f t="shared" ref="BI136:BR138" si="352">O136-C136</f>
        <v>-1728447.2000000002</v>
      </c>
      <c r="BJ136" s="103">
        <f t="shared" si="352"/>
        <v>27113.209999999963</v>
      </c>
      <c r="BK136" s="103">
        <f t="shared" si="352"/>
        <v>246180.92000000039</v>
      </c>
      <c r="BL136" s="103">
        <f t="shared" si="352"/>
        <v>-291942.69000000018</v>
      </c>
      <c r="BM136" s="103">
        <f t="shared" si="352"/>
        <v>-186339.51999999979</v>
      </c>
      <c r="BN136" s="103">
        <f t="shared" si="352"/>
        <v>-289291.03000000003</v>
      </c>
      <c r="BO136" s="103">
        <f t="shared" si="352"/>
        <v>-58720.000000000116</v>
      </c>
      <c r="BP136" s="103">
        <f t="shared" si="352"/>
        <v>-309659.37999999989</v>
      </c>
      <c r="BQ136" s="103">
        <f t="shared" si="352"/>
        <v>-151013.17000000039</v>
      </c>
      <c r="BR136" s="103">
        <f t="shared" si="352"/>
        <v>-4476999.1099999994</v>
      </c>
      <c r="BS136" s="103">
        <f t="shared" ref="BS136:CB138" si="353">Y136-M136</f>
        <v>412239.91999999993</v>
      </c>
      <c r="BT136" s="103">
        <f t="shared" si="353"/>
        <v>1181238.7799999993</v>
      </c>
      <c r="BU136" s="103">
        <f t="shared" si="353"/>
        <v>2571892.75</v>
      </c>
      <c r="BV136" s="103">
        <f t="shared" si="353"/>
        <v>-68162.769999999553</v>
      </c>
      <c r="BW136" s="103">
        <f t="shared" si="353"/>
        <v>-433547.20999999996</v>
      </c>
      <c r="BX136" s="103">
        <f t="shared" si="353"/>
        <v>154863.00000000023</v>
      </c>
      <c r="BY136" s="103">
        <f t="shared" si="353"/>
        <v>120938.91999999993</v>
      </c>
      <c r="BZ136" s="103">
        <f t="shared" si="353"/>
        <v>274688.70999999996</v>
      </c>
      <c r="CA136" s="277">
        <f t="shared" si="353"/>
        <v>141835.38</v>
      </c>
      <c r="CB136" s="277">
        <f t="shared" si="353"/>
        <v>1702</v>
      </c>
      <c r="CC136" s="277">
        <f t="shared" ref="CC136:CL138" si="354">AI136-W136</f>
        <v>444800.51000000024</v>
      </c>
      <c r="CD136" s="277">
        <f t="shared" si="354"/>
        <v>1563228.0199999996</v>
      </c>
      <c r="CE136" s="312">
        <f t="shared" si="354"/>
        <v>1254314</v>
      </c>
      <c r="CF136" s="312">
        <f t="shared" si="354"/>
        <v>2625992</v>
      </c>
      <c r="CG136" s="312">
        <f t="shared" si="354"/>
        <v>1096048.6200000001</v>
      </c>
      <c r="CH136" s="312">
        <f t="shared" si="354"/>
        <v>1979027.5699999994</v>
      </c>
      <c r="CI136" s="312">
        <f t="shared" si="354"/>
        <v>924190.46</v>
      </c>
      <c r="CJ136" s="312">
        <f t="shared" si="354"/>
        <v>857264.66999999993</v>
      </c>
      <c r="CK136" s="312">
        <f t="shared" si="354"/>
        <v>893897</v>
      </c>
      <c r="CL136" s="312">
        <f t="shared" si="354"/>
        <v>618582.83000000007</v>
      </c>
      <c r="CM136" s="312">
        <f t="shared" ref="CM136:CS138" si="355">AS136-AG136</f>
        <v>700195</v>
      </c>
      <c r="CN136" s="312">
        <f t="shared" si="355"/>
        <v>1022823</v>
      </c>
      <c r="CO136" s="312">
        <f t="shared" si="355"/>
        <v>791571</v>
      </c>
      <c r="CP136" s="312">
        <f t="shared" si="355"/>
        <v>1410403</v>
      </c>
      <c r="CQ136" s="312">
        <f t="shared" si="355"/>
        <v>1371562</v>
      </c>
      <c r="CR136" s="312">
        <f t="shared" si="355"/>
        <v>200474</v>
      </c>
      <c r="CS136" s="312">
        <f t="shared" si="355"/>
        <v>223603</v>
      </c>
      <c r="CT136" s="350"/>
      <c r="CU136" s="67">
        <f>'MONTHLY SUMMARIES'!J96</f>
        <v>9321712</v>
      </c>
    </row>
    <row r="137" spans="1:100" s="40" customFormat="1" x14ac:dyDescent="0.3">
      <c r="A137" s="150"/>
      <c r="B137" s="41" t="s">
        <v>40</v>
      </c>
      <c r="C137" s="100">
        <f t="shared" ref="C137:Q137" si="356">C119+C126</f>
        <v>6838850.2800000003</v>
      </c>
      <c r="D137" s="101">
        <f t="shared" si="356"/>
        <v>2078460.05</v>
      </c>
      <c r="E137" s="101">
        <f t="shared" si="356"/>
        <v>1327294.81</v>
      </c>
      <c r="F137" s="101">
        <f t="shared" si="356"/>
        <v>1350865.6</v>
      </c>
      <c r="G137" s="101">
        <f t="shared" si="356"/>
        <v>566217.87</v>
      </c>
      <c r="H137" s="101">
        <f t="shared" si="356"/>
        <v>453421.5</v>
      </c>
      <c r="I137" s="101">
        <f t="shared" si="356"/>
        <v>426919.2</v>
      </c>
      <c r="J137" s="101">
        <f t="shared" si="356"/>
        <v>658308.48</v>
      </c>
      <c r="K137" s="101">
        <f t="shared" si="356"/>
        <v>1164826.24</v>
      </c>
      <c r="L137" s="102">
        <f t="shared" si="356"/>
        <v>2360744.09</v>
      </c>
      <c r="M137" s="101">
        <f t="shared" si="356"/>
        <v>2865707.05</v>
      </c>
      <c r="N137" s="101">
        <f t="shared" si="356"/>
        <v>2518075.5299999998</v>
      </c>
      <c r="O137" s="101">
        <f t="shared" si="356"/>
        <v>2332189.2199999997</v>
      </c>
      <c r="P137" s="101">
        <f t="shared" si="356"/>
        <v>1808520.13</v>
      </c>
      <c r="Q137" s="101">
        <f t="shared" si="356"/>
        <v>1327730.01</v>
      </c>
      <c r="R137" s="101">
        <f t="shared" ref="R137:S137" si="357">R119+R126</f>
        <v>539544.00999999989</v>
      </c>
      <c r="S137" s="101">
        <f t="shared" si="357"/>
        <v>341140.96</v>
      </c>
      <c r="T137" s="101">
        <f t="shared" ref="T137:U137" si="358">T119+T126</f>
        <v>264400.5</v>
      </c>
      <c r="U137" s="101">
        <f t="shared" si="358"/>
        <v>356944.74000000005</v>
      </c>
      <c r="V137" s="101">
        <f t="shared" ref="V137:W137" si="359">V119+V126</f>
        <v>655348</v>
      </c>
      <c r="W137" s="101">
        <f t="shared" si="359"/>
        <v>994589.77</v>
      </c>
      <c r="X137" s="102">
        <f t="shared" ref="X137" si="360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7">
        <f t="shared" si="352"/>
        <v>-4506661.0600000005</v>
      </c>
      <c r="BJ137" s="103">
        <f t="shared" si="352"/>
        <v>-269939.92000000016</v>
      </c>
      <c r="BK137" s="103">
        <f t="shared" si="352"/>
        <v>435.19999999995343</v>
      </c>
      <c r="BL137" s="103">
        <f t="shared" si="352"/>
        <v>-811321.5900000002</v>
      </c>
      <c r="BM137" s="103">
        <f t="shared" si="352"/>
        <v>-225076.90999999997</v>
      </c>
      <c r="BN137" s="103">
        <f t="shared" si="352"/>
        <v>-189021</v>
      </c>
      <c r="BO137" s="103">
        <f t="shared" si="352"/>
        <v>-69974.459999999963</v>
      </c>
      <c r="BP137" s="103">
        <f t="shared" si="352"/>
        <v>-2960.4799999999814</v>
      </c>
      <c r="BQ137" s="103">
        <f t="shared" si="352"/>
        <v>-170236.46999999997</v>
      </c>
      <c r="BR137" s="103">
        <f t="shared" si="352"/>
        <v>-390163.89999999967</v>
      </c>
      <c r="BS137" s="103">
        <f t="shared" si="353"/>
        <v>-103246.04999999981</v>
      </c>
      <c r="BT137" s="103">
        <f t="shared" si="353"/>
        <v>327614.4700000002</v>
      </c>
      <c r="BU137" s="103">
        <f t="shared" si="353"/>
        <v>516112.30000000028</v>
      </c>
      <c r="BV137" s="103">
        <f t="shared" si="353"/>
        <v>16905.959999999963</v>
      </c>
      <c r="BW137" s="103">
        <f t="shared" si="353"/>
        <v>-225899.63000000012</v>
      </c>
      <c r="BX137" s="103">
        <f t="shared" si="353"/>
        <v>-14891.039999999921</v>
      </c>
      <c r="BY137" s="103">
        <f t="shared" si="353"/>
        <v>72010.039999999979</v>
      </c>
      <c r="BZ137" s="103">
        <f t="shared" si="353"/>
        <v>164538.46999999997</v>
      </c>
      <c r="CA137" s="277">
        <f t="shared" si="353"/>
        <v>88426.259999999951</v>
      </c>
      <c r="CB137" s="277">
        <f t="shared" si="353"/>
        <v>-183334</v>
      </c>
      <c r="CC137" s="277">
        <f t="shared" si="354"/>
        <v>158681.22999999998</v>
      </c>
      <c r="CD137" s="277">
        <f t="shared" si="354"/>
        <v>663593.80999999982</v>
      </c>
      <c r="CE137" s="312">
        <f t="shared" si="354"/>
        <v>610896</v>
      </c>
      <c r="CF137" s="312">
        <f t="shared" si="354"/>
        <v>802046</v>
      </c>
      <c r="CG137" s="312">
        <f t="shared" si="354"/>
        <v>477079.48</v>
      </c>
      <c r="CH137" s="312">
        <f t="shared" si="354"/>
        <v>851910.91000000015</v>
      </c>
      <c r="CI137" s="312">
        <f t="shared" si="354"/>
        <v>467001.62000000011</v>
      </c>
      <c r="CJ137" s="312">
        <f t="shared" si="354"/>
        <v>282883.03000000003</v>
      </c>
      <c r="CK137" s="312">
        <f t="shared" si="354"/>
        <v>388052</v>
      </c>
      <c r="CL137" s="312">
        <f t="shared" si="354"/>
        <v>150795.03000000003</v>
      </c>
      <c r="CM137" s="312">
        <f t="shared" si="355"/>
        <v>221202</v>
      </c>
      <c r="CN137" s="312">
        <f t="shared" si="355"/>
        <v>528977</v>
      </c>
      <c r="CO137" s="312">
        <f t="shared" si="355"/>
        <v>454187</v>
      </c>
      <c r="CP137" s="312">
        <f t="shared" si="355"/>
        <v>723020</v>
      </c>
      <c r="CQ137" s="312">
        <f t="shared" si="355"/>
        <v>463384</v>
      </c>
      <c r="CR137" s="312">
        <f t="shared" si="355"/>
        <v>287678</v>
      </c>
      <c r="CS137" s="312">
        <f t="shared" si="355"/>
        <v>368099</v>
      </c>
      <c r="CT137" s="350"/>
      <c r="CU137" s="67">
        <f>'MONTHLY SUMMARIES'!J97</f>
        <v>3693480</v>
      </c>
    </row>
    <row r="138" spans="1:100" s="40" customFormat="1" x14ac:dyDescent="0.3">
      <c r="A138" s="150"/>
      <c r="B138" s="41" t="s">
        <v>41</v>
      </c>
      <c r="C138" s="100">
        <f t="shared" ref="C138:Q138" si="361">C120+C127</f>
        <v>3762025.66</v>
      </c>
      <c r="D138" s="101">
        <f t="shared" si="361"/>
        <v>1653639.88</v>
      </c>
      <c r="E138" s="101">
        <f t="shared" si="361"/>
        <v>1209935.4099999999</v>
      </c>
      <c r="F138" s="101">
        <f t="shared" si="361"/>
        <v>1081284.02</v>
      </c>
      <c r="G138" s="101">
        <f t="shared" si="361"/>
        <v>782809.59</v>
      </c>
      <c r="H138" s="101">
        <f t="shared" si="361"/>
        <v>904426.95</v>
      </c>
      <c r="I138" s="101">
        <f t="shared" si="361"/>
        <v>823881.53</v>
      </c>
      <c r="J138" s="101">
        <f t="shared" si="361"/>
        <v>1054995</v>
      </c>
      <c r="K138" s="101">
        <f t="shared" si="361"/>
        <v>1025378.5</v>
      </c>
      <c r="L138" s="102">
        <f t="shared" si="361"/>
        <v>1696099.28</v>
      </c>
      <c r="M138" s="101">
        <f t="shared" si="361"/>
        <v>1796338.55</v>
      </c>
      <c r="N138" s="101">
        <f t="shared" si="361"/>
        <v>1633914.02</v>
      </c>
      <c r="O138" s="101">
        <f t="shared" si="361"/>
        <v>1552071.46</v>
      </c>
      <c r="P138" s="101">
        <f t="shared" si="361"/>
        <v>1203522.1499999999</v>
      </c>
      <c r="Q138" s="101">
        <f t="shared" si="361"/>
        <v>1216447.52</v>
      </c>
      <c r="R138" s="101">
        <f t="shared" ref="R138:S138" si="362">R120+R127</f>
        <v>823192</v>
      </c>
      <c r="S138" s="101">
        <f t="shared" si="362"/>
        <v>732108.01</v>
      </c>
      <c r="T138" s="101">
        <f t="shared" ref="T138:U138" si="363">T120+T127</f>
        <v>703655.70000000007</v>
      </c>
      <c r="U138" s="101">
        <f t="shared" si="363"/>
        <v>795514.82</v>
      </c>
      <c r="V138" s="101">
        <f t="shared" ref="V138:W138" si="364">V120+V127</f>
        <v>771730</v>
      </c>
      <c r="W138" s="101">
        <f t="shared" si="364"/>
        <v>998790.09</v>
      </c>
      <c r="X138" s="102">
        <f t="shared" ref="X138" si="365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7">
        <f t="shared" si="352"/>
        <v>-2209954.2000000002</v>
      </c>
      <c r="BJ138" s="103">
        <f t="shared" si="352"/>
        <v>-450117.73</v>
      </c>
      <c r="BK138" s="103">
        <f t="shared" si="352"/>
        <v>6512.1100000001024</v>
      </c>
      <c r="BL138" s="103">
        <f t="shared" si="352"/>
        <v>-258092.02000000002</v>
      </c>
      <c r="BM138" s="103">
        <f t="shared" si="352"/>
        <v>-50701.579999999958</v>
      </c>
      <c r="BN138" s="103">
        <f t="shared" si="352"/>
        <v>-200771.24999999988</v>
      </c>
      <c r="BO138" s="103">
        <f t="shared" si="352"/>
        <v>-28366.710000000079</v>
      </c>
      <c r="BP138" s="103">
        <f t="shared" si="352"/>
        <v>-283265</v>
      </c>
      <c r="BQ138" s="103">
        <f t="shared" si="352"/>
        <v>-26588.410000000033</v>
      </c>
      <c r="BR138" s="103">
        <f t="shared" si="352"/>
        <v>-302211.25</v>
      </c>
      <c r="BS138" s="103">
        <f t="shared" si="353"/>
        <v>42115.449999999953</v>
      </c>
      <c r="BT138" s="103">
        <f t="shared" si="353"/>
        <v>155644.97999999998</v>
      </c>
      <c r="BU138" s="103">
        <f t="shared" si="353"/>
        <v>253420.39000000013</v>
      </c>
      <c r="BV138" s="103">
        <f t="shared" si="353"/>
        <v>226391.77000000002</v>
      </c>
      <c r="BW138" s="103">
        <f t="shared" si="353"/>
        <v>-18310.739999999991</v>
      </c>
      <c r="BX138" s="103">
        <f t="shared" si="353"/>
        <v>56867.679999999935</v>
      </c>
      <c r="BY138" s="103">
        <f t="shared" si="353"/>
        <v>59584.989999999991</v>
      </c>
      <c r="BZ138" s="103">
        <f t="shared" si="353"/>
        <v>2269.5499999999302</v>
      </c>
      <c r="CA138" s="277">
        <f t="shared" si="353"/>
        <v>28794.180000000051</v>
      </c>
      <c r="CB138" s="277">
        <f t="shared" si="353"/>
        <v>84449</v>
      </c>
      <c r="CC138" s="277">
        <f t="shared" si="354"/>
        <v>31422.910000000033</v>
      </c>
      <c r="CD138" s="277">
        <f t="shared" si="354"/>
        <v>329472.96999999997</v>
      </c>
      <c r="CE138" s="312">
        <f t="shared" si="354"/>
        <v>246215</v>
      </c>
      <c r="CF138" s="312">
        <f t="shared" si="354"/>
        <v>418605</v>
      </c>
      <c r="CG138" s="312">
        <f t="shared" si="354"/>
        <v>216245.14999999991</v>
      </c>
      <c r="CH138" s="312">
        <f t="shared" si="354"/>
        <v>774585.08000000007</v>
      </c>
      <c r="CI138" s="312">
        <f t="shared" si="354"/>
        <v>361190.22</v>
      </c>
      <c r="CJ138" s="312">
        <f t="shared" si="354"/>
        <v>481297.32000000007</v>
      </c>
      <c r="CK138" s="312">
        <f t="shared" si="354"/>
        <v>418899</v>
      </c>
      <c r="CL138" s="312">
        <f t="shared" si="354"/>
        <v>1260674.75</v>
      </c>
      <c r="CM138" s="312">
        <f t="shared" si="355"/>
        <v>651862</v>
      </c>
      <c r="CN138" s="312">
        <f t="shared" si="355"/>
        <v>335960</v>
      </c>
      <c r="CO138" s="312">
        <f t="shared" si="355"/>
        <v>676814</v>
      </c>
      <c r="CP138" s="312">
        <f t="shared" si="355"/>
        <v>518370</v>
      </c>
      <c r="CQ138" s="312">
        <f t="shared" si="355"/>
        <v>1238779</v>
      </c>
      <c r="CR138" s="312">
        <f t="shared" si="355"/>
        <v>941394</v>
      </c>
      <c r="CS138" s="312">
        <f t="shared" si="355"/>
        <v>907626</v>
      </c>
      <c r="CT138" s="350"/>
      <c r="CU138" s="67">
        <f>'MONTHLY SUMMARIES'!J98</f>
        <v>2929363</v>
      </c>
    </row>
    <row r="139" spans="1:100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66">SUM(D130:D138)</f>
        <v>30835186.740000002</v>
      </c>
      <c r="E139" s="131">
        <f t="shared" si="366"/>
        <v>18999117.299999997</v>
      </c>
      <c r="F139" s="131">
        <f t="shared" si="366"/>
        <v>11686201.85</v>
      </c>
      <c r="G139" s="131">
        <f t="shared" si="366"/>
        <v>8353683.2299999995</v>
      </c>
      <c r="H139" s="131">
        <f t="shared" si="366"/>
        <v>7635365.46</v>
      </c>
      <c r="I139" s="131">
        <f t="shared" si="366"/>
        <v>7643213.4500000011</v>
      </c>
      <c r="J139" s="131">
        <f t="shared" si="366"/>
        <v>10421303.91</v>
      </c>
      <c r="K139" s="131">
        <f t="shared" si="366"/>
        <v>17008343.32</v>
      </c>
      <c r="L139" s="132">
        <f t="shared" si="366"/>
        <v>42637842.299999997</v>
      </c>
      <c r="M139" s="131">
        <f t="shared" si="366"/>
        <v>46062961.769999996</v>
      </c>
      <c r="N139" s="131">
        <f t="shared" si="366"/>
        <v>41122719.980000004</v>
      </c>
      <c r="O139" s="131">
        <f t="shared" si="366"/>
        <v>36922721.130000003</v>
      </c>
      <c r="P139" s="131">
        <f t="shared" si="366"/>
        <v>32044894.459999997</v>
      </c>
      <c r="Q139" s="131">
        <f t="shared" si="366"/>
        <v>22002471.16</v>
      </c>
      <c r="R139" s="131">
        <f t="shared" si="366"/>
        <v>10293506.65</v>
      </c>
      <c r="S139" s="131">
        <f t="shared" si="366"/>
        <v>8028191.2599999998</v>
      </c>
      <c r="T139" s="131">
        <f t="shared" si="366"/>
        <v>6521111.7799999993</v>
      </c>
      <c r="U139" s="131">
        <f t="shared" si="366"/>
        <v>7563418.8700000001</v>
      </c>
      <c r="V139" s="131">
        <f t="shared" ref="V139" si="367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68">SUM(Y130+Y133+Y136+Y137+Y138)</f>
        <v>48917589</v>
      </c>
      <c r="Z139" s="131">
        <f t="shared" si="368"/>
        <v>51106012</v>
      </c>
      <c r="AA139" s="131">
        <f t="shared" si="368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38">
        <f>SUM(BI130:BI138)</f>
        <v>-13608612</v>
      </c>
      <c r="BJ139" s="133">
        <f t="shared" ref="BJ139:BL139" si="369">SUM(BJ130:BJ138)</f>
        <v>1209707.7199999976</v>
      </c>
      <c r="BK139" s="133">
        <f t="shared" si="369"/>
        <v>3003353.8600000013</v>
      </c>
      <c r="BL139" s="133">
        <f t="shared" si="369"/>
        <v>-1392695.2000000004</v>
      </c>
      <c r="BM139" s="133">
        <f t="shared" ref="BM139:BN139" si="370">SUM(BM130:BM138)</f>
        <v>-325491.96999999991</v>
      </c>
      <c r="BN139" s="133">
        <f t="shared" si="370"/>
        <v>-1114253.6800000002</v>
      </c>
      <c r="BO139" s="133">
        <f t="shared" ref="BO139:BP139" si="371">SUM(BO130:BO138)</f>
        <v>-79794.580000001064</v>
      </c>
      <c r="BP139" s="133">
        <f t="shared" si="371"/>
        <v>-1546270.9099999995</v>
      </c>
      <c r="BQ139" s="133">
        <f t="shared" ref="BQ139:BR139" si="372">SUM(BQ130:BQ138)</f>
        <v>-1079525.2599999993</v>
      </c>
      <c r="BR139" s="133">
        <f t="shared" si="372"/>
        <v>-8327036.7199999942</v>
      </c>
      <c r="BS139" s="133">
        <f t="shared" ref="BS139:BT139" si="373">SUM(BS130:BS138)</f>
        <v>2854627.2299999995</v>
      </c>
      <c r="BT139" s="133">
        <f t="shared" si="373"/>
        <v>9983292.0200000014</v>
      </c>
      <c r="BU139" s="133">
        <f t="shared" ref="BU139:BV139" si="374">SUM(BU130:BU138)</f>
        <v>11454753.91</v>
      </c>
      <c r="BV139" s="133">
        <f t="shared" si="374"/>
        <v>-802417.7500000007</v>
      </c>
      <c r="BW139" s="133">
        <f t="shared" ref="BW139:BX139" si="375">SUM(BW130:BW138)</f>
        <v>-4187745.7399999984</v>
      </c>
      <c r="BX139" s="133">
        <f t="shared" si="375"/>
        <v>326983.69999999885</v>
      </c>
      <c r="BY139" s="133">
        <f t="shared" ref="BY139:BZ139" si="376">SUM(BY130:BY138)</f>
        <v>458186.74</v>
      </c>
      <c r="BZ139" s="133">
        <f t="shared" si="376"/>
        <v>1369028.0600000005</v>
      </c>
      <c r="CA139" s="274">
        <f t="shared" ref="CA139:CB139" si="377">SUM(CA130:CA138)</f>
        <v>756161.1300000007</v>
      </c>
      <c r="CB139" s="274">
        <f t="shared" si="377"/>
        <v>-172028</v>
      </c>
      <c r="CC139" s="274">
        <f t="shared" ref="CC139:CE139" si="378">SUM(CC130:CC138)</f>
        <v>3195753.939999999</v>
      </c>
      <c r="CD139" s="274">
        <f t="shared" si="378"/>
        <v>11238303.419999998</v>
      </c>
      <c r="CE139" s="326">
        <f t="shared" si="378"/>
        <v>8720278</v>
      </c>
      <c r="CF139" s="326">
        <f t="shared" ref="CF139:CG139" si="379">SUM(CF130:CF138)</f>
        <v>13522586</v>
      </c>
      <c r="CG139" s="326">
        <f t="shared" si="379"/>
        <v>10018974.959999999</v>
      </c>
      <c r="CH139" s="326">
        <f t="shared" ref="CH139:CI139" si="380">SUM(CH130:CH138)</f>
        <v>11550182.290000001</v>
      </c>
      <c r="CI139" s="326">
        <f t="shared" si="380"/>
        <v>8312691.5799999991</v>
      </c>
      <c r="CJ139" s="326">
        <f t="shared" ref="CJ139" si="381">SUM(CJ130:CJ138)</f>
        <v>5010678.6500000013</v>
      </c>
      <c r="CK139" s="326">
        <f t="shared" ref="CK139" si="382">SUM(CK130:CK138)</f>
        <v>4935487</v>
      </c>
      <c r="CL139" s="326">
        <f t="shared" ref="CL139" si="383">SUM(CL130:CL138)</f>
        <v>4321149.16</v>
      </c>
      <c r="CM139" s="326">
        <f t="shared" ref="CM139" si="384">SUM(CM130:CM138)</f>
        <v>4462029</v>
      </c>
      <c r="CN139" s="326">
        <f t="shared" ref="CN139" si="385">SUM(CN130:CN138)</f>
        <v>5818815</v>
      </c>
      <c r="CO139" s="326">
        <f t="shared" ref="CO139" si="386">SUM(CO130:CO138)</f>
        <v>4239403</v>
      </c>
      <c r="CP139" s="366">
        <f t="shared" ref="CP139" si="387">SUM(CP130:CP138)</f>
        <v>8157231</v>
      </c>
      <c r="CQ139" s="366">
        <f t="shared" ref="CQ139:CS139" si="388">SUM(CQ130:CQ138)</f>
        <v>10661487</v>
      </c>
      <c r="CR139" s="366">
        <f t="shared" ref="CR139:CS139" si="389">SUM(CR130:CR138)</f>
        <v>1122818</v>
      </c>
      <c r="CS139" s="366">
        <f t="shared" si="389"/>
        <v>4289872</v>
      </c>
      <c r="CT139" s="351"/>
      <c r="CU139" s="263">
        <f>CU130+CU133+CU136+CU137+CU138</f>
        <v>62686322</v>
      </c>
      <c r="CV139" s="40"/>
    </row>
    <row r="140" spans="1:100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50"/>
      <c r="CU140" s="98"/>
    </row>
    <row r="141" spans="1:100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7">
        <f t="shared" ref="BI141:BR145" si="390">O141-C141</f>
        <v>-2117707.5300000012</v>
      </c>
      <c r="BJ141" s="103">
        <f t="shared" si="390"/>
        <v>-2567128.8599999994</v>
      </c>
      <c r="BK141" s="103">
        <f t="shared" si="390"/>
        <v>118851.08999999985</v>
      </c>
      <c r="BL141" s="103">
        <f t="shared" si="390"/>
        <v>236527.93999999948</v>
      </c>
      <c r="BM141" s="103">
        <f t="shared" si="390"/>
        <v>-1021452.0700000003</v>
      </c>
      <c r="BN141" s="103">
        <f t="shared" si="390"/>
        <v>-687143.08999999892</v>
      </c>
      <c r="BO141" s="103">
        <f t="shared" si="390"/>
        <v>-152746.33000000007</v>
      </c>
      <c r="BP141" s="103">
        <f t="shared" si="390"/>
        <v>-820025.44999999925</v>
      </c>
      <c r="BQ141" s="103">
        <f t="shared" si="390"/>
        <v>173330.04000000097</v>
      </c>
      <c r="BR141" s="103">
        <f t="shared" si="390"/>
        <v>-1046751.1699999981</v>
      </c>
      <c r="BS141" s="103">
        <f t="shared" ref="BS141:CB145" si="391">Y141-M141</f>
        <v>-2353202.7300000004</v>
      </c>
      <c r="BT141" s="103">
        <f t="shared" si="391"/>
        <v>2847096.9499999993</v>
      </c>
      <c r="BU141" s="103">
        <f t="shared" si="391"/>
        <v>7287113.8900000006</v>
      </c>
      <c r="BV141" s="103">
        <f t="shared" si="391"/>
        <v>1617083.1699999981</v>
      </c>
      <c r="BW141" s="103">
        <f t="shared" si="391"/>
        <v>-1255872.17</v>
      </c>
      <c r="BX141" s="103">
        <f t="shared" si="391"/>
        <v>-136506.95999999903</v>
      </c>
      <c r="BY141" s="103">
        <f t="shared" si="391"/>
        <v>794724.59999999963</v>
      </c>
      <c r="BZ141" s="103">
        <f t="shared" si="391"/>
        <v>926577.40999999922</v>
      </c>
      <c r="CA141" s="277">
        <f t="shared" si="391"/>
        <v>142204.83999999985</v>
      </c>
      <c r="CB141" s="277">
        <f t="shared" si="391"/>
        <v>-122611</v>
      </c>
      <c r="CC141" s="277">
        <f t="shared" ref="CC141:CL145" si="392">AI141-W141</f>
        <v>1679539.9399999995</v>
      </c>
      <c r="CD141" s="277">
        <f t="shared" si="392"/>
        <v>2494212.1099999994</v>
      </c>
      <c r="CE141" s="312">
        <f t="shared" si="392"/>
        <v>5938411</v>
      </c>
      <c r="CF141" s="312">
        <f t="shared" si="392"/>
        <v>10452757</v>
      </c>
      <c r="CG141" s="312">
        <f t="shared" si="392"/>
        <v>7140557.379999999</v>
      </c>
      <c r="CH141" s="312">
        <f t="shared" si="392"/>
        <v>5058253.4200000018</v>
      </c>
      <c r="CI141" s="312">
        <f t="shared" si="392"/>
        <v>5874540.4700000007</v>
      </c>
      <c r="CJ141" s="312">
        <f t="shared" si="392"/>
        <v>4167715.0199999996</v>
      </c>
      <c r="CK141" s="312">
        <f t="shared" si="392"/>
        <v>2937350</v>
      </c>
      <c r="CL141" s="312">
        <f t="shared" si="392"/>
        <v>4014084.3100000005</v>
      </c>
      <c r="CM141" s="312">
        <f t="shared" ref="CM141:CS145" si="393">AS141-AG141</f>
        <v>2889362</v>
      </c>
      <c r="CN141" s="312">
        <f t="shared" si="393"/>
        <v>3888779</v>
      </c>
      <c r="CO141" s="312">
        <f t="shared" si="393"/>
        <v>2944371</v>
      </c>
      <c r="CP141" s="312">
        <f t="shared" si="393"/>
        <v>4276962</v>
      </c>
      <c r="CQ141" s="312">
        <f t="shared" si="393"/>
        <v>6685386</v>
      </c>
      <c r="CR141" s="312">
        <f t="shared" si="393"/>
        <v>-168772</v>
      </c>
      <c r="CS141" s="312">
        <f t="shared" si="393"/>
        <v>117405</v>
      </c>
      <c r="CT141" s="350"/>
      <c r="CU141" s="67">
        <f>'MONTHLY SUMMARIES'!J101</f>
        <v>39136656</v>
      </c>
    </row>
    <row r="142" spans="1:100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7">
        <f t="shared" si="390"/>
        <v>-129494.08999999997</v>
      </c>
      <c r="BJ142" s="103">
        <f t="shared" si="390"/>
        <v>-176732.70999999996</v>
      </c>
      <c r="BK142" s="103">
        <f t="shared" si="390"/>
        <v>-30718.880000000005</v>
      </c>
      <c r="BL142" s="103">
        <f t="shared" si="390"/>
        <v>-141170.96000000008</v>
      </c>
      <c r="BM142" s="103">
        <f t="shared" si="390"/>
        <v>-38972.729999999981</v>
      </c>
      <c r="BN142" s="103">
        <f t="shared" si="390"/>
        <v>-68989.75</v>
      </c>
      <c r="BO142" s="103">
        <f t="shared" si="390"/>
        <v>-72465.37</v>
      </c>
      <c r="BP142" s="103">
        <f t="shared" si="390"/>
        <v>-83652.979999999981</v>
      </c>
      <c r="BQ142" s="103">
        <f t="shared" si="390"/>
        <v>-19451.909999999974</v>
      </c>
      <c r="BR142" s="103">
        <f t="shared" si="390"/>
        <v>125124.92000000004</v>
      </c>
      <c r="BS142" s="103">
        <f t="shared" si="391"/>
        <v>-266703.40999999992</v>
      </c>
      <c r="BT142" s="103">
        <f t="shared" si="391"/>
        <v>275006.88</v>
      </c>
      <c r="BU142" s="103">
        <f t="shared" si="391"/>
        <v>496179.24999999988</v>
      </c>
      <c r="BV142" s="103">
        <f t="shared" si="391"/>
        <v>39067.279999999912</v>
      </c>
      <c r="BW142" s="103">
        <f t="shared" si="391"/>
        <v>219686.54000000004</v>
      </c>
      <c r="BX142" s="103">
        <f t="shared" si="391"/>
        <v>441003.81000000006</v>
      </c>
      <c r="BY142" s="103">
        <f t="shared" si="391"/>
        <v>162239.67999999999</v>
      </c>
      <c r="BZ142" s="103">
        <f t="shared" si="391"/>
        <v>180146.32</v>
      </c>
      <c r="CA142" s="277">
        <f t="shared" si="391"/>
        <v>146957.75</v>
      </c>
      <c r="CB142" s="277">
        <f t="shared" si="391"/>
        <v>107069</v>
      </c>
      <c r="CC142" s="277">
        <f t="shared" si="392"/>
        <v>1448755.25</v>
      </c>
      <c r="CD142" s="277">
        <f t="shared" si="392"/>
        <v>33169.469999999972</v>
      </c>
      <c r="CE142" s="312">
        <f t="shared" si="392"/>
        <v>369435</v>
      </c>
      <c r="CF142" s="312">
        <f t="shared" si="392"/>
        <v>290007</v>
      </c>
      <c r="CG142" s="312">
        <f t="shared" si="392"/>
        <v>397754.6100000001</v>
      </c>
      <c r="CH142" s="312">
        <f t="shared" si="392"/>
        <v>779561.68</v>
      </c>
      <c r="CI142" s="312">
        <f t="shared" si="392"/>
        <v>570189.97</v>
      </c>
      <c r="CJ142" s="312">
        <f t="shared" si="392"/>
        <v>-80359.910000000033</v>
      </c>
      <c r="CK142" s="312">
        <f t="shared" si="392"/>
        <v>164468</v>
      </c>
      <c r="CL142" s="312">
        <f t="shared" si="392"/>
        <v>175512.37</v>
      </c>
      <c r="CM142" s="312">
        <f t="shared" si="393"/>
        <v>90748</v>
      </c>
      <c r="CN142" s="312">
        <f t="shared" si="393"/>
        <v>227645</v>
      </c>
      <c r="CO142" s="312">
        <f t="shared" si="393"/>
        <v>-1100886</v>
      </c>
      <c r="CP142" s="312">
        <f t="shared" si="393"/>
        <v>287663</v>
      </c>
      <c r="CQ142" s="312">
        <f t="shared" si="393"/>
        <v>489245</v>
      </c>
      <c r="CR142" s="312">
        <f t="shared" si="393"/>
        <v>566857</v>
      </c>
      <c r="CS142" s="312">
        <f t="shared" si="393"/>
        <v>338906</v>
      </c>
      <c r="CT142" s="350"/>
      <c r="CU142" s="67">
        <f>'MONTHLY SUMMARIES'!J102</f>
        <v>2216355</v>
      </c>
    </row>
    <row r="143" spans="1:100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7">
        <f t="shared" si="390"/>
        <v>-780418.98000000045</v>
      </c>
      <c r="BJ143" s="103">
        <f t="shared" si="390"/>
        <v>-1967347.3599999994</v>
      </c>
      <c r="BK143" s="103">
        <f t="shared" si="390"/>
        <v>-699329.7099999995</v>
      </c>
      <c r="BL143" s="103">
        <f t="shared" si="390"/>
        <v>263834.25999999978</v>
      </c>
      <c r="BM143" s="103">
        <f t="shared" si="390"/>
        <v>-255831.87000000011</v>
      </c>
      <c r="BN143" s="103">
        <f t="shared" si="390"/>
        <v>-371370.84000000008</v>
      </c>
      <c r="BO143" s="103">
        <f t="shared" si="390"/>
        <v>-159105.02000000002</v>
      </c>
      <c r="BP143" s="103">
        <f t="shared" si="390"/>
        <v>-451701.62999999989</v>
      </c>
      <c r="BQ143" s="103">
        <f t="shared" si="390"/>
        <v>-70217.280000000028</v>
      </c>
      <c r="BR143" s="103">
        <f t="shared" si="390"/>
        <v>-477384.98</v>
      </c>
      <c r="BS143" s="103">
        <f t="shared" si="391"/>
        <v>-1970268.38</v>
      </c>
      <c r="BT143" s="103">
        <f t="shared" si="391"/>
        <v>570280.26999999955</v>
      </c>
      <c r="BU143" s="103">
        <f t="shared" si="391"/>
        <v>2917638.0900000008</v>
      </c>
      <c r="BV143" s="103">
        <f t="shared" si="391"/>
        <v>1342728.8599999994</v>
      </c>
      <c r="BW143" s="103">
        <f t="shared" si="391"/>
        <v>-332146.68999999994</v>
      </c>
      <c r="BX143" s="103">
        <f t="shared" si="391"/>
        <v>-587594.23999999976</v>
      </c>
      <c r="BY143" s="103">
        <f t="shared" si="391"/>
        <v>-65839.729999999981</v>
      </c>
      <c r="BZ143" s="103">
        <f t="shared" si="391"/>
        <v>297516.08000000007</v>
      </c>
      <c r="CA143" s="277">
        <f t="shared" si="391"/>
        <v>262656.45999999996</v>
      </c>
      <c r="CB143" s="277">
        <f t="shared" si="391"/>
        <v>50448</v>
      </c>
      <c r="CC143" s="277">
        <f t="shared" si="392"/>
        <v>201793.77000000002</v>
      </c>
      <c r="CD143" s="277">
        <f t="shared" si="392"/>
        <v>545251.52</v>
      </c>
      <c r="CE143" s="312">
        <f t="shared" si="392"/>
        <v>1131346</v>
      </c>
      <c r="CF143" s="312">
        <f t="shared" si="392"/>
        <v>3217353</v>
      </c>
      <c r="CG143" s="312">
        <f t="shared" si="392"/>
        <v>632872.51999999955</v>
      </c>
      <c r="CH143" s="312">
        <f t="shared" si="392"/>
        <v>2221110.2800000003</v>
      </c>
      <c r="CI143" s="312">
        <f t="shared" si="392"/>
        <v>1427193.63</v>
      </c>
      <c r="CJ143" s="312">
        <f t="shared" si="392"/>
        <v>1249991.46</v>
      </c>
      <c r="CK143" s="312">
        <f t="shared" si="392"/>
        <v>1009903</v>
      </c>
      <c r="CL143" s="312">
        <f t="shared" si="392"/>
        <v>1009298.47</v>
      </c>
      <c r="CM143" s="312">
        <f t="shared" si="393"/>
        <v>494833</v>
      </c>
      <c r="CN143" s="312">
        <f t="shared" si="393"/>
        <v>1114480</v>
      </c>
      <c r="CO143" s="312">
        <f t="shared" si="393"/>
        <v>1118195</v>
      </c>
      <c r="CP143" s="312">
        <f t="shared" si="393"/>
        <v>1128417</v>
      </c>
      <c r="CQ143" s="312">
        <f t="shared" si="393"/>
        <v>2942148</v>
      </c>
      <c r="CR143" s="312">
        <f t="shared" si="393"/>
        <v>75120</v>
      </c>
      <c r="CS143" s="312">
        <f t="shared" si="393"/>
        <v>164022</v>
      </c>
      <c r="CT143" s="350"/>
      <c r="CU143" s="67">
        <f>'MONTHLY SUMMARIES'!J103</f>
        <v>10197031</v>
      </c>
    </row>
    <row r="144" spans="1:100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7">
        <f t="shared" si="390"/>
        <v>-141091.12000000011</v>
      </c>
      <c r="BJ144" s="103">
        <f t="shared" si="390"/>
        <v>-1629753.5700000003</v>
      </c>
      <c r="BK144" s="103">
        <f t="shared" si="390"/>
        <v>-714910.74999999977</v>
      </c>
      <c r="BL144" s="103">
        <f t="shared" si="390"/>
        <v>266228.90999999992</v>
      </c>
      <c r="BM144" s="103">
        <f t="shared" si="390"/>
        <v>-114927.03999999992</v>
      </c>
      <c r="BN144" s="103">
        <f t="shared" si="390"/>
        <v>-187684.55000000005</v>
      </c>
      <c r="BO144" s="103">
        <f t="shared" si="390"/>
        <v>-110355.95000000001</v>
      </c>
      <c r="BP144" s="103">
        <f t="shared" si="390"/>
        <v>-173515.45999999996</v>
      </c>
      <c r="BQ144" s="103">
        <f t="shared" si="390"/>
        <v>-110117.38999999996</v>
      </c>
      <c r="BR144" s="103">
        <f t="shared" si="390"/>
        <v>-39835.469999999972</v>
      </c>
      <c r="BS144" s="103">
        <f t="shared" si="391"/>
        <v>-1103039.0699999998</v>
      </c>
      <c r="BT144" s="103">
        <f t="shared" si="391"/>
        <v>91771.850000000093</v>
      </c>
      <c r="BU144" s="103">
        <f t="shared" si="391"/>
        <v>878457.3200000003</v>
      </c>
      <c r="BV144" s="103">
        <f t="shared" si="391"/>
        <v>676237.85000000009</v>
      </c>
      <c r="BW144" s="103">
        <f t="shared" si="391"/>
        <v>-9773.6000000000931</v>
      </c>
      <c r="BX144" s="103">
        <f t="shared" si="391"/>
        <v>-562545.5199999999</v>
      </c>
      <c r="BY144" s="103">
        <f t="shared" si="391"/>
        <v>-4306.0400000000373</v>
      </c>
      <c r="BZ144" s="103">
        <f t="shared" si="391"/>
        <v>161656.31</v>
      </c>
      <c r="CA144" s="277">
        <f t="shared" si="391"/>
        <v>59247.119999999995</v>
      </c>
      <c r="CB144" s="277">
        <f t="shared" si="391"/>
        <v>14272</v>
      </c>
      <c r="CC144" s="277">
        <f t="shared" si="392"/>
        <v>109163.91999999998</v>
      </c>
      <c r="CD144" s="277">
        <f t="shared" si="392"/>
        <v>65283.810000000056</v>
      </c>
      <c r="CE144" s="312">
        <f t="shared" si="392"/>
        <v>319258</v>
      </c>
      <c r="CF144" s="312">
        <f t="shared" si="392"/>
        <v>1436733</v>
      </c>
      <c r="CG144" s="312">
        <f t="shared" si="392"/>
        <v>316899.75999999978</v>
      </c>
      <c r="CH144" s="312">
        <f t="shared" si="392"/>
        <v>798724.75</v>
      </c>
      <c r="CI144" s="312">
        <f t="shared" si="392"/>
        <v>454344.24</v>
      </c>
      <c r="CJ144" s="312">
        <f t="shared" si="392"/>
        <v>807109.13</v>
      </c>
      <c r="CK144" s="312">
        <f t="shared" si="392"/>
        <v>221464</v>
      </c>
      <c r="CL144" s="312">
        <f t="shared" si="392"/>
        <v>187331.68</v>
      </c>
      <c r="CM144" s="312">
        <f t="shared" si="393"/>
        <v>145726</v>
      </c>
      <c r="CN144" s="312">
        <f t="shared" si="393"/>
        <v>391868</v>
      </c>
      <c r="CO144" s="312">
        <f t="shared" si="393"/>
        <v>482536</v>
      </c>
      <c r="CP144" s="312">
        <f t="shared" si="393"/>
        <v>553511</v>
      </c>
      <c r="CQ144" s="312">
        <f t="shared" si="393"/>
        <v>1669271</v>
      </c>
      <c r="CR144" s="312">
        <f t="shared" si="393"/>
        <v>160008</v>
      </c>
      <c r="CS144" s="312">
        <f t="shared" si="393"/>
        <v>75722</v>
      </c>
      <c r="CT144" s="350"/>
      <c r="CU144" s="67">
        <f>'MONTHLY SUMMARIES'!J104</f>
        <v>4045680</v>
      </c>
    </row>
    <row r="145" spans="1:100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7">
        <f t="shared" si="390"/>
        <v>-594788.07999999984</v>
      </c>
      <c r="BJ145" s="103">
        <f t="shared" si="390"/>
        <v>-439557.99</v>
      </c>
      <c r="BK145" s="103">
        <f t="shared" si="390"/>
        <v>-295731.34999999986</v>
      </c>
      <c r="BL145" s="103">
        <f t="shared" si="390"/>
        <v>64346.810000000056</v>
      </c>
      <c r="BM145" s="103">
        <f t="shared" si="390"/>
        <v>-121159.53999999992</v>
      </c>
      <c r="BN145" s="103">
        <f t="shared" si="390"/>
        <v>-7360.3100000000559</v>
      </c>
      <c r="BO145" s="103">
        <f t="shared" si="390"/>
        <v>-171547.30000000005</v>
      </c>
      <c r="BP145" s="103">
        <f t="shared" si="390"/>
        <v>-74931.030000000028</v>
      </c>
      <c r="BQ145" s="103">
        <f t="shared" si="390"/>
        <v>-47987.900000000023</v>
      </c>
      <c r="BR145" s="103">
        <f t="shared" si="390"/>
        <v>35876.350000000093</v>
      </c>
      <c r="BS145" s="103">
        <f t="shared" si="391"/>
        <v>-212497.53000000003</v>
      </c>
      <c r="BT145" s="103">
        <f t="shared" si="391"/>
        <v>121680.55000000005</v>
      </c>
      <c r="BU145" s="103">
        <f t="shared" si="391"/>
        <v>501184.72</v>
      </c>
      <c r="BV145" s="103">
        <f t="shared" si="391"/>
        <v>314680.20999999996</v>
      </c>
      <c r="BW145" s="103">
        <f t="shared" si="391"/>
        <v>18443.949999999953</v>
      </c>
      <c r="BX145" s="103">
        <f t="shared" si="391"/>
        <v>-287414.49000000011</v>
      </c>
      <c r="BY145" s="103">
        <f t="shared" si="391"/>
        <v>-136104.05000000005</v>
      </c>
      <c r="BZ145" s="103">
        <f t="shared" si="391"/>
        <v>103535.03000000003</v>
      </c>
      <c r="CA145" s="277">
        <f t="shared" si="391"/>
        <v>598985.29</v>
      </c>
      <c r="CB145" s="277">
        <f t="shared" si="391"/>
        <v>-110719</v>
      </c>
      <c r="CC145" s="277">
        <f t="shared" si="392"/>
        <v>344257.86</v>
      </c>
      <c r="CD145" s="277">
        <f t="shared" si="392"/>
        <v>-111845.55000000005</v>
      </c>
      <c r="CE145" s="312">
        <f t="shared" si="392"/>
        <v>4586</v>
      </c>
      <c r="CF145" s="312">
        <f t="shared" si="392"/>
        <v>1100797</v>
      </c>
      <c r="CG145" s="312">
        <f t="shared" si="392"/>
        <v>7822.2900000000373</v>
      </c>
      <c r="CH145" s="312">
        <f t="shared" si="392"/>
        <v>255974.70999999996</v>
      </c>
      <c r="CI145" s="312">
        <f t="shared" si="392"/>
        <v>937170.02</v>
      </c>
      <c r="CJ145" s="312">
        <f t="shared" si="392"/>
        <v>457103.67000000004</v>
      </c>
      <c r="CK145" s="312">
        <f t="shared" si="392"/>
        <v>433116</v>
      </c>
      <c r="CL145" s="312">
        <f t="shared" si="392"/>
        <v>775542.76</v>
      </c>
      <c r="CM145" s="312">
        <f t="shared" si="393"/>
        <v>82295</v>
      </c>
      <c r="CN145" s="312">
        <f t="shared" si="393"/>
        <v>726846</v>
      </c>
      <c r="CO145" s="312">
        <f t="shared" si="393"/>
        <v>391806</v>
      </c>
      <c r="CP145" s="312">
        <f t="shared" si="393"/>
        <v>449588</v>
      </c>
      <c r="CQ145" s="312">
        <f t="shared" si="393"/>
        <v>1315568</v>
      </c>
      <c r="CR145" s="312">
        <f t="shared" si="393"/>
        <v>228236</v>
      </c>
      <c r="CS145" s="312">
        <f t="shared" si="393"/>
        <v>375942</v>
      </c>
      <c r="CT145" s="350"/>
      <c r="CU145" s="67">
        <f>'MONTHLY SUMMARIES'!J105</f>
        <v>2581184</v>
      </c>
    </row>
    <row r="146" spans="1:100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U160" si="394">SUM(D141:D145)</f>
        <v>35676946.280000001</v>
      </c>
      <c r="E146" s="136">
        <f t="shared" si="394"/>
        <v>26904594.239999998</v>
      </c>
      <c r="F146" s="137">
        <f t="shared" si="394"/>
        <v>17655908.07</v>
      </c>
      <c r="G146" s="136">
        <f t="shared" si="394"/>
        <v>14405500.790000001</v>
      </c>
      <c r="H146" s="136">
        <f t="shared" si="394"/>
        <v>12223052.799999999</v>
      </c>
      <c r="I146" s="136">
        <f t="shared" si="394"/>
        <v>10927135.51</v>
      </c>
      <c r="J146" s="136">
        <f t="shared" si="394"/>
        <v>12109677.549999999</v>
      </c>
      <c r="K146" s="136">
        <f t="shared" si="394"/>
        <v>13215608.699999999</v>
      </c>
      <c r="L146" s="138">
        <f t="shared" si="394"/>
        <v>25112904.989999998</v>
      </c>
      <c r="M146" s="136">
        <f t="shared" si="394"/>
        <v>37386421.119999997</v>
      </c>
      <c r="N146" s="136">
        <f t="shared" si="394"/>
        <v>33795480.5</v>
      </c>
      <c r="O146" s="136">
        <f t="shared" si="394"/>
        <v>36528429.170000002</v>
      </c>
      <c r="P146" s="136">
        <f t="shared" si="394"/>
        <v>28896425.789999999</v>
      </c>
      <c r="Q146" s="136">
        <f t="shared" si="394"/>
        <v>25282754.639999997</v>
      </c>
      <c r="R146" s="136">
        <f t="shared" si="394"/>
        <v>18345675.029999997</v>
      </c>
      <c r="S146" s="136">
        <f t="shared" si="394"/>
        <v>12853157.540000003</v>
      </c>
      <c r="T146" s="136">
        <f t="shared" si="394"/>
        <v>10900504.259999998</v>
      </c>
      <c r="U146" s="136">
        <f t="shared" si="394"/>
        <v>10260915.539999999</v>
      </c>
      <c r="V146" s="136">
        <f t="shared" si="394"/>
        <v>10505851</v>
      </c>
      <c r="W146" s="136">
        <f t="shared" si="394"/>
        <v>13141164.260000002</v>
      </c>
      <c r="X146" s="138">
        <f t="shared" si="394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/>
      <c r="BA146" s="302"/>
      <c r="BB146" s="302"/>
      <c r="BC146" s="302"/>
      <c r="BD146" s="302"/>
      <c r="BE146" s="302"/>
      <c r="BF146" s="302"/>
      <c r="BG146" s="302"/>
      <c r="BH146" s="302"/>
      <c r="BI146" s="137">
        <f t="shared" si="313"/>
        <v>-3763499.8000000017</v>
      </c>
      <c r="BJ146" s="139">
        <f t="shared" ref="BJ146:BL146" si="395">SUM(BJ141:BJ145)</f>
        <v>-6780520.4899999993</v>
      </c>
      <c r="BK146" s="139">
        <f t="shared" si="395"/>
        <v>-1621839.5999999994</v>
      </c>
      <c r="BL146" s="139">
        <f t="shared" si="395"/>
        <v>689766.95999999915</v>
      </c>
      <c r="BM146" s="139">
        <f t="shared" ref="BM146:BN146" si="396">SUM(BM141:BM145)</f>
        <v>-1552343.2500000005</v>
      </c>
      <c r="BN146" s="139">
        <f t="shared" si="396"/>
        <v>-1322548.5399999991</v>
      </c>
      <c r="BO146" s="139">
        <f t="shared" ref="BO146:BP146" si="397">SUM(BO141:BO145)</f>
        <v>-666219.9700000002</v>
      </c>
      <c r="BP146" s="139">
        <f t="shared" si="397"/>
        <v>-1603826.5499999991</v>
      </c>
      <c r="BQ146" s="139">
        <f t="shared" ref="BQ146:BR146" si="398">SUM(BQ141:BQ145)</f>
        <v>-74444.439999999013</v>
      </c>
      <c r="BR146" s="139">
        <f t="shared" si="398"/>
        <v>-1402970.349999998</v>
      </c>
      <c r="BS146" s="139">
        <f t="shared" ref="BS146:BT146" si="399">SUM(BS141:BS145)</f>
        <v>-5905711.1200000001</v>
      </c>
      <c r="BT146" s="139">
        <f t="shared" si="399"/>
        <v>3905836.4999999991</v>
      </c>
      <c r="BU146" s="139">
        <f t="shared" ref="BU146:BV146" si="400">SUM(BU141:BU145)</f>
        <v>12080573.270000001</v>
      </c>
      <c r="BV146" s="139">
        <f t="shared" si="400"/>
        <v>3989797.3699999973</v>
      </c>
      <c r="BW146" s="139">
        <f t="shared" ref="BW146:BX146" si="401">SUM(BW141:BW145)</f>
        <v>-1359661.97</v>
      </c>
      <c r="BX146" s="139">
        <f t="shared" si="401"/>
        <v>-1133057.3999999987</v>
      </c>
      <c r="BY146" s="139">
        <f t="shared" ref="BY146:BZ146" si="402">SUM(BY141:BY145)</f>
        <v>750714.4599999995</v>
      </c>
      <c r="BZ146" s="139">
        <f t="shared" si="402"/>
        <v>1669431.1499999994</v>
      </c>
      <c r="CA146" s="278">
        <f t="shared" ref="CA146:CB146" si="403">SUM(CA141:CA145)</f>
        <v>1210051.46</v>
      </c>
      <c r="CB146" s="278">
        <f t="shared" si="403"/>
        <v>-61541</v>
      </c>
      <c r="CC146" s="278">
        <f t="shared" ref="CC146:CE146" si="404">SUM(CC141:CC145)</f>
        <v>3783510.7399999993</v>
      </c>
      <c r="CD146" s="278">
        <f t="shared" si="404"/>
        <v>3026071.3599999994</v>
      </c>
      <c r="CE146" s="313">
        <f t="shared" si="404"/>
        <v>7763036</v>
      </c>
      <c r="CF146" s="313">
        <f t="shared" ref="CF146:CG146" si="405">SUM(CF141:CF145)</f>
        <v>16497647</v>
      </c>
      <c r="CG146" s="313">
        <f t="shared" si="405"/>
        <v>8495906.5599999987</v>
      </c>
      <c r="CH146" s="313">
        <f t="shared" ref="CH146:CI146" si="406">SUM(CH141:CH145)</f>
        <v>9113624.8400000036</v>
      </c>
      <c r="CI146" s="313">
        <f t="shared" si="406"/>
        <v>9263438.3300000001</v>
      </c>
      <c r="CJ146" s="313">
        <f t="shared" ref="CJ146" si="407">SUM(CJ141:CJ145)</f>
        <v>6601559.3699999992</v>
      </c>
      <c r="CK146" s="313">
        <f t="shared" ref="CK146" si="408">SUM(CK141:CK145)</f>
        <v>4766301</v>
      </c>
      <c r="CL146" s="313">
        <f t="shared" ref="CL146" si="409">SUM(CL141:CL145)</f>
        <v>6161769.5899999999</v>
      </c>
      <c r="CM146" s="313">
        <f t="shared" ref="CM146" si="410">SUM(CM141:CM145)</f>
        <v>3702964</v>
      </c>
      <c r="CN146" s="313">
        <f t="shared" ref="CN146" si="411">SUM(CN141:CN145)</f>
        <v>6349618</v>
      </c>
      <c r="CO146" s="313">
        <f t="shared" ref="CO146" si="412">SUM(CO141:CO145)</f>
        <v>3836022</v>
      </c>
      <c r="CP146" s="313">
        <f t="shared" ref="CP146" si="413">SUM(CP141:CP145)</f>
        <v>6696141</v>
      </c>
      <c r="CQ146" s="313">
        <f t="shared" ref="CQ146:CS146" si="414">SUM(CQ141:CQ145)</f>
        <v>13101618</v>
      </c>
      <c r="CR146" s="313">
        <f t="shared" ref="CR146:CS146" si="415">SUM(CR141:CR145)</f>
        <v>861449</v>
      </c>
      <c r="CS146" s="313">
        <f t="shared" si="415"/>
        <v>1071997</v>
      </c>
      <c r="CT146" s="351"/>
      <c r="CU146" s="47">
        <f t="shared" si="394"/>
        <v>58176906</v>
      </c>
      <c r="CV146" s="40"/>
    </row>
    <row r="147" spans="1:10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48"/>
      <c r="CU147" s="93"/>
      <c r="CV147" s="40"/>
    </row>
    <row r="148" spans="1:100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/>
      <c r="BA148" s="304"/>
      <c r="BB148" s="304"/>
      <c r="BC148" s="304"/>
      <c r="BD148" s="304"/>
      <c r="BE148" s="304"/>
      <c r="BF148" s="304"/>
      <c r="BG148" s="304"/>
      <c r="BH148" s="304"/>
      <c r="BI148" s="36">
        <f t="shared" ref="BI148:BR152" si="416">O148-C148</f>
        <v>16593</v>
      </c>
      <c r="BJ148" s="108">
        <f t="shared" si="416"/>
        <v>6399</v>
      </c>
      <c r="BK148" s="108">
        <f t="shared" si="416"/>
        <v>4529</v>
      </c>
      <c r="BL148" s="108">
        <f t="shared" si="416"/>
        <v>18826</v>
      </c>
      <c r="BM148" s="108">
        <f t="shared" si="416"/>
        <v>4588</v>
      </c>
      <c r="BN148" s="108">
        <f t="shared" si="416"/>
        <v>7652</v>
      </c>
      <c r="BO148" s="108">
        <f t="shared" si="416"/>
        <v>11683</v>
      </c>
      <c r="BP148" s="108">
        <f t="shared" si="416"/>
        <v>-10438</v>
      </c>
      <c r="BQ148" s="108">
        <f t="shared" si="416"/>
        <v>7645</v>
      </c>
      <c r="BR148" s="108">
        <f t="shared" si="416"/>
        <v>4156</v>
      </c>
      <c r="BS148" s="108">
        <f t="shared" ref="BS148:CB152" si="417">Y148-M148</f>
        <v>-18357</v>
      </c>
      <c r="BT148" s="108">
        <f t="shared" si="417"/>
        <v>2446</v>
      </c>
      <c r="BU148" s="108">
        <f t="shared" si="417"/>
        <v>-8854</v>
      </c>
      <c r="BV148" s="108">
        <f t="shared" si="417"/>
        <v>-4044</v>
      </c>
      <c r="BW148" s="108">
        <f t="shared" si="417"/>
        <v>3761</v>
      </c>
      <c r="BX148" s="108">
        <f t="shared" si="417"/>
        <v>-1051</v>
      </c>
      <c r="BY148" s="108">
        <f t="shared" si="417"/>
        <v>1330</v>
      </c>
      <c r="BZ148" s="108">
        <f t="shared" si="417"/>
        <v>4577</v>
      </c>
      <c r="CA148" s="279">
        <f t="shared" si="417"/>
        <v>-3185</v>
      </c>
      <c r="CB148" s="279">
        <f t="shared" si="417"/>
        <v>-997</v>
      </c>
      <c r="CC148" s="279">
        <f t="shared" ref="CC148:CL152" si="418">AI148-W148</f>
        <v>11055</v>
      </c>
      <c r="CD148" s="279">
        <f t="shared" si="418"/>
        <v>-10196</v>
      </c>
      <c r="CE148" s="309">
        <f t="shared" si="418"/>
        <v>16139</v>
      </c>
      <c r="CF148" s="309">
        <f t="shared" si="418"/>
        <v>13671</v>
      </c>
      <c r="CG148" s="309">
        <f t="shared" si="418"/>
        <v>23905</v>
      </c>
      <c r="CH148" s="309">
        <f t="shared" si="418"/>
        <v>-6024</v>
      </c>
      <c r="CI148" s="309">
        <f t="shared" si="418"/>
        <v>-5475</v>
      </c>
      <c r="CJ148" s="309">
        <f t="shared" si="418"/>
        <v>3817</v>
      </c>
      <c r="CK148" s="309">
        <f t="shared" si="418"/>
        <v>-2947</v>
      </c>
      <c r="CL148" s="309">
        <f t="shared" si="418"/>
        <v>9696</v>
      </c>
      <c r="CM148" s="309">
        <f t="shared" ref="CM148:CS152" si="419">AS148-AG148</f>
        <v>1965</v>
      </c>
      <c r="CN148" s="309">
        <f t="shared" si="419"/>
        <v>4471</v>
      </c>
      <c r="CO148" s="309">
        <f t="shared" si="419"/>
        <v>3167</v>
      </c>
      <c r="CP148" s="309">
        <f t="shared" si="419"/>
        <v>1302</v>
      </c>
      <c r="CQ148" s="309">
        <f t="shared" si="419"/>
        <v>2863</v>
      </c>
      <c r="CR148" s="309">
        <f t="shared" si="419"/>
        <v>-6021</v>
      </c>
      <c r="CS148" s="309">
        <f t="shared" si="419"/>
        <v>-4063</v>
      </c>
      <c r="CT148" s="348"/>
      <c r="CU148" s="67">
        <f>'MONTHLY SUMMARIES'!J108</f>
        <v>177124</v>
      </c>
      <c r="CV148" s="40"/>
    </row>
    <row r="149" spans="1:100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/>
      <c r="BA149" s="304"/>
      <c r="BB149" s="304"/>
      <c r="BC149" s="304"/>
      <c r="BD149" s="304"/>
      <c r="BE149" s="304"/>
      <c r="BF149" s="304"/>
      <c r="BG149" s="304"/>
      <c r="BH149" s="304"/>
      <c r="BI149" s="36">
        <f t="shared" si="416"/>
        <v>62</v>
      </c>
      <c r="BJ149" s="108">
        <f t="shared" si="416"/>
        <v>370</v>
      </c>
      <c r="BK149" s="108">
        <f t="shared" si="416"/>
        <v>299</v>
      </c>
      <c r="BL149" s="108">
        <f t="shared" si="416"/>
        <v>-405</v>
      </c>
      <c r="BM149" s="108">
        <f t="shared" si="416"/>
        <v>250</v>
      </c>
      <c r="BN149" s="108">
        <f t="shared" si="416"/>
        <v>131</v>
      </c>
      <c r="BO149" s="108">
        <f t="shared" si="416"/>
        <v>371</v>
      </c>
      <c r="BP149" s="108">
        <f t="shared" si="416"/>
        <v>-292</v>
      </c>
      <c r="BQ149" s="108">
        <f t="shared" si="416"/>
        <v>490</v>
      </c>
      <c r="BR149" s="108">
        <f t="shared" si="416"/>
        <v>1542</v>
      </c>
      <c r="BS149" s="108">
        <f t="shared" si="417"/>
        <v>-902</v>
      </c>
      <c r="BT149" s="108">
        <f t="shared" si="417"/>
        <v>1728</v>
      </c>
      <c r="BU149" s="108">
        <f t="shared" si="417"/>
        <v>679</v>
      </c>
      <c r="BV149" s="108">
        <f t="shared" si="417"/>
        <v>-825</v>
      </c>
      <c r="BW149" s="108">
        <f t="shared" si="417"/>
        <v>1253</v>
      </c>
      <c r="BX149" s="108">
        <f t="shared" si="417"/>
        <v>3629</v>
      </c>
      <c r="BY149" s="108">
        <f t="shared" si="417"/>
        <v>764</v>
      </c>
      <c r="BZ149" s="108">
        <f t="shared" si="417"/>
        <v>1376</v>
      </c>
      <c r="CA149" s="279">
        <f t="shared" si="417"/>
        <v>727</v>
      </c>
      <c r="CB149" s="279">
        <f t="shared" si="417"/>
        <v>660</v>
      </c>
      <c r="CC149" s="279">
        <f t="shared" si="418"/>
        <v>4564</v>
      </c>
      <c r="CD149" s="279">
        <f t="shared" si="418"/>
        <v>-869</v>
      </c>
      <c r="CE149" s="309">
        <f t="shared" si="418"/>
        <v>1264</v>
      </c>
      <c r="CF149" s="309">
        <f t="shared" si="418"/>
        <v>-466</v>
      </c>
      <c r="CG149" s="309">
        <f t="shared" si="418"/>
        <v>2315</v>
      </c>
      <c r="CH149" s="309">
        <f t="shared" si="418"/>
        <v>2556</v>
      </c>
      <c r="CI149" s="309">
        <f t="shared" si="418"/>
        <v>3316</v>
      </c>
      <c r="CJ149" s="309">
        <f t="shared" si="418"/>
        <v>-3100</v>
      </c>
      <c r="CK149" s="309">
        <f t="shared" si="418"/>
        <v>174</v>
      </c>
      <c r="CL149" s="309">
        <f t="shared" si="418"/>
        <v>672</v>
      </c>
      <c r="CM149" s="309">
        <f t="shared" si="419"/>
        <v>262</v>
      </c>
      <c r="CN149" s="309">
        <f t="shared" si="419"/>
        <v>859</v>
      </c>
      <c r="CO149" s="309">
        <f t="shared" si="419"/>
        <v>-2362</v>
      </c>
      <c r="CP149" s="309">
        <f t="shared" si="419"/>
        <v>1225</v>
      </c>
      <c r="CQ149" s="309">
        <f t="shared" si="419"/>
        <v>1587</v>
      </c>
      <c r="CR149" s="309">
        <f t="shared" si="419"/>
        <v>2142</v>
      </c>
      <c r="CS149" s="309">
        <f t="shared" si="419"/>
        <v>1157</v>
      </c>
      <c r="CT149" s="348"/>
      <c r="CU149" s="67">
        <f>'MONTHLY SUMMARIES'!J109</f>
        <v>11954</v>
      </c>
      <c r="CV149" s="40"/>
    </row>
    <row r="150" spans="1:100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/>
      <c r="BA150" s="304"/>
      <c r="BB150" s="304"/>
      <c r="BC150" s="304"/>
      <c r="BD150" s="304"/>
      <c r="BE150" s="304"/>
      <c r="BF150" s="304"/>
      <c r="BG150" s="304"/>
      <c r="BH150" s="304"/>
      <c r="BI150" s="36">
        <f t="shared" si="416"/>
        <v>1899</v>
      </c>
      <c r="BJ150" s="108">
        <f t="shared" si="416"/>
        <v>-1353</v>
      </c>
      <c r="BK150" s="108">
        <f t="shared" si="416"/>
        <v>-1743</v>
      </c>
      <c r="BL150" s="108">
        <f t="shared" si="416"/>
        <v>2047</v>
      </c>
      <c r="BM150" s="108">
        <f t="shared" si="416"/>
        <v>1373</v>
      </c>
      <c r="BN150" s="108">
        <f t="shared" si="416"/>
        <v>-187</v>
      </c>
      <c r="BO150" s="108">
        <f t="shared" si="416"/>
        <v>1865</v>
      </c>
      <c r="BP150" s="108">
        <f t="shared" si="416"/>
        <v>-1490</v>
      </c>
      <c r="BQ150" s="108">
        <f t="shared" si="416"/>
        <v>1253</v>
      </c>
      <c r="BR150" s="108">
        <f t="shared" si="416"/>
        <v>291</v>
      </c>
      <c r="BS150" s="108">
        <f t="shared" si="417"/>
        <v>-3564</v>
      </c>
      <c r="BT150" s="108">
        <f t="shared" si="417"/>
        <v>976</v>
      </c>
      <c r="BU150" s="108">
        <f t="shared" si="417"/>
        <v>1093</v>
      </c>
      <c r="BV150" s="108">
        <f t="shared" si="417"/>
        <v>2198</v>
      </c>
      <c r="BW150" s="108">
        <f t="shared" si="417"/>
        <v>1109</v>
      </c>
      <c r="BX150" s="108">
        <f t="shared" si="417"/>
        <v>-520</v>
      </c>
      <c r="BY150" s="108">
        <f t="shared" si="417"/>
        <v>-774</v>
      </c>
      <c r="BZ150" s="108">
        <f t="shared" si="417"/>
        <v>1109</v>
      </c>
      <c r="CA150" s="279">
        <f t="shared" si="417"/>
        <v>-526</v>
      </c>
      <c r="CB150" s="279">
        <f t="shared" si="417"/>
        <v>-1745</v>
      </c>
      <c r="CC150" s="279">
        <f t="shared" si="418"/>
        <v>2222</v>
      </c>
      <c r="CD150" s="279">
        <f t="shared" si="418"/>
        <v>-437</v>
      </c>
      <c r="CE150" s="309">
        <f t="shared" si="418"/>
        <v>818</v>
      </c>
      <c r="CF150" s="309">
        <f t="shared" si="418"/>
        <v>3018</v>
      </c>
      <c r="CG150" s="309">
        <f t="shared" si="418"/>
        <v>328</v>
      </c>
      <c r="CH150" s="309">
        <f t="shared" si="418"/>
        <v>209</v>
      </c>
      <c r="CI150" s="309">
        <f t="shared" si="418"/>
        <v>-1110</v>
      </c>
      <c r="CJ150" s="309">
        <f t="shared" si="418"/>
        <v>267</v>
      </c>
      <c r="CK150" s="309">
        <f t="shared" si="418"/>
        <v>-18</v>
      </c>
      <c r="CL150" s="309">
        <f t="shared" si="418"/>
        <v>120</v>
      </c>
      <c r="CM150" s="309">
        <f t="shared" si="419"/>
        <v>-127</v>
      </c>
      <c r="CN150" s="309">
        <f t="shared" si="419"/>
        <v>3189</v>
      </c>
      <c r="CO150" s="309">
        <f t="shared" si="419"/>
        <v>-676</v>
      </c>
      <c r="CP150" s="309">
        <f t="shared" si="419"/>
        <v>-315</v>
      </c>
      <c r="CQ150" s="309">
        <f t="shared" si="419"/>
        <v>2133</v>
      </c>
      <c r="CR150" s="309">
        <f t="shared" si="419"/>
        <v>-1790</v>
      </c>
      <c r="CS150" s="309">
        <f t="shared" si="419"/>
        <v>-124</v>
      </c>
      <c r="CT150" s="348"/>
      <c r="CU150" s="67">
        <f>'MONTHLY SUMMARIES'!J110</f>
        <v>18401</v>
      </c>
      <c r="CV150" s="40"/>
    </row>
    <row r="151" spans="1:100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/>
      <c r="BA151" s="304"/>
      <c r="BB151" s="304"/>
      <c r="BC151" s="304"/>
      <c r="BD151" s="304"/>
      <c r="BE151" s="304"/>
      <c r="BF151" s="304"/>
      <c r="BG151" s="304"/>
      <c r="BH151" s="304"/>
      <c r="BI151" s="36">
        <f t="shared" si="416"/>
        <v>77</v>
      </c>
      <c r="BJ151" s="108">
        <f t="shared" si="416"/>
        <v>-224</v>
      </c>
      <c r="BK151" s="108">
        <f t="shared" si="416"/>
        <v>-155</v>
      </c>
      <c r="BL151" s="108">
        <f t="shared" si="416"/>
        <v>108</v>
      </c>
      <c r="BM151" s="108">
        <f t="shared" si="416"/>
        <v>68</v>
      </c>
      <c r="BN151" s="108">
        <f t="shared" si="416"/>
        <v>-141</v>
      </c>
      <c r="BO151" s="108">
        <f t="shared" si="416"/>
        <v>-23</v>
      </c>
      <c r="BP151" s="108">
        <f t="shared" si="416"/>
        <v>-166</v>
      </c>
      <c r="BQ151" s="108">
        <f t="shared" si="416"/>
        <v>-27</v>
      </c>
      <c r="BR151" s="108">
        <f t="shared" si="416"/>
        <v>-38</v>
      </c>
      <c r="BS151" s="108">
        <f t="shared" si="417"/>
        <v>-256</v>
      </c>
      <c r="BT151" s="108">
        <f t="shared" si="417"/>
        <v>-52</v>
      </c>
      <c r="BU151" s="108">
        <f t="shared" si="417"/>
        <v>-93</v>
      </c>
      <c r="BV151" s="108">
        <f t="shared" si="417"/>
        <v>55</v>
      </c>
      <c r="BW151" s="108">
        <f t="shared" si="417"/>
        <v>-19</v>
      </c>
      <c r="BX151" s="108">
        <f t="shared" si="417"/>
        <v>-138</v>
      </c>
      <c r="BY151" s="108">
        <f t="shared" si="417"/>
        <v>-107</v>
      </c>
      <c r="BZ151" s="108">
        <f t="shared" si="417"/>
        <v>109</v>
      </c>
      <c r="CA151" s="279">
        <f t="shared" si="417"/>
        <v>-72</v>
      </c>
      <c r="CB151" s="279">
        <f t="shared" si="417"/>
        <v>-128</v>
      </c>
      <c r="CC151" s="279">
        <f t="shared" si="418"/>
        <v>131</v>
      </c>
      <c r="CD151" s="279">
        <f t="shared" si="418"/>
        <v>-46</v>
      </c>
      <c r="CE151" s="309">
        <f t="shared" si="418"/>
        <v>-3</v>
      </c>
      <c r="CF151" s="309">
        <f t="shared" si="418"/>
        <v>158</v>
      </c>
      <c r="CG151" s="309">
        <f t="shared" si="418"/>
        <v>35</v>
      </c>
      <c r="CH151" s="309">
        <f t="shared" si="418"/>
        <v>31</v>
      </c>
      <c r="CI151" s="309">
        <f t="shared" si="418"/>
        <v>-76</v>
      </c>
      <c r="CJ151" s="309">
        <f t="shared" si="418"/>
        <v>-3</v>
      </c>
      <c r="CK151" s="309">
        <f t="shared" si="418"/>
        <v>18</v>
      </c>
      <c r="CL151" s="309">
        <f t="shared" si="418"/>
        <v>-38</v>
      </c>
      <c r="CM151" s="309">
        <f t="shared" si="419"/>
        <v>28</v>
      </c>
      <c r="CN151" s="309">
        <f t="shared" si="419"/>
        <v>207</v>
      </c>
      <c r="CO151" s="309">
        <f t="shared" si="419"/>
        <v>-32</v>
      </c>
      <c r="CP151" s="309">
        <f t="shared" si="419"/>
        <v>23</v>
      </c>
      <c r="CQ151" s="309">
        <f t="shared" si="419"/>
        <v>149</v>
      </c>
      <c r="CR151" s="309">
        <f t="shared" si="419"/>
        <v>-48</v>
      </c>
      <c r="CS151" s="309">
        <f t="shared" si="419"/>
        <v>6</v>
      </c>
      <c r="CT151" s="348"/>
      <c r="CU151" s="67">
        <f>'MONTHLY SUMMARIES'!J111</f>
        <v>684</v>
      </c>
      <c r="CV151" s="40"/>
    </row>
    <row r="152" spans="1:100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/>
      <c r="BA152" s="304"/>
      <c r="BB152" s="304"/>
      <c r="BC152" s="304"/>
      <c r="BD152" s="304"/>
      <c r="BE152" s="304"/>
      <c r="BF152" s="304"/>
      <c r="BG152" s="304"/>
      <c r="BH152" s="304"/>
      <c r="BI152" s="36">
        <f t="shared" si="416"/>
        <v>46</v>
      </c>
      <c r="BJ152" s="108">
        <f t="shared" si="416"/>
        <v>-26</v>
      </c>
      <c r="BK152" s="108">
        <f t="shared" si="416"/>
        <v>-5</v>
      </c>
      <c r="BL152" s="108">
        <f t="shared" si="416"/>
        <v>35</v>
      </c>
      <c r="BM152" s="108">
        <f t="shared" si="416"/>
        <v>20</v>
      </c>
      <c r="BN152" s="108">
        <f t="shared" si="416"/>
        <v>-28</v>
      </c>
      <c r="BO152" s="108">
        <f t="shared" si="416"/>
        <v>17</v>
      </c>
      <c r="BP152" s="108">
        <f t="shared" si="416"/>
        <v>-27</v>
      </c>
      <c r="BQ152" s="108">
        <f t="shared" si="416"/>
        <v>31</v>
      </c>
      <c r="BR152" s="108">
        <f t="shared" si="416"/>
        <v>-5</v>
      </c>
      <c r="BS152" s="108">
        <f t="shared" si="417"/>
        <v>-59</v>
      </c>
      <c r="BT152" s="108">
        <f t="shared" si="417"/>
        <v>-13</v>
      </c>
      <c r="BU152" s="108">
        <f t="shared" si="417"/>
        <v>-46</v>
      </c>
      <c r="BV152" s="108">
        <f t="shared" si="417"/>
        <v>0</v>
      </c>
      <c r="BW152" s="108">
        <f t="shared" si="417"/>
        <v>-45</v>
      </c>
      <c r="BX152" s="108">
        <f t="shared" si="417"/>
        <v>-45</v>
      </c>
      <c r="BY152" s="108">
        <f t="shared" si="417"/>
        <v>-77</v>
      </c>
      <c r="BZ152" s="108">
        <f t="shared" si="417"/>
        <v>18</v>
      </c>
      <c r="CA152" s="279">
        <f t="shared" si="417"/>
        <v>-11</v>
      </c>
      <c r="CB152" s="279">
        <f t="shared" si="417"/>
        <v>-49</v>
      </c>
      <c r="CC152" s="279">
        <f t="shared" si="418"/>
        <v>-7</v>
      </c>
      <c r="CD152" s="279">
        <f t="shared" si="418"/>
        <v>-37</v>
      </c>
      <c r="CE152" s="309">
        <f t="shared" si="418"/>
        <v>-5</v>
      </c>
      <c r="CF152" s="309">
        <f t="shared" si="418"/>
        <v>36</v>
      </c>
      <c r="CG152" s="309">
        <f t="shared" si="418"/>
        <v>8</v>
      </c>
      <c r="CH152" s="309">
        <f t="shared" si="418"/>
        <v>-13</v>
      </c>
      <c r="CI152" s="309">
        <f t="shared" si="418"/>
        <v>2</v>
      </c>
      <c r="CJ152" s="309">
        <f t="shared" si="418"/>
        <v>0</v>
      </c>
      <c r="CK152" s="309">
        <f t="shared" si="418"/>
        <v>30</v>
      </c>
      <c r="CL152" s="309">
        <f t="shared" si="418"/>
        <v>21</v>
      </c>
      <c r="CM152" s="309">
        <f t="shared" si="419"/>
        <v>-4</v>
      </c>
      <c r="CN152" s="309">
        <f t="shared" si="419"/>
        <v>54</v>
      </c>
      <c r="CO152" s="309">
        <f t="shared" si="419"/>
        <v>-5</v>
      </c>
      <c r="CP152" s="309">
        <f t="shared" si="419"/>
        <v>2</v>
      </c>
      <c r="CQ152" s="309">
        <f t="shared" si="419"/>
        <v>28</v>
      </c>
      <c r="CR152" s="309">
        <f t="shared" si="419"/>
        <v>-10</v>
      </c>
      <c r="CS152" s="309">
        <f t="shared" si="419"/>
        <v>-11</v>
      </c>
      <c r="CT152" s="348"/>
      <c r="CU152" s="67">
        <f>'MONTHLY SUMMARIES'!J112</f>
        <v>132</v>
      </c>
      <c r="CV152" s="40"/>
    </row>
    <row r="153" spans="1:100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20">SUM(D148:D152)</f>
        <v>177188</v>
      </c>
      <c r="E153" s="72">
        <f t="shared" si="420"/>
        <v>180789</v>
      </c>
      <c r="F153" s="74">
        <f t="shared" si="420"/>
        <v>164395</v>
      </c>
      <c r="G153" s="72">
        <f t="shared" si="420"/>
        <v>173651</v>
      </c>
      <c r="H153" s="72">
        <f t="shared" si="420"/>
        <v>170591</v>
      </c>
      <c r="I153" s="72">
        <f t="shared" si="420"/>
        <v>163123</v>
      </c>
      <c r="J153" s="72">
        <f t="shared" si="420"/>
        <v>185201</v>
      </c>
      <c r="K153" s="72">
        <f t="shared" si="420"/>
        <v>161890</v>
      </c>
      <c r="L153" s="73">
        <f t="shared" si="420"/>
        <v>183335</v>
      </c>
      <c r="M153" s="72">
        <f t="shared" si="420"/>
        <v>192119</v>
      </c>
      <c r="N153" s="72">
        <f t="shared" si="420"/>
        <v>172412</v>
      </c>
      <c r="O153" s="72">
        <f t="shared" si="420"/>
        <v>191960</v>
      </c>
      <c r="P153" s="72">
        <f t="shared" si="420"/>
        <v>182354</v>
      </c>
      <c r="Q153" s="72">
        <f t="shared" si="420"/>
        <v>183714</v>
      </c>
      <c r="R153" s="72">
        <f t="shared" si="420"/>
        <v>185006</v>
      </c>
      <c r="S153" s="72">
        <f t="shared" si="420"/>
        <v>179950</v>
      </c>
      <c r="T153" s="72">
        <f t="shared" si="420"/>
        <v>178018</v>
      </c>
      <c r="U153" s="72">
        <f t="shared" si="420"/>
        <v>177036</v>
      </c>
      <c r="V153" s="72">
        <f t="shared" si="420"/>
        <v>172788</v>
      </c>
      <c r="W153" s="72">
        <f t="shared" si="420"/>
        <v>171282</v>
      </c>
      <c r="X153" s="73">
        <f t="shared" si="420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74">
        <f t="shared" si="420"/>
        <v>18677</v>
      </c>
      <c r="BJ153" s="75">
        <f t="shared" ref="BJ153:BL153" si="421">SUM(BJ148:BJ152)</f>
        <v>5166</v>
      </c>
      <c r="BK153" s="75">
        <f t="shared" si="421"/>
        <v>2925</v>
      </c>
      <c r="BL153" s="75">
        <f t="shared" si="421"/>
        <v>20611</v>
      </c>
      <c r="BM153" s="75">
        <f t="shared" ref="BM153:BN153" si="422">SUM(BM148:BM152)</f>
        <v>6299</v>
      </c>
      <c r="BN153" s="75">
        <f t="shared" si="422"/>
        <v>7427</v>
      </c>
      <c r="BO153" s="75">
        <f t="shared" ref="BO153:BP153" si="423">SUM(BO148:BO152)</f>
        <v>13913</v>
      </c>
      <c r="BP153" s="75">
        <f t="shared" si="423"/>
        <v>-12413</v>
      </c>
      <c r="BQ153" s="75">
        <f t="shared" ref="BQ153:BR153" si="424">SUM(BQ148:BQ152)</f>
        <v>9392</v>
      </c>
      <c r="BR153" s="75">
        <f t="shared" si="424"/>
        <v>5946</v>
      </c>
      <c r="BS153" s="75">
        <f t="shared" ref="BS153:BT153" si="425">SUM(BS148:BS152)</f>
        <v>-23138</v>
      </c>
      <c r="BT153" s="75">
        <f t="shared" si="425"/>
        <v>5085</v>
      </c>
      <c r="BU153" s="75">
        <f t="shared" ref="BU153:BV153" si="426">SUM(BU148:BU152)</f>
        <v>-7221</v>
      </c>
      <c r="BV153" s="75">
        <f t="shared" si="426"/>
        <v>-2616</v>
      </c>
      <c r="BW153" s="75">
        <f t="shared" ref="BW153:BX153" si="427">SUM(BW148:BW152)</f>
        <v>6059</v>
      </c>
      <c r="BX153" s="75">
        <f t="shared" si="427"/>
        <v>1875</v>
      </c>
      <c r="BY153" s="75">
        <f t="shared" ref="BY153:BZ153" si="428">SUM(BY148:BY152)</f>
        <v>1136</v>
      </c>
      <c r="BZ153" s="75">
        <f t="shared" si="428"/>
        <v>7189</v>
      </c>
      <c r="CA153" s="265">
        <f t="shared" ref="CA153:CB153" si="429">SUM(CA148:CA152)</f>
        <v>-3067</v>
      </c>
      <c r="CB153" s="265">
        <f t="shared" si="429"/>
        <v>-2259</v>
      </c>
      <c r="CC153" s="265">
        <f t="shared" ref="CC153:CE153" si="430">SUM(CC148:CC152)</f>
        <v>17965</v>
      </c>
      <c r="CD153" s="265">
        <f t="shared" si="430"/>
        <v>-11585</v>
      </c>
      <c r="CE153" s="328">
        <f t="shared" si="430"/>
        <v>18213</v>
      </c>
      <c r="CF153" s="328">
        <f t="shared" ref="CF153:CG153" si="431">SUM(CF148:CF152)</f>
        <v>16417</v>
      </c>
      <c r="CG153" s="328">
        <f t="shared" si="431"/>
        <v>26591</v>
      </c>
      <c r="CH153" s="328">
        <f t="shared" ref="CH153:CI153" si="432">SUM(CH148:CH152)</f>
        <v>-3241</v>
      </c>
      <c r="CI153" s="328">
        <f t="shared" si="432"/>
        <v>-3343</v>
      </c>
      <c r="CJ153" s="328">
        <f t="shared" ref="CJ153" si="433">SUM(CJ148:CJ152)</f>
        <v>981</v>
      </c>
      <c r="CK153" s="328">
        <f t="shared" ref="CK153" si="434">SUM(CK148:CK152)</f>
        <v>-2743</v>
      </c>
      <c r="CL153" s="328">
        <f t="shared" ref="CL153" si="435">SUM(CL148:CL152)</f>
        <v>10471</v>
      </c>
      <c r="CM153" s="328">
        <f t="shared" ref="CM153" si="436">SUM(CM148:CM152)</f>
        <v>2124</v>
      </c>
      <c r="CN153" s="328">
        <f t="shared" ref="CN153" si="437">SUM(CN148:CN152)</f>
        <v>8780</v>
      </c>
      <c r="CO153" s="328">
        <f t="shared" ref="CO153" si="438">SUM(CO148:CO152)</f>
        <v>92</v>
      </c>
      <c r="CP153" s="367">
        <f t="shared" ref="CP153" si="439">SUM(CP148:CP152)</f>
        <v>2237</v>
      </c>
      <c r="CQ153" s="367">
        <f t="shared" ref="CQ153:CS153" si="440">SUM(CQ148:CQ152)</f>
        <v>6760</v>
      </c>
      <c r="CR153" s="367">
        <f t="shared" ref="CR153:CS153" si="441">SUM(CR148:CR152)</f>
        <v>-5727</v>
      </c>
      <c r="CS153" s="367">
        <f t="shared" si="441"/>
        <v>-3035</v>
      </c>
      <c r="CT153" s="349"/>
      <c r="CU153" s="74">
        <f t="shared" si="394"/>
        <v>208295</v>
      </c>
      <c r="CV153" s="40"/>
    </row>
    <row r="154" spans="1:10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50"/>
      <c r="CU154" s="98"/>
    </row>
    <row r="155" spans="1:100" s="40" customFormat="1" x14ac:dyDescent="0.3">
      <c r="A155" s="150"/>
      <c r="B155" s="41" t="s">
        <v>37</v>
      </c>
      <c r="C155" s="100">
        <f t="shared" ref="C155:O155" si="442">C130-C141</f>
        <v>3997757</v>
      </c>
      <c r="D155" s="101">
        <f t="shared" si="442"/>
        <v>-2434959.6499999985</v>
      </c>
      <c r="E155" s="101">
        <f t="shared" si="442"/>
        <v>-4930005.0300000012</v>
      </c>
      <c r="F155" s="37">
        <f t="shared" si="442"/>
        <v>-5020871.6199999992</v>
      </c>
      <c r="G155" s="101">
        <f t="shared" si="442"/>
        <v>-4805479.1400000006</v>
      </c>
      <c r="H155" s="101">
        <f t="shared" si="442"/>
        <v>-4186185.1399999997</v>
      </c>
      <c r="I155" s="101">
        <f t="shared" si="442"/>
        <v>-3015624.38</v>
      </c>
      <c r="J155" s="101">
        <f t="shared" si="442"/>
        <v>-2116909.3099999996</v>
      </c>
      <c r="K155" s="101">
        <f t="shared" si="442"/>
        <v>1901879.3100000005</v>
      </c>
      <c r="L155" s="102">
        <f t="shared" si="442"/>
        <v>8254796.7199999988</v>
      </c>
      <c r="M155" s="101">
        <f t="shared" si="442"/>
        <v>7334101.3399999999</v>
      </c>
      <c r="N155" s="101">
        <f t="shared" si="442"/>
        <v>5089337.1999999993</v>
      </c>
      <c r="O155" s="101">
        <f t="shared" si="442"/>
        <v>1321272.1900000013</v>
      </c>
      <c r="P155" s="101">
        <f t="shared" ref="P155:R155" si="443">P130-P141</f>
        <v>2051746.4699999988</v>
      </c>
      <c r="Q155" s="101">
        <f t="shared" si="443"/>
        <v>-2393759.9000000004</v>
      </c>
      <c r="R155" s="101">
        <f t="shared" si="443"/>
        <v>-5254227.7699999986</v>
      </c>
      <c r="S155" s="101">
        <f t="shared" ref="S155:T155" si="444">S130-S141</f>
        <v>-3682278.2300000004</v>
      </c>
      <c r="T155" s="101">
        <f t="shared" si="444"/>
        <v>-3921397.2500000009</v>
      </c>
      <c r="U155" s="101">
        <f t="shared" ref="U155:V155" si="445">U130-U141</f>
        <v>-2791901.2600000007</v>
      </c>
      <c r="V155" s="101">
        <f t="shared" si="445"/>
        <v>-2209058</v>
      </c>
      <c r="W155" s="101">
        <f t="shared" ref="W155:Z155" si="446">W130-W141</f>
        <v>935974.97000000067</v>
      </c>
      <c r="X155" s="102">
        <f t="shared" si="446"/>
        <v>6205179.6700000018</v>
      </c>
      <c r="Y155" s="101">
        <f t="shared" si="446"/>
        <v>11713383</v>
      </c>
      <c r="Z155" s="101">
        <f t="shared" si="446"/>
        <v>9781637</v>
      </c>
      <c r="AA155" s="101">
        <f t="shared" ref="AA155:AB155" si="447">AA130-AA141</f>
        <v>1305399.1799999997</v>
      </c>
      <c r="AB155" s="101">
        <f t="shared" si="447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7">
        <f t="shared" ref="BI155:BR159" si="448">O155-C155</f>
        <v>-2676484.8099999987</v>
      </c>
      <c r="BJ155" s="103">
        <f t="shared" si="448"/>
        <v>4486706.1199999973</v>
      </c>
      <c r="BK155" s="103">
        <f t="shared" si="448"/>
        <v>2536245.1300000008</v>
      </c>
      <c r="BL155" s="103">
        <f t="shared" si="448"/>
        <v>-233356.14999999944</v>
      </c>
      <c r="BM155" s="103">
        <f t="shared" si="448"/>
        <v>1123200.9100000001</v>
      </c>
      <c r="BN155" s="103">
        <f t="shared" si="448"/>
        <v>264787.88999999873</v>
      </c>
      <c r="BO155" s="103">
        <f t="shared" si="448"/>
        <v>223723.11999999918</v>
      </c>
      <c r="BP155" s="103">
        <f t="shared" si="448"/>
        <v>-92148.69000000041</v>
      </c>
      <c r="BQ155" s="103">
        <f t="shared" si="448"/>
        <v>-965904.33999999985</v>
      </c>
      <c r="BR155" s="103">
        <f t="shared" si="448"/>
        <v>-2049617.049999997</v>
      </c>
      <c r="BS155" s="103">
        <f t="shared" ref="BS155:CB159" si="449">Y155-M155</f>
        <v>4379281.66</v>
      </c>
      <c r="BT155" s="103">
        <f t="shared" si="449"/>
        <v>4692299.8000000007</v>
      </c>
      <c r="BU155" s="103">
        <f t="shared" si="449"/>
        <v>-15873.010000001639</v>
      </c>
      <c r="BV155" s="103">
        <f t="shared" si="449"/>
        <v>-2857138.0399999991</v>
      </c>
      <c r="BW155" s="103">
        <f t="shared" si="449"/>
        <v>-2235582.7399999984</v>
      </c>
      <c r="BX155" s="103">
        <f t="shared" si="449"/>
        <v>68505.109999997541</v>
      </c>
      <c r="BY155" s="103">
        <f t="shared" si="449"/>
        <v>-696204.76999999955</v>
      </c>
      <c r="BZ155" s="103">
        <f t="shared" si="449"/>
        <v>-97718.479999998584</v>
      </c>
      <c r="CA155" s="277">
        <f t="shared" si="449"/>
        <v>263022.26000000071</v>
      </c>
      <c r="CB155" s="277">
        <f t="shared" si="449"/>
        <v>-9066</v>
      </c>
      <c r="CC155" s="277">
        <f t="shared" ref="CC155:CL159" si="450">AI155-W155</f>
        <v>536386.02999999933</v>
      </c>
      <c r="CD155" s="277">
        <f t="shared" si="450"/>
        <v>5591207.3299999982</v>
      </c>
      <c r="CE155" s="312">
        <f t="shared" si="450"/>
        <v>28963</v>
      </c>
      <c r="CF155" s="312">
        <f t="shared" si="450"/>
        <v>-1686877</v>
      </c>
      <c r="CG155" s="312">
        <f t="shared" si="450"/>
        <v>252990.8200000003</v>
      </c>
      <c r="CH155" s="312">
        <f t="shared" si="450"/>
        <v>2142580.5700000003</v>
      </c>
      <c r="CI155" s="312">
        <f t="shared" si="450"/>
        <v>-83383.360000001267</v>
      </c>
      <c r="CJ155" s="312">
        <f t="shared" si="450"/>
        <v>-1065614.3399999989</v>
      </c>
      <c r="CK155" s="312">
        <f t="shared" si="450"/>
        <v>76561</v>
      </c>
      <c r="CL155" s="312">
        <f t="shared" si="450"/>
        <v>-1903329.2700000005</v>
      </c>
      <c r="CM155" s="312">
        <f t="shared" ref="CM155:CS159" si="451">AS155-AG155</f>
        <v>-227345</v>
      </c>
      <c r="CN155" s="312">
        <f t="shared" si="451"/>
        <v>-306031</v>
      </c>
      <c r="CO155" s="312">
        <f t="shared" si="451"/>
        <v>-936322</v>
      </c>
      <c r="CP155" s="312">
        <f t="shared" si="451"/>
        <v>119517</v>
      </c>
      <c r="CQ155" s="312">
        <f t="shared" si="451"/>
        <v>-107804</v>
      </c>
      <c r="CR155" s="312">
        <f t="shared" si="451"/>
        <v>-799741</v>
      </c>
      <c r="CS155" s="312">
        <f t="shared" si="451"/>
        <v>1784085</v>
      </c>
      <c r="CT155" s="350"/>
      <c r="CU155" s="67">
        <f>'MONTHLY SUMMARIES'!J115</f>
        <v>3342475</v>
      </c>
    </row>
    <row r="156" spans="1:100" s="40" customFormat="1" x14ac:dyDescent="0.3">
      <c r="A156" s="150"/>
      <c r="B156" s="41" t="s">
        <v>38</v>
      </c>
      <c r="C156" s="100">
        <f t="shared" ref="C156:O156" si="452">C133-C142</f>
        <v>951788.86999999988</v>
      </c>
      <c r="D156" s="101">
        <f t="shared" si="452"/>
        <v>601979.45000000019</v>
      </c>
      <c r="E156" s="101">
        <f t="shared" si="452"/>
        <v>62038.300000000047</v>
      </c>
      <c r="F156" s="37">
        <f t="shared" si="452"/>
        <v>-197824.2300000001</v>
      </c>
      <c r="G156" s="101">
        <f t="shared" si="452"/>
        <v>-160788.20999999996</v>
      </c>
      <c r="H156" s="101">
        <f t="shared" si="452"/>
        <v>-139041.77000000002</v>
      </c>
      <c r="I156" s="101">
        <f t="shared" si="452"/>
        <v>-101430.63</v>
      </c>
      <c r="J156" s="101">
        <f t="shared" si="452"/>
        <v>3822.929999999993</v>
      </c>
      <c r="K156" s="101">
        <f t="shared" si="452"/>
        <v>351518.93</v>
      </c>
      <c r="L156" s="102">
        <f t="shared" si="452"/>
        <v>1439998.4500000002</v>
      </c>
      <c r="M156" s="101">
        <f t="shared" si="452"/>
        <v>727321.6100000001</v>
      </c>
      <c r="N156" s="101">
        <f t="shared" si="452"/>
        <v>911191.84</v>
      </c>
      <c r="O156" s="101">
        <f t="shared" si="452"/>
        <v>711925.75999999989</v>
      </c>
      <c r="P156" s="101">
        <f t="shared" ref="P156:R156" si="453">P133-P142</f>
        <v>761787.06</v>
      </c>
      <c r="Q156" s="101">
        <f t="shared" si="453"/>
        <v>187886.59000000008</v>
      </c>
      <c r="R156" s="101">
        <f t="shared" si="453"/>
        <v>-91163.960000000021</v>
      </c>
      <c r="S156" s="101">
        <f t="shared" ref="S156:T156" si="454">S133-S142</f>
        <v>-86938.280000000028</v>
      </c>
      <c r="T156" s="101">
        <f t="shared" si="454"/>
        <v>-82867.219999999972</v>
      </c>
      <c r="U156" s="101">
        <f t="shared" ref="U156:V156" si="455">U133-U142</f>
        <v>-22675.460000000021</v>
      </c>
      <c r="V156" s="101">
        <f t="shared" si="455"/>
        <v>49264</v>
      </c>
      <c r="W156" s="101">
        <f t="shared" ref="W156:Z156" si="456">W133-W142</f>
        <v>431857.93000000005</v>
      </c>
      <c r="X156" s="102">
        <f t="shared" si="456"/>
        <v>1253579.2899999998</v>
      </c>
      <c r="Y156" s="101">
        <f t="shared" si="456"/>
        <v>1471464</v>
      </c>
      <c r="Z156" s="101">
        <f t="shared" si="456"/>
        <v>1415582</v>
      </c>
      <c r="AA156" s="101">
        <f t="shared" ref="AA156:AB156" si="457">AA133-AA142</f>
        <v>1057834.0999999999</v>
      </c>
      <c r="AB156" s="101">
        <f t="shared" si="457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7">
        <f t="shared" si="448"/>
        <v>-239863.11</v>
      </c>
      <c r="BJ156" s="103">
        <f t="shared" si="448"/>
        <v>159807.60999999987</v>
      </c>
      <c r="BK156" s="103">
        <f t="shared" si="448"/>
        <v>125848.29000000004</v>
      </c>
      <c r="BL156" s="103">
        <f t="shared" si="448"/>
        <v>106660.27000000008</v>
      </c>
      <c r="BM156" s="103">
        <f t="shared" si="448"/>
        <v>73849.929999999935</v>
      </c>
      <c r="BN156" s="103">
        <f t="shared" si="448"/>
        <v>56174.550000000047</v>
      </c>
      <c r="BO156" s="103">
        <f t="shared" si="448"/>
        <v>78755.169999999984</v>
      </c>
      <c r="BP156" s="103">
        <f t="shared" si="448"/>
        <v>45441.070000000007</v>
      </c>
      <c r="BQ156" s="103">
        <f t="shared" si="448"/>
        <v>80339.000000000058</v>
      </c>
      <c r="BR156" s="103">
        <f t="shared" si="448"/>
        <v>-186419.16000000038</v>
      </c>
      <c r="BS156" s="103">
        <f t="shared" si="449"/>
        <v>744142.3899999999</v>
      </c>
      <c r="BT156" s="103">
        <f t="shared" si="449"/>
        <v>504390.16000000003</v>
      </c>
      <c r="BU156" s="103">
        <f t="shared" si="449"/>
        <v>345908.33999999997</v>
      </c>
      <c r="BV156" s="103">
        <f t="shared" si="449"/>
        <v>223434.88</v>
      </c>
      <c r="BW156" s="103">
        <f t="shared" si="449"/>
        <v>-238219.79000000015</v>
      </c>
      <c r="BX156" s="103">
        <f t="shared" si="449"/>
        <v>-242857.89999999997</v>
      </c>
      <c r="BY156" s="103">
        <f t="shared" si="449"/>
        <v>-55106.719999999972</v>
      </c>
      <c r="BZ156" s="103">
        <f t="shared" si="449"/>
        <v>-81473.920000000042</v>
      </c>
      <c r="CA156" s="277">
        <f t="shared" si="449"/>
        <v>-55079.539999999979</v>
      </c>
      <c r="CB156" s="277">
        <f t="shared" si="449"/>
        <v>-50237</v>
      </c>
      <c r="CC156" s="277">
        <f t="shared" si="450"/>
        <v>-1103831.9300000002</v>
      </c>
      <c r="CD156" s="277">
        <f t="shared" si="450"/>
        <v>563419.7100000002</v>
      </c>
      <c r="CE156" s="312">
        <f t="shared" si="450"/>
        <v>272044</v>
      </c>
      <c r="CF156" s="312">
        <f t="shared" si="450"/>
        <v>620056</v>
      </c>
      <c r="CG156" s="312">
        <f t="shared" si="450"/>
        <v>438298.90000000014</v>
      </c>
      <c r="CH156" s="312">
        <f t="shared" si="450"/>
        <v>-35736.940000000061</v>
      </c>
      <c r="CI156" s="312">
        <f t="shared" si="450"/>
        <v>198962.20000000007</v>
      </c>
      <c r="CJ156" s="312">
        <f t="shared" si="450"/>
        <v>367492.86</v>
      </c>
      <c r="CK156" s="312">
        <f t="shared" si="450"/>
        <v>56260</v>
      </c>
      <c r="CL156" s="312">
        <f t="shared" si="450"/>
        <v>4829.140000000014</v>
      </c>
      <c r="CM156" s="312">
        <f t="shared" si="451"/>
        <v>136005</v>
      </c>
      <c r="CN156" s="312">
        <f t="shared" si="451"/>
        <v>120662</v>
      </c>
      <c r="CO156" s="312">
        <f t="shared" si="451"/>
        <v>1409668</v>
      </c>
      <c r="CP156" s="312">
        <f t="shared" si="451"/>
        <v>821296</v>
      </c>
      <c r="CQ156" s="312">
        <f t="shared" si="451"/>
        <v>520935</v>
      </c>
      <c r="CR156" s="312">
        <f t="shared" si="451"/>
        <v>94928</v>
      </c>
      <c r="CS156" s="312">
        <f t="shared" si="451"/>
        <v>550148</v>
      </c>
      <c r="CT156" s="350"/>
      <c r="CU156" s="67">
        <f>'MONTHLY SUMMARIES'!J116</f>
        <v>2046281</v>
      </c>
    </row>
    <row r="157" spans="1:100" s="40" customFormat="1" x14ac:dyDescent="0.3">
      <c r="A157" s="150"/>
      <c r="B157" s="41" t="s">
        <v>39</v>
      </c>
      <c r="C157" s="100">
        <f t="shared" ref="C157:O159" si="458">C136-C143</f>
        <v>-104302.54000000004</v>
      </c>
      <c r="D157" s="101">
        <f t="shared" si="458"/>
        <v>-1755182.2299999995</v>
      </c>
      <c r="E157" s="101">
        <f t="shared" si="458"/>
        <v>-1948767.94</v>
      </c>
      <c r="F157" s="37">
        <f t="shared" si="458"/>
        <v>-929437.5</v>
      </c>
      <c r="G157" s="101">
        <f t="shared" si="458"/>
        <v>-672581.00000000023</v>
      </c>
      <c r="H157" s="101">
        <f t="shared" si="458"/>
        <v>-346288.80000000005</v>
      </c>
      <c r="I157" s="101">
        <f t="shared" si="458"/>
        <v>-193194.93999999994</v>
      </c>
      <c r="J157" s="101">
        <f t="shared" si="458"/>
        <v>2512.75</v>
      </c>
      <c r="K157" s="101">
        <f t="shared" si="458"/>
        <v>838812.15000000014</v>
      </c>
      <c r="L157" s="102">
        <f t="shared" si="458"/>
        <v>6081024.6299999999</v>
      </c>
      <c r="M157" s="101">
        <f t="shared" si="458"/>
        <v>422265.70000000019</v>
      </c>
      <c r="N157" s="101">
        <f t="shared" si="458"/>
        <v>772946.49000000022</v>
      </c>
      <c r="O157" s="101">
        <f t="shared" si="458"/>
        <v>-1052330.7599999998</v>
      </c>
      <c r="P157" s="101">
        <f t="shared" ref="P157:R157" si="459">P136-P143</f>
        <v>239278.33999999985</v>
      </c>
      <c r="Q157" s="101">
        <f t="shared" si="459"/>
        <v>-1003257.31</v>
      </c>
      <c r="R157" s="101">
        <f t="shared" si="459"/>
        <v>-1485214.45</v>
      </c>
      <c r="S157" s="101">
        <f t="shared" ref="S157:T157" si="460">S136-S143</f>
        <v>-603088.64999999991</v>
      </c>
      <c r="T157" s="101">
        <f t="shared" si="460"/>
        <v>-264208.99</v>
      </c>
      <c r="U157" s="101">
        <f t="shared" ref="U157:V157" si="461">U136-U143</f>
        <v>-92809.920000000042</v>
      </c>
      <c r="V157" s="101">
        <f t="shared" si="461"/>
        <v>144555</v>
      </c>
      <c r="W157" s="101">
        <f t="shared" ref="W157:Z157" si="462">W136-W143</f>
        <v>758016.25999999978</v>
      </c>
      <c r="X157" s="102">
        <f t="shared" si="462"/>
        <v>2081410.5000000005</v>
      </c>
      <c r="Y157" s="101">
        <f t="shared" si="462"/>
        <v>2804774</v>
      </c>
      <c r="Z157" s="101">
        <f t="shared" si="462"/>
        <v>1383905</v>
      </c>
      <c r="AA157" s="101">
        <f t="shared" ref="AA157:AB157" si="463">AA136-AA143</f>
        <v>-1398076.1000000006</v>
      </c>
      <c r="AB157" s="101">
        <f t="shared" si="463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7">
        <f t="shared" si="448"/>
        <v>-948028.21999999974</v>
      </c>
      <c r="BJ157" s="103">
        <f t="shared" si="448"/>
        <v>1994460.5699999994</v>
      </c>
      <c r="BK157" s="103">
        <f t="shared" si="448"/>
        <v>945510.62999999989</v>
      </c>
      <c r="BL157" s="103">
        <f t="shared" si="448"/>
        <v>-555776.94999999995</v>
      </c>
      <c r="BM157" s="103">
        <f t="shared" si="448"/>
        <v>69492.350000000326</v>
      </c>
      <c r="BN157" s="103">
        <f t="shared" si="448"/>
        <v>82079.810000000056</v>
      </c>
      <c r="BO157" s="103">
        <f t="shared" si="448"/>
        <v>100385.0199999999</v>
      </c>
      <c r="BP157" s="103">
        <f t="shared" si="448"/>
        <v>142042.25</v>
      </c>
      <c r="BQ157" s="103">
        <f t="shared" si="448"/>
        <v>-80795.890000000363</v>
      </c>
      <c r="BR157" s="103">
        <f t="shared" si="448"/>
        <v>-3999614.1299999994</v>
      </c>
      <c r="BS157" s="103">
        <f t="shared" si="449"/>
        <v>2382508.2999999998</v>
      </c>
      <c r="BT157" s="103">
        <f t="shared" si="449"/>
        <v>610958.50999999978</v>
      </c>
      <c r="BU157" s="103">
        <f t="shared" si="449"/>
        <v>-345745.34000000078</v>
      </c>
      <c r="BV157" s="103">
        <f t="shared" si="449"/>
        <v>-1410891.629999999</v>
      </c>
      <c r="BW157" s="103">
        <f t="shared" si="449"/>
        <v>-101400.52000000002</v>
      </c>
      <c r="BX157" s="103">
        <f t="shared" si="449"/>
        <v>742457.24</v>
      </c>
      <c r="BY157" s="103">
        <f t="shared" si="449"/>
        <v>186778.64999999991</v>
      </c>
      <c r="BZ157" s="103">
        <f t="shared" si="449"/>
        <v>-22827.370000000112</v>
      </c>
      <c r="CA157" s="277">
        <f t="shared" si="449"/>
        <v>-120821.07999999996</v>
      </c>
      <c r="CB157" s="277">
        <f t="shared" si="449"/>
        <v>-48746</v>
      </c>
      <c r="CC157" s="277">
        <f t="shared" si="450"/>
        <v>243006.74000000022</v>
      </c>
      <c r="CD157" s="277">
        <f t="shared" si="450"/>
        <v>1017976.4999999995</v>
      </c>
      <c r="CE157" s="312">
        <f t="shared" si="450"/>
        <v>122968</v>
      </c>
      <c r="CF157" s="312">
        <f t="shared" si="450"/>
        <v>-591361</v>
      </c>
      <c r="CG157" s="312">
        <f t="shared" si="450"/>
        <v>463176.10000000056</v>
      </c>
      <c r="CH157" s="312">
        <f t="shared" si="450"/>
        <v>-242082.71000000089</v>
      </c>
      <c r="CI157" s="312">
        <f t="shared" si="450"/>
        <v>-503003.16999999993</v>
      </c>
      <c r="CJ157" s="312">
        <f t="shared" si="450"/>
        <v>-392726.79000000004</v>
      </c>
      <c r="CK157" s="312">
        <f t="shared" si="450"/>
        <v>-116006</v>
      </c>
      <c r="CL157" s="312">
        <f t="shared" si="450"/>
        <v>-390715.6399999999</v>
      </c>
      <c r="CM157" s="312">
        <f t="shared" si="451"/>
        <v>205362</v>
      </c>
      <c r="CN157" s="312">
        <f t="shared" si="451"/>
        <v>-91657</v>
      </c>
      <c r="CO157" s="312">
        <f t="shared" si="451"/>
        <v>-326624</v>
      </c>
      <c r="CP157" s="312">
        <f t="shared" si="451"/>
        <v>281986</v>
      </c>
      <c r="CQ157" s="312">
        <f t="shared" si="451"/>
        <v>-1570586</v>
      </c>
      <c r="CR157" s="312">
        <f t="shared" si="451"/>
        <v>125354</v>
      </c>
      <c r="CS157" s="312">
        <f t="shared" si="451"/>
        <v>59581</v>
      </c>
      <c r="CT157" s="350"/>
      <c r="CU157" s="67">
        <f>'MONTHLY SUMMARIES'!J117</f>
        <v>-875319</v>
      </c>
    </row>
    <row r="158" spans="1:100" s="40" customFormat="1" x14ac:dyDescent="0.3">
      <c r="A158" s="150"/>
      <c r="B158" s="41" t="s">
        <v>40</v>
      </c>
      <c r="C158" s="100">
        <f t="shared" si="458"/>
        <v>3923158.24</v>
      </c>
      <c r="D158" s="101">
        <f t="shared" si="458"/>
        <v>-1167779.9200000002</v>
      </c>
      <c r="E158" s="101">
        <f t="shared" si="458"/>
        <v>-975526.29999999981</v>
      </c>
      <c r="F158" s="37">
        <f t="shared" si="458"/>
        <v>250532.12000000011</v>
      </c>
      <c r="G158" s="101">
        <f t="shared" si="458"/>
        <v>-215453.20999999996</v>
      </c>
      <c r="H158" s="101">
        <f t="shared" si="458"/>
        <v>-85049.060000000056</v>
      </c>
      <c r="I158" s="101">
        <f t="shared" si="458"/>
        <v>-2503.6300000000047</v>
      </c>
      <c r="J158" s="101">
        <f t="shared" si="458"/>
        <v>127940.02000000002</v>
      </c>
      <c r="K158" s="101">
        <f t="shared" si="458"/>
        <v>536781.77</v>
      </c>
      <c r="L158" s="102">
        <f t="shared" si="458"/>
        <v>1157722.43</v>
      </c>
      <c r="M158" s="101">
        <f t="shared" si="458"/>
        <v>27743.979999999981</v>
      </c>
      <c r="N158" s="101">
        <f t="shared" si="458"/>
        <v>292919.37999999989</v>
      </c>
      <c r="O158" s="101">
        <f t="shared" si="458"/>
        <v>-442411.70000000019</v>
      </c>
      <c r="P158" s="101">
        <f t="shared" ref="P158:R158" si="464">P137-P144</f>
        <v>192033.72999999998</v>
      </c>
      <c r="Q158" s="101">
        <f t="shared" si="464"/>
        <v>-260180.35000000009</v>
      </c>
      <c r="R158" s="101">
        <f t="shared" si="464"/>
        <v>-827018.38</v>
      </c>
      <c r="S158" s="101">
        <f t="shared" ref="S158:T158" si="465">S137-S144</f>
        <v>-325603.08</v>
      </c>
      <c r="T158" s="101">
        <f t="shared" si="465"/>
        <v>-86385.510000000009</v>
      </c>
      <c r="U158" s="101">
        <f t="shared" ref="U158:V158" si="466">U137-U144</f>
        <v>37877.860000000044</v>
      </c>
      <c r="V158" s="101">
        <f t="shared" si="466"/>
        <v>298495</v>
      </c>
      <c r="W158" s="101">
        <f t="shared" ref="W158:Z158" si="467">W137-W144</f>
        <v>476662.69</v>
      </c>
      <c r="X158" s="102">
        <f t="shared" si="467"/>
        <v>807394.00000000023</v>
      </c>
      <c r="Y158" s="101">
        <f t="shared" si="467"/>
        <v>1027537</v>
      </c>
      <c r="Z158" s="101">
        <f t="shared" si="467"/>
        <v>528762</v>
      </c>
      <c r="AA158" s="101">
        <f t="shared" ref="AA158:AB158" si="468">AA137-AA144</f>
        <v>-804756.7200000002</v>
      </c>
      <c r="AB158" s="101">
        <f t="shared" si="468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7">
        <f t="shared" si="448"/>
        <v>-4365569.9400000004</v>
      </c>
      <c r="BJ158" s="103">
        <f t="shared" si="448"/>
        <v>1359813.6500000001</v>
      </c>
      <c r="BK158" s="103">
        <f t="shared" si="448"/>
        <v>715345.94999999972</v>
      </c>
      <c r="BL158" s="103">
        <f t="shared" si="448"/>
        <v>-1077550.5</v>
      </c>
      <c r="BM158" s="103">
        <f t="shared" si="448"/>
        <v>-110149.87000000005</v>
      </c>
      <c r="BN158" s="103">
        <f t="shared" si="448"/>
        <v>-1336.4499999999534</v>
      </c>
      <c r="BO158" s="103">
        <f t="shared" si="448"/>
        <v>40381.490000000049</v>
      </c>
      <c r="BP158" s="103">
        <f t="shared" si="448"/>
        <v>170554.97999999998</v>
      </c>
      <c r="BQ158" s="103">
        <f t="shared" si="448"/>
        <v>-60119.080000000016</v>
      </c>
      <c r="BR158" s="103">
        <f t="shared" si="448"/>
        <v>-350328.4299999997</v>
      </c>
      <c r="BS158" s="103">
        <f t="shared" si="449"/>
        <v>999793.02</v>
      </c>
      <c r="BT158" s="103">
        <f t="shared" si="449"/>
        <v>235842.62000000011</v>
      </c>
      <c r="BU158" s="103">
        <f t="shared" si="449"/>
        <v>-362345.02</v>
      </c>
      <c r="BV158" s="103">
        <f t="shared" si="449"/>
        <v>-659331.89000000013</v>
      </c>
      <c r="BW158" s="103">
        <f t="shared" si="449"/>
        <v>-216126.03000000003</v>
      </c>
      <c r="BX158" s="103">
        <f t="shared" si="449"/>
        <v>547654.48</v>
      </c>
      <c r="BY158" s="103">
        <f t="shared" si="449"/>
        <v>76316.080000000016</v>
      </c>
      <c r="BZ158" s="103">
        <f t="shared" si="449"/>
        <v>2882.1599999999744</v>
      </c>
      <c r="CA158" s="277">
        <f t="shared" si="449"/>
        <v>29179.139999999956</v>
      </c>
      <c r="CB158" s="277">
        <f t="shared" si="449"/>
        <v>-197606</v>
      </c>
      <c r="CC158" s="277">
        <f t="shared" si="450"/>
        <v>49517.31</v>
      </c>
      <c r="CD158" s="277">
        <f t="shared" si="450"/>
        <v>598309.99999999977</v>
      </c>
      <c r="CE158" s="312">
        <f t="shared" si="450"/>
        <v>291638</v>
      </c>
      <c r="CF158" s="312">
        <f t="shared" si="450"/>
        <v>-634687</v>
      </c>
      <c r="CG158" s="312">
        <f t="shared" si="450"/>
        <v>160179.7200000002</v>
      </c>
      <c r="CH158" s="312">
        <f t="shared" si="450"/>
        <v>53186.160000000149</v>
      </c>
      <c r="CI158" s="312">
        <f t="shared" si="450"/>
        <v>12657.380000000121</v>
      </c>
      <c r="CJ158" s="312">
        <f t="shared" si="450"/>
        <v>-524226.1</v>
      </c>
      <c r="CK158" s="312">
        <f t="shared" si="450"/>
        <v>166588</v>
      </c>
      <c r="CL158" s="312">
        <f t="shared" si="450"/>
        <v>-36536.649999999965</v>
      </c>
      <c r="CM158" s="312">
        <f t="shared" si="451"/>
        <v>75476</v>
      </c>
      <c r="CN158" s="312">
        <f t="shared" si="451"/>
        <v>137109</v>
      </c>
      <c r="CO158" s="312">
        <f t="shared" si="451"/>
        <v>-28349</v>
      </c>
      <c r="CP158" s="312">
        <f t="shared" si="451"/>
        <v>169509</v>
      </c>
      <c r="CQ158" s="312">
        <f t="shared" si="451"/>
        <v>-1205887</v>
      </c>
      <c r="CR158" s="312">
        <f t="shared" si="451"/>
        <v>127670</v>
      </c>
      <c r="CS158" s="312">
        <f t="shared" si="451"/>
        <v>292377</v>
      </c>
      <c r="CT158" s="350"/>
      <c r="CU158" s="67">
        <f>'MONTHLY SUMMARIES'!J118</f>
        <v>-352200</v>
      </c>
    </row>
    <row r="159" spans="1:100" s="40" customFormat="1" x14ac:dyDescent="0.3">
      <c r="A159" s="150"/>
      <c r="B159" s="41" t="s">
        <v>41</v>
      </c>
      <c r="C159" s="100">
        <f t="shared" si="458"/>
        <v>1471002.5900000003</v>
      </c>
      <c r="D159" s="101">
        <f t="shared" si="458"/>
        <v>-85817.190000000177</v>
      </c>
      <c r="E159" s="101">
        <f t="shared" si="458"/>
        <v>-113215.96999999997</v>
      </c>
      <c r="F159" s="37">
        <f t="shared" si="458"/>
        <v>-72104.989999999991</v>
      </c>
      <c r="G159" s="101">
        <f t="shared" si="458"/>
        <v>-197516</v>
      </c>
      <c r="H159" s="101">
        <f t="shared" si="458"/>
        <v>168877.42999999993</v>
      </c>
      <c r="I159" s="101">
        <f t="shared" si="458"/>
        <v>28831.520000000019</v>
      </c>
      <c r="J159" s="101">
        <f t="shared" si="458"/>
        <v>294259.96999999997</v>
      </c>
      <c r="K159" s="101">
        <f t="shared" si="458"/>
        <v>163742.45999999996</v>
      </c>
      <c r="L159" s="102">
        <f t="shared" si="458"/>
        <v>591395.08000000007</v>
      </c>
      <c r="M159" s="101">
        <f t="shared" si="458"/>
        <v>165108.02000000002</v>
      </c>
      <c r="N159" s="101">
        <f t="shared" si="458"/>
        <v>260844.57000000007</v>
      </c>
      <c r="O159" s="101">
        <f t="shared" si="458"/>
        <v>-144163.53000000003</v>
      </c>
      <c r="P159" s="101">
        <f t="shared" ref="P159:R159" si="469">P138-P145</f>
        <v>-96376.930000000168</v>
      </c>
      <c r="Q159" s="101">
        <f t="shared" si="469"/>
        <v>189027.49</v>
      </c>
      <c r="R159" s="101">
        <f t="shared" si="469"/>
        <v>-394543.82000000007</v>
      </c>
      <c r="S159" s="101">
        <f t="shared" ref="S159:T159" si="470">S138-S145</f>
        <v>-127058.04000000004</v>
      </c>
      <c r="T159" s="101">
        <f t="shared" si="470"/>
        <v>-24533.509999999893</v>
      </c>
      <c r="U159" s="101">
        <f t="shared" ref="U159:V159" si="471">U138-U145</f>
        <v>172012.11</v>
      </c>
      <c r="V159" s="101">
        <f t="shared" si="471"/>
        <v>85926</v>
      </c>
      <c r="W159" s="101">
        <f t="shared" ref="W159:Z159" si="472">W138-W145</f>
        <v>185141.94999999995</v>
      </c>
      <c r="X159" s="102">
        <f t="shared" si="472"/>
        <v>253307.47999999998</v>
      </c>
      <c r="Y159" s="101">
        <f t="shared" si="472"/>
        <v>419721</v>
      </c>
      <c r="Z159" s="101">
        <f t="shared" si="472"/>
        <v>294809</v>
      </c>
      <c r="AA159" s="101">
        <f t="shared" ref="AA159:AB159" si="473">AA138-AA145</f>
        <v>-391927.85999999987</v>
      </c>
      <c r="AB159" s="101">
        <f t="shared" si="473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7">
        <f t="shared" si="448"/>
        <v>-1615166.1200000003</v>
      </c>
      <c r="BJ159" s="103">
        <f t="shared" si="448"/>
        <v>-10559.739999999991</v>
      </c>
      <c r="BK159" s="103">
        <f t="shared" si="448"/>
        <v>302243.45999999996</v>
      </c>
      <c r="BL159" s="103">
        <f t="shared" si="448"/>
        <v>-322438.83000000007</v>
      </c>
      <c r="BM159" s="103">
        <f t="shared" si="448"/>
        <v>70457.959999999963</v>
      </c>
      <c r="BN159" s="103">
        <f t="shared" si="448"/>
        <v>-193410.93999999983</v>
      </c>
      <c r="BO159" s="103">
        <f t="shared" si="448"/>
        <v>143180.58999999997</v>
      </c>
      <c r="BP159" s="103">
        <f t="shared" si="448"/>
        <v>-208333.96999999997</v>
      </c>
      <c r="BQ159" s="103">
        <f t="shared" si="448"/>
        <v>21399.489999999991</v>
      </c>
      <c r="BR159" s="103">
        <f t="shared" si="448"/>
        <v>-338087.60000000009</v>
      </c>
      <c r="BS159" s="103">
        <f t="shared" si="449"/>
        <v>254612.97999999998</v>
      </c>
      <c r="BT159" s="103">
        <f t="shared" si="449"/>
        <v>33964.429999999935</v>
      </c>
      <c r="BU159" s="103">
        <f t="shared" si="449"/>
        <v>-247764.32999999984</v>
      </c>
      <c r="BV159" s="103">
        <f t="shared" si="449"/>
        <v>-88288.439999999944</v>
      </c>
      <c r="BW159" s="103">
        <f t="shared" si="449"/>
        <v>-36754.689999999944</v>
      </c>
      <c r="BX159" s="103">
        <f t="shared" si="449"/>
        <v>344282.17000000004</v>
      </c>
      <c r="BY159" s="103">
        <f t="shared" si="449"/>
        <v>195689.04000000004</v>
      </c>
      <c r="BZ159" s="103">
        <f t="shared" si="449"/>
        <v>-101265.4800000001</v>
      </c>
      <c r="CA159" s="277">
        <f t="shared" si="449"/>
        <v>-570191.11</v>
      </c>
      <c r="CB159" s="277">
        <f t="shared" si="449"/>
        <v>195168</v>
      </c>
      <c r="CC159" s="277">
        <f t="shared" si="450"/>
        <v>-312834.94999999995</v>
      </c>
      <c r="CD159" s="277">
        <f t="shared" si="450"/>
        <v>441318.52</v>
      </c>
      <c r="CE159" s="312">
        <f t="shared" si="450"/>
        <v>241629</v>
      </c>
      <c r="CF159" s="312">
        <f t="shared" si="450"/>
        <v>-682192</v>
      </c>
      <c r="CG159" s="312">
        <f t="shared" si="450"/>
        <v>208422.85999999987</v>
      </c>
      <c r="CH159" s="312">
        <f t="shared" si="450"/>
        <v>518610.37000000011</v>
      </c>
      <c r="CI159" s="312">
        <f t="shared" si="450"/>
        <v>-575979.80000000005</v>
      </c>
      <c r="CJ159" s="312">
        <f t="shared" si="450"/>
        <v>24193.650000000023</v>
      </c>
      <c r="CK159" s="312">
        <f t="shared" si="450"/>
        <v>-14217</v>
      </c>
      <c r="CL159" s="312">
        <f t="shared" si="450"/>
        <v>485131.99</v>
      </c>
      <c r="CM159" s="312">
        <f t="shared" si="451"/>
        <v>569567</v>
      </c>
      <c r="CN159" s="312">
        <f t="shared" si="451"/>
        <v>-390886</v>
      </c>
      <c r="CO159" s="312">
        <f t="shared" si="451"/>
        <v>285008</v>
      </c>
      <c r="CP159" s="312">
        <f t="shared" si="451"/>
        <v>68782</v>
      </c>
      <c r="CQ159" s="312">
        <f t="shared" si="451"/>
        <v>-76789</v>
      </c>
      <c r="CR159" s="312">
        <f t="shared" si="451"/>
        <v>713158</v>
      </c>
      <c r="CS159" s="312">
        <f t="shared" si="451"/>
        <v>531684</v>
      </c>
      <c r="CT159" s="350"/>
      <c r="CU159" s="67">
        <f>'MONTHLY SUMMARIES'!J119</f>
        <v>348179</v>
      </c>
    </row>
    <row r="160" spans="1:100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74">SUM(D155:D159)</f>
        <v>-4841759.5399999982</v>
      </c>
      <c r="E160" s="131">
        <f t="shared" si="474"/>
        <v>-7905476.9400000013</v>
      </c>
      <c r="F160" s="38">
        <f t="shared" si="474"/>
        <v>-5969706.2199999997</v>
      </c>
      <c r="G160" s="131">
        <f t="shared" si="474"/>
        <v>-6051817.5600000005</v>
      </c>
      <c r="H160" s="131">
        <f t="shared" si="474"/>
        <v>-4587687.34</v>
      </c>
      <c r="I160" s="131">
        <f t="shared" si="474"/>
        <v>-3283922.0599999996</v>
      </c>
      <c r="J160" s="131">
        <f t="shared" si="474"/>
        <v>-1688373.6399999994</v>
      </c>
      <c r="K160" s="131">
        <f t="shared" si="474"/>
        <v>3792734.6200000006</v>
      </c>
      <c r="L160" s="132">
        <f t="shared" si="474"/>
        <v>17524937.309999995</v>
      </c>
      <c r="M160" s="131">
        <f t="shared" si="474"/>
        <v>8676540.6500000004</v>
      </c>
      <c r="N160" s="131">
        <f t="shared" si="474"/>
        <v>7327239.4799999995</v>
      </c>
      <c r="O160" s="131">
        <f t="shared" si="474"/>
        <v>394291.96000000113</v>
      </c>
      <c r="P160" s="131">
        <f t="shared" si="474"/>
        <v>3148468.6699999985</v>
      </c>
      <c r="Q160" s="131">
        <f t="shared" si="474"/>
        <v>-3280283.4800000004</v>
      </c>
      <c r="R160" s="131">
        <f t="shared" si="474"/>
        <v>-8052168.379999999</v>
      </c>
      <c r="S160" s="131">
        <f t="shared" si="474"/>
        <v>-4824966.28</v>
      </c>
      <c r="T160" s="131">
        <f t="shared" si="474"/>
        <v>-4379392.4800000004</v>
      </c>
      <c r="U160" s="131">
        <f t="shared" si="474"/>
        <v>-2697496.6700000009</v>
      </c>
      <c r="V160" s="131">
        <f t="shared" ref="V160:W160" si="475">SUM(V155:V159)</f>
        <v>-1630818</v>
      </c>
      <c r="W160" s="131">
        <f t="shared" si="475"/>
        <v>2787653.8000000007</v>
      </c>
      <c r="X160" s="132">
        <f t="shared" ref="X160:Z160" si="476">SUM(X155:X159)</f>
        <v>10600870.940000003</v>
      </c>
      <c r="Y160" s="131">
        <f t="shared" si="476"/>
        <v>17436879</v>
      </c>
      <c r="Z160" s="131">
        <f t="shared" si="476"/>
        <v>13404695</v>
      </c>
      <c r="AA160" s="131">
        <f t="shared" ref="AA160:AB160" si="477">SUM(AA155:AA159)</f>
        <v>-231527.4000000013</v>
      </c>
      <c r="AB160" s="131">
        <f t="shared" si="477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38">
        <f t="shared" si="420"/>
        <v>-9845112.1999999993</v>
      </c>
      <c r="BJ160" s="133">
        <f t="shared" ref="BJ160:BL160" si="478">SUM(BJ155:BJ159)</f>
        <v>7990228.2099999962</v>
      </c>
      <c r="BK160" s="133">
        <f t="shared" si="478"/>
        <v>4625193.46</v>
      </c>
      <c r="BL160" s="133">
        <f t="shared" si="478"/>
        <v>-2082462.1599999995</v>
      </c>
      <c r="BM160" s="133">
        <f t="shared" ref="BM160:BN160" si="479">SUM(BM155:BM159)</f>
        <v>1226851.2800000003</v>
      </c>
      <c r="BN160" s="133">
        <f t="shared" si="479"/>
        <v>208294.85999999905</v>
      </c>
      <c r="BO160" s="133">
        <f t="shared" ref="BO160:BP160" si="480">SUM(BO155:BO159)</f>
        <v>586425.38999999908</v>
      </c>
      <c r="BP160" s="133">
        <f t="shared" si="480"/>
        <v>57555.639999999607</v>
      </c>
      <c r="BQ160" s="133">
        <f t="shared" ref="BQ160:BR160" si="481">SUM(BQ155:BQ159)</f>
        <v>-1005080.8200000003</v>
      </c>
      <c r="BR160" s="133">
        <f t="shared" si="481"/>
        <v>-6924066.3699999955</v>
      </c>
      <c r="BS160" s="133">
        <f t="shared" ref="BS160:BT160" si="482">SUM(BS155:BS159)</f>
        <v>8760338.3499999996</v>
      </c>
      <c r="BT160" s="133">
        <f t="shared" si="482"/>
        <v>6077455.5200000005</v>
      </c>
      <c r="BU160" s="133">
        <f t="shared" ref="BU160:BV160" si="483">SUM(BU155:BU159)</f>
        <v>-625819.36000000231</v>
      </c>
      <c r="BV160" s="133">
        <f t="shared" si="483"/>
        <v>-4792215.1199999973</v>
      </c>
      <c r="BW160" s="133">
        <f t="shared" ref="BW160:BX160" si="484">SUM(BW155:BW159)</f>
        <v>-2828083.7699999982</v>
      </c>
      <c r="BX160" s="133">
        <f t="shared" si="484"/>
        <v>1460041.0999999978</v>
      </c>
      <c r="BY160" s="133">
        <f t="shared" ref="BY160:BZ160" si="485">SUM(BY155:BY159)</f>
        <v>-292527.71999999956</v>
      </c>
      <c r="BZ160" s="133">
        <f t="shared" si="485"/>
        <v>-300403.08999999886</v>
      </c>
      <c r="CA160" s="274">
        <f t="shared" ref="CA160:CB160" si="486">SUM(CA155:CA159)</f>
        <v>-453890.32999999926</v>
      </c>
      <c r="CB160" s="274">
        <f t="shared" si="486"/>
        <v>-110487</v>
      </c>
      <c r="CC160" s="274">
        <f t="shared" ref="CC160:CE160" si="487">SUM(CC155:CC159)</f>
        <v>-587756.80000000051</v>
      </c>
      <c r="CD160" s="274">
        <f t="shared" si="487"/>
        <v>8212232.0599999968</v>
      </c>
      <c r="CE160" s="326">
        <f t="shared" si="487"/>
        <v>957242</v>
      </c>
      <c r="CF160" s="326">
        <f t="shared" ref="CF160:CG160" si="488">SUM(CF155:CF159)</f>
        <v>-2975061</v>
      </c>
      <c r="CG160" s="326">
        <f t="shared" si="488"/>
        <v>1523068.4000000011</v>
      </c>
      <c r="CH160" s="326">
        <f t="shared" ref="CH160:CI160" si="489">SUM(CH155:CH159)</f>
        <v>2436557.4499999997</v>
      </c>
      <c r="CI160" s="326">
        <f t="shared" si="489"/>
        <v>-950746.75000000105</v>
      </c>
      <c r="CJ160" s="326">
        <f t="shared" ref="CJ160" si="490">SUM(CJ155:CJ159)</f>
        <v>-1590880.7199999993</v>
      </c>
      <c r="CK160" s="326">
        <f t="shared" ref="CK160" si="491">SUM(CK155:CK159)</f>
        <v>169186</v>
      </c>
      <c r="CL160" s="326">
        <f t="shared" ref="CL160" si="492">SUM(CL155:CL159)</f>
        <v>-1840620.4300000004</v>
      </c>
      <c r="CM160" s="326">
        <f t="shared" ref="CM160" si="493">SUM(CM155:CM159)</f>
        <v>759065</v>
      </c>
      <c r="CN160" s="326">
        <f t="shared" ref="CN160" si="494">SUM(CN155:CN159)</f>
        <v>-530803</v>
      </c>
      <c r="CO160" s="326">
        <f t="shared" ref="CO160" si="495">SUM(CO155:CO159)</f>
        <v>403381</v>
      </c>
      <c r="CP160" s="366">
        <f t="shared" ref="CP160" si="496">SUM(CP155:CP159)</f>
        <v>1461090</v>
      </c>
      <c r="CQ160" s="366">
        <f t="shared" ref="CQ160:CS160" si="497">SUM(CQ155:CQ159)</f>
        <v>-2440131</v>
      </c>
      <c r="CR160" s="366">
        <f t="shared" ref="CR160:CS160" si="498">SUM(CR155:CR159)</f>
        <v>261369</v>
      </c>
      <c r="CS160" s="366">
        <f t="shared" si="498"/>
        <v>3217875</v>
      </c>
      <c r="CT160" s="351"/>
      <c r="CU160" s="38">
        <f t="shared" si="394"/>
        <v>4509416</v>
      </c>
    </row>
    <row r="161" spans="1:9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48"/>
      <c r="CU161" s="81"/>
    </row>
    <row r="162" spans="1:99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67">
        <f t="shared" ref="BI162:CS162" si="499">O162-C162</f>
        <v>-6</v>
      </c>
      <c r="BJ162" s="111">
        <f t="shared" si="499"/>
        <v>-3</v>
      </c>
      <c r="BK162" s="111">
        <f t="shared" si="499"/>
        <v>-5</v>
      </c>
      <c r="BL162" s="111">
        <f t="shared" si="499"/>
        <v>-5</v>
      </c>
      <c r="BM162" s="111">
        <f t="shared" si="499"/>
        <v>-8</v>
      </c>
      <c r="BN162" s="111">
        <f t="shared" si="499"/>
        <v>-10</v>
      </c>
      <c r="BO162" s="111">
        <f t="shared" si="499"/>
        <v>-11</v>
      </c>
      <c r="BP162" s="111">
        <f t="shared" si="499"/>
        <v>-12</v>
      </c>
      <c r="BQ162" s="111">
        <f t="shared" si="499"/>
        <v>-11</v>
      </c>
      <c r="BR162" s="111">
        <f t="shared" si="499"/>
        <v>-9</v>
      </c>
      <c r="BS162" s="111">
        <f t="shared" si="499"/>
        <v>-7</v>
      </c>
      <c r="BT162" s="111">
        <f t="shared" si="499"/>
        <v>-3</v>
      </c>
      <c r="BU162" s="111">
        <f t="shared" si="499"/>
        <v>-2</v>
      </c>
      <c r="BV162" s="111">
        <f t="shared" si="499"/>
        <v>-5</v>
      </c>
      <c r="BW162" s="111">
        <f t="shared" si="499"/>
        <v>-5</v>
      </c>
      <c r="BX162" s="111">
        <f t="shared" si="499"/>
        <v>-3</v>
      </c>
      <c r="BY162" s="111">
        <f t="shared" si="499"/>
        <v>1</v>
      </c>
      <c r="BZ162" s="111">
        <f t="shared" si="499"/>
        <v>3</v>
      </c>
      <c r="CA162" s="280">
        <f t="shared" si="499"/>
        <v>6</v>
      </c>
      <c r="CB162" s="280">
        <f t="shared" si="499"/>
        <v>10</v>
      </c>
      <c r="CC162" s="280">
        <f t="shared" si="499"/>
        <v>8</v>
      </c>
      <c r="CD162" s="280">
        <f t="shared" si="499"/>
        <v>5</v>
      </c>
      <c r="CE162" s="309">
        <f t="shared" si="499"/>
        <v>0</v>
      </c>
      <c r="CF162" s="309">
        <f t="shared" si="499"/>
        <v>-2</v>
      </c>
      <c r="CG162" s="309">
        <f t="shared" si="499"/>
        <v>0</v>
      </c>
      <c r="CH162" s="309">
        <f t="shared" si="499"/>
        <v>4</v>
      </c>
      <c r="CI162" s="309">
        <f t="shared" si="499"/>
        <v>1</v>
      </c>
      <c r="CJ162" s="309">
        <f t="shared" si="499"/>
        <v>-3</v>
      </c>
      <c r="CK162" s="309">
        <f t="shared" si="499"/>
        <v>0</v>
      </c>
      <c r="CL162" s="309">
        <f t="shared" si="499"/>
        <v>-3</v>
      </c>
      <c r="CM162" s="309">
        <f t="shared" si="499"/>
        <v>-4</v>
      </c>
      <c r="CN162" s="309">
        <f t="shared" si="499"/>
        <v>-7</v>
      </c>
      <c r="CO162" s="309">
        <f t="shared" si="499"/>
        <v>-4</v>
      </c>
      <c r="CP162" s="309">
        <f t="shared" si="499"/>
        <v>-4</v>
      </c>
      <c r="CQ162" s="309">
        <f t="shared" si="499"/>
        <v>-1</v>
      </c>
      <c r="CR162" s="309">
        <f t="shared" si="499"/>
        <v>-1</v>
      </c>
      <c r="CS162" s="309">
        <f t="shared" si="499"/>
        <v>-3</v>
      </c>
      <c r="CT162" s="348"/>
      <c r="CU162" s="67">
        <f>'MONTHLY SUMMARIES'!J122</f>
        <v>3</v>
      </c>
    </row>
    <row r="163" spans="1:99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48"/>
      <c r="CU163" s="81">
        <f>CU162-CU164</f>
        <v>3</v>
      </c>
    </row>
    <row r="164" spans="1:99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CU164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48"/>
      <c r="CU164" s="67">
        <f>IF(ISERROR(GETPIVOTDATA("VALUE",'CRS ESCO pvt'!$I$2,"DATE_FILE",$CU$8,"COMPANY",$CU$6,"TRIM_CAT","Resdiential-ESCO","TRIM_LINE",A161))=TRUE,0,GETPIVOTDATA("VALUE",'CRS ESCO pvt'!$I$2,"DATE_FILE",$CU$8,"COMPANY",$CU$6,"TRIM_CAT","Resdiential-ESCO","TRIM_LINE",A161))</f>
        <v>0</v>
      </c>
    </row>
    <row r="165" spans="1:99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67">
        <f t="shared" ref="BI165:CS165" si="500">O165-C165</f>
        <v>27</v>
      </c>
      <c r="BJ165" s="111">
        <f t="shared" si="500"/>
        <v>30</v>
      </c>
      <c r="BK165" s="111">
        <f t="shared" si="500"/>
        <v>19</v>
      </c>
      <c r="BL165" s="111">
        <f t="shared" si="500"/>
        <v>1</v>
      </c>
      <c r="BM165" s="111">
        <f t="shared" si="500"/>
        <v>-9</v>
      </c>
      <c r="BN165" s="111">
        <f t="shared" si="500"/>
        <v>-21</v>
      </c>
      <c r="BO165" s="111">
        <f t="shared" si="500"/>
        <v>-41</v>
      </c>
      <c r="BP165" s="111">
        <f t="shared" si="500"/>
        <v>-22</v>
      </c>
      <c r="BQ165" s="111">
        <f t="shared" si="500"/>
        <v>-22</v>
      </c>
      <c r="BR165" s="111">
        <f t="shared" si="500"/>
        <v>-1</v>
      </c>
      <c r="BS165" s="111">
        <f t="shared" si="500"/>
        <v>46</v>
      </c>
      <c r="BT165" s="111">
        <f t="shared" si="500"/>
        <v>90</v>
      </c>
      <c r="BU165" s="111">
        <f t="shared" si="500"/>
        <v>111</v>
      </c>
      <c r="BV165" s="111">
        <f t="shared" si="500"/>
        <v>156</v>
      </c>
      <c r="BW165" s="111">
        <f t="shared" si="500"/>
        <v>174</v>
      </c>
      <c r="BX165" s="111">
        <f t="shared" si="500"/>
        <v>206</v>
      </c>
      <c r="BY165" s="111">
        <f t="shared" si="500"/>
        <v>327</v>
      </c>
      <c r="BZ165" s="111">
        <f t="shared" si="500"/>
        <v>410</v>
      </c>
      <c r="CA165" s="280">
        <f t="shared" si="500"/>
        <v>460</v>
      </c>
      <c r="CB165" s="280">
        <f t="shared" si="500"/>
        <v>466</v>
      </c>
      <c r="CC165" s="280">
        <f t="shared" si="500"/>
        <v>430</v>
      </c>
      <c r="CD165" s="280">
        <f t="shared" si="500"/>
        <v>406</v>
      </c>
      <c r="CE165" s="309">
        <f t="shared" si="500"/>
        <v>346</v>
      </c>
      <c r="CF165" s="309">
        <f t="shared" si="500"/>
        <v>261</v>
      </c>
      <c r="CG165" s="309">
        <f t="shared" si="500"/>
        <v>185</v>
      </c>
      <c r="CH165" s="309">
        <f t="shared" si="500"/>
        <v>110</v>
      </c>
      <c r="CI165" s="309">
        <f t="shared" si="500"/>
        <v>44</v>
      </c>
      <c r="CJ165" s="309">
        <f t="shared" si="500"/>
        <v>3</v>
      </c>
      <c r="CK165" s="309">
        <f t="shared" si="500"/>
        <v>-125</v>
      </c>
      <c r="CL165" s="309">
        <f t="shared" si="500"/>
        <v>-247</v>
      </c>
      <c r="CM165" s="309">
        <f t="shared" si="500"/>
        <v>-267</v>
      </c>
      <c r="CN165" s="309">
        <f t="shared" si="500"/>
        <v>-265</v>
      </c>
      <c r="CO165" s="309">
        <f t="shared" si="500"/>
        <v>-250</v>
      </c>
      <c r="CP165" s="309">
        <f t="shared" si="500"/>
        <v>-235</v>
      </c>
      <c r="CQ165" s="309">
        <f t="shared" si="500"/>
        <v>-225</v>
      </c>
      <c r="CR165" s="309">
        <f t="shared" si="500"/>
        <v>-195</v>
      </c>
      <c r="CS165" s="309">
        <f t="shared" si="500"/>
        <v>-162</v>
      </c>
      <c r="CT165" s="348"/>
      <c r="CU165" s="67">
        <f>'MONTHLY SUMMARIES'!J123</f>
        <v>256</v>
      </c>
    </row>
    <row r="166" spans="1:99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207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48"/>
      <c r="CU166" s="81">
        <f>CU165-CU167</f>
        <v>256</v>
      </c>
    </row>
    <row r="167" spans="1:99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CU167</f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48"/>
      <c r="CU167" s="67">
        <f>GETPIVOTDATA("VALUE",'CRS ESCO pvt'!$I$2,"DATE_FILE",$CU$8,"COMPANY",$CU$6,"TRIM_CAT","Low Income Resdiential-ESCO","TRIM_LINE",A161)</f>
        <v>0</v>
      </c>
    </row>
    <row r="168" spans="1:9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67">
        <f t="shared" ref="BI168:BR170" si="501">O168-C168</f>
        <v>0</v>
      </c>
      <c r="BJ168" s="111">
        <f t="shared" si="501"/>
        <v>0</v>
      </c>
      <c r="BK168" s="111">
        <f t="shared" si="501"/>
        <v>0</v>
      </c>
      <c r="BL168" s="111">
        <f t="shared" si="501"/>
        <v>0</v>
      </c>
      <c r="BM168" s="111">
        <f t="shared" si="501"/>
        <v>0</v>
      </c>
      <c r="BN168" s="111">
        <f t="shared" si="501"/>
        <v>0</v>
      </c>
      <c r="BO168" s="111">
        <f t="shared" si="501"/>
        <v>0</v>
      </c>
      <c r="BP168" s="111">
        <f t="shared" si="501"/>
        <v>0</v>
      </c>
      <c r="BQ168" s="111">
        <f t="shared" si="501"/>
        <v>0</v>
      </c>
      <c r="BR168" s="111">
        <f t="shared" si="501"/>
        <v>0</v>
      </c>
      <c r="BS168" s="111">
        <f t="shared" ref="BS168:CB170" si="502">Y168-M168</f>
        <v>0</v>
      </c>
      <c r="BT168" s="111">
        <f t="shared" si="502"/>
        <v>0</v>
      </c>
      <c r="BU168" s="111">
        <f t="shared" si="502"/>
        <v>0</v>
      </c>
      <c r="BV168" s="111">
        <f t="shared" si="502"/>
        <v>0</v>
      </c>
      <c r="BW168" s="111">
        <f t="shared" si="502"/>
        <v>0</v>
      </c>
      <c r="BX168" s="111">
        <f t="shared" si="502"/>
        <v>0</v>
      </c>
      <c r="BY168" s="111">
        <f t="shared" si="502"/>
        <v>0</v>
      </c>
      <c r="BZ168" s="111">
        <f t="shared" si="502"/>
        <v>0</v>
      </c>
      <c r="CA168" s="280">
        <f t="shared" si="502"/>
        <v>0</v>
      </c>
      <c r="CB168" s="280">
        <f t="shared" si="502"/>
        <v>0</v>
      </c>
      <c r="CC168" s="280">
        <f t="shared" ref="CC168:CL170" si="503">AI168-W168</f>
        <v>0</v>
      </c>
      <c r="CD168" s="280">
        <f t="shared" si="503"/>
        <v>0</v>
      </c>
      <c r="CE168" s="309">
        <f t="shared" si="503"/>
        <v>0</v>
      </c>
      <c r="CF168" s="309">
        <f t="shared" si="503"/>
        <v>0</v>
      </c>
      <c r="CG168" s="309">
        <f t="shared" si="503"/>
        <v>0</v>
      </c>
      <c r="CH168" s="309">
        <f t="shared" si="503"/>
        <v>0</v>
      </c>
      <c r="CI168" s="309">
        <f t="shared" si="503"/>
        <v>0</v>
      </c>
      <c r="CJ168" s="309">
        <f t="shared" si="503"/>
        <v>0</v>
      </c>
      <c r="CK168" s="309">
        <f t="shared" si="503"/>
        <v>0</v>
      </c>
      <c r="CL168" s="309">
        <f t="shared" si="503"/>
        <v>0</v>
      </c>
      <c r="CM168" s="309">
        <f t="shared" ref="CM168:CS170" si="504">AS168-AG168</f>
        <v>0</v>
      </c>
      <c r="CN168" s="309">
        <f t="shared" si="504"/>
        <v>0</v>
      </c>
      <c r="CO168" s="309">
        <f t="shared" si="504"/>
        <v>0</v>
      </c>
      <c r="CP168" s="309">
        <f t="shared" si="504"/>
        <v>0</v>
      </c>
      <c r="CQ168" s="309">
        <f t="shared" si="504"/>
        <v>0</v>
      </c>
      <c r="CR168" s="309">
        <f t="shared" si="504"/>
        <v>0</v>
      </c>
      <c r="CS168" s="309">
        <f t="shared" si="504"/>
        <v>0</v>
      </c>
      <c r="CT168" s="348"/>
      <c r="CU168" s="67">
        <f>'MONTHLY SUMMARIES'!J124</f>
        <v>0</v>
      </c>
    </row>
    <row r="169" spans="1:9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67">
        <f t="shared" si="501"/>
        <v>0</v>
      </c>
      <c r="BJ169" s="111">
        <f t="shared" si="501"/>
        <v>0</v>
      </c>
      <c r="BK169" s="111">
        <f t="shared" si="501"/>
        <v>0</v>
      </c>
      <c r="BL169" s="111">
        <f t="shared" si="501"/>
        <v>0</v>
      </c>
      <c r="BM169" s="111">
        <f t="shared" si="501"/>
        <v>0</v>
      </c>
      <c r="BN169" s="111">
        <f t="shared" si="501"/>
        <v>0</v>
      </c>
      <c r="BO169" s="111">
        <f t="shared" si="501"/>
        <v>0</v>
      </c>
      <c r="BP169" s="111">
        <f t="shared" si="501"/>
        <v>0</v>
      </c>
      <c r="BQ169" s="111">
        <f t="shared" si="501"/>
        <v>0</v>
      </c>
      <c r="BR169" s="111">
        <f t="shared" si="501"/>
        <v>0</v>
      </c>
      <c r="BS169" s="111">
        <f t="shared" si="502"/>
        <v>0</v>
      </c>
      <c r="BT169" s="111">
        <f t="shared" si="502"/>
        <v>0</v>
      </c>
      <c r="BU169" s="111">
        <f t="shared" si="502"/>
        <v>0</v>
      </c>
      <c r="BV169" s="111">
        <f t="shared" si="502"/>
        <v>0</v>
      </c>
      <c r="BW169" s="111">
        <f t="shared" si="502"/>
        <v>0</v>
      </c>
      <c r="BX169" s="111">
        <f t="shared" si="502"/>
        <v>0</v>
      </c>
      <c r="BY169" s="111">
        <f t="shared" si="502"/>
        <v>0</v>
      </c>
      <c r="BZ169" s="111">
        <f t="shared" si="502"/>
        <v>0</v>
      </c>
      <c r="CA169" s="280">
        <f t="shared" si="502"/>
        <v>0</v>
      </c>
      <c r="CB169" s="280">
        <f t="shared" si="502"/>
        <v>0</v>
      </c>
      <c r="CC169" s="280">
        <f t="shared" si="503"/>
        <v>0</v>
      </c>
      <c r="CD169" s="280">
        <f t="shared" si="503"/>
        <v>0</v>
      </c>
      <c r="CE169" s="309">
        <f t="shared" si="503"/>
        <v>0</v>
      </c>
      <c r="CF169" s="309">
        <f t="shared" si="503"/>
        <v>0</v>
      </c>
      <c r="CG169" s="309">
        <f t="shared" si="503"/>
        <v>0</v>
      </c>
      <c r="CH169" s="309">
        <f t="shared" si="503"/>
        <v>0</v>
      </c>
      <c r="CI169" s="309">
        <f t="shared" si="503"/>
        <v>0</v>
      </c>
      <c r="CJ169" s="309">
        <f t="shared" si="503"/>
        <v>0</v>
      </c>
      <c r="CK169" s="309">
        <f t="shared" si="503"/>
        <v>0</v>
      </c>
      <c r="CL169" s="309">
        <f t="shared" si="503"/>
        <v>0</v>
      </c>
      <c r="CM169" s="309">
        <f t="shared" si="504"/>
        <v>0</v>
      </c>
      <c r="CN169" s="309">
        <f t="shared" si="504"/>
        <v>0</v>
      </c>
      <c r="CO169" s="309">
        <f t="shared" si="504"/>
        <v>0</v>
      </c>
      <c r="CP169" s="309">
        <f t="shared" si="504"/>
        <v>0</v>
      </c>
      <c r="CQ169" s="309">
        <f t="shared" si="504"/>
        <v>0</v>
      </c>
      <c r="CR169" s="309">
        <f t="shared" si="504"/>
        <v>0</v>
      </c>
      <c r="CS169" s="309">
        <f t="shared" si="504"/>
        <v>0</v>
      </c>
      <c r="CT169" s="348"/>
      <c r="CU169" s="67">
        <f>'MONTHLY SUMMARIES'!J125</f>
        <v>0</v>
      </c>
    </row>
    <row r="170" spans="1:9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67">
        <f t="shared" si="501"/>
        <v>0</v>
      </c>
      <c r="BJ170" s="111">
        <f t="shared" si="501"/>
        <v>0</v>
      </c>
      <c r="BK170" s="111">
        <f t="shared" si="501"/>
        <v>0</v>
      </c>
      <c r="BL170" s="111">
        <f t="shared" si="501"/>
        <v>0</v>
      </c>
      <c r="BM170" s="111">
        <f t="shared" si="501"/>
        <v>0</v>
      </c>
      <c r="BN170" s="111">
        <f t="shared" si="501"/>
        <v>0</v>
      </c>
      <c r="BO170" s="111">
        <f t="shared" si="501"/>
        <v>0</v>
      </c>
      <c r="BP170" s="111">
        <f t="shared" si="501"/>
        <v>0</v>
      </c>
      <c r="BQ170" s="111">
        <f t="shared" si="501"/>
        <v>0</v>
      </c>
      <c r="BR170" s="111">
        <f t="shared" si="501"/>
        <v>0</v>
      </c>
      <c r="BS170" s="111">
        <f t="shared" si="502"/>
        <v>0</v>
      </c>
      <c r="BT170" s="111">
        <f t="shared" si="502"/>
        <v>0</v>
      </c>
      <c r="BU170" s="111">
        <f t="shared" si="502"/>
        <v>0</v>
      </c>
      <c r="BV170" s="111">
        <f t="shared" si="502"/>
        <v>0</v>
      </c>
      <c r="BW170" s="111">
        <f t="shared" si="502"/>
        <v>0</v>
      </c>
      <c r="BX170" s="111">
        <f t="shared" si="502"/>
        <v>0</v>
      </c>
      <c r="BY170" s="111">
        <f t="shared" si="502"/>
        <v>0</v>
      </c>
      <c r="BZ170" s="111">
        <f t="shared" si="502"/>
        <v>0</v>
      </c>
      <c r="CA170" s="280">
        <f t="shared" si="502"/>
        <v>0</v>
      </c>
      <c r="CB170" s="280">
        <f t="shared" si="502"/>
        <v>0</v>
      </c>
      <c r="CC170" s="280">
        <f t="shared" si="503"/>
        <v>0</v>
      </c>
      <c r="CD170" s="280">
        <f t="shared" si="503"/>
        <v>0</v>
      </c>
      <c r="CE170" s="309">
        <f t="shared" si="503"/>
        <v>0</v>
      </c>
      <c r="CF170" s="309">
        <f t="shared" si="503"/>
        <v>0</v>
      </c>
      <c r="CG170" s="309">
        <f t="shared" si="503"/>
        <v>0</v>
      </c>
      <c r="CH170" s="309">
        <f t="shared" si="503"/>
        <v>0</v>
      </c>
      <c r="CI170" s="309">
        <f t="shared" si="503"/>
        <v>0</v>
      </c>
      <c r="CJ170" s="309">
        <f t="shared" si="503"/>
        <v>0</v>
      </c>
      <c r="CK170" s="309">
        <f t="shared" si="503"/>
        <v>0</v>
      </c>
      <c r="CL170" s="309">
        <f t="shared" si="503"/>
        <v>0</v>
      </c>
      <c r="CM170" s="309">
        <f t="shared" si="504"/>
        <v>0</v>
      </c>
      <c r="CN170" s="309">
        <f t="shared" si="504"/>
        <v>0</v>
      </c>
      <c r="CO170" s="309">
        <f t="shared" si="504"/>
        <v>0</v>
      </c>
      <c r="CP170" s="309">
        <f t="shared" si="504"/>
        <v>0</v>
      </c>
      <c r="CQ170" s="309">
        <f t="shared" si="504"/>
        <v>0</v>
      </c>
      <c r="CR170" s="309">
        <f t="shared" si="504"/>
        <v>0</v>
      </c>
      <c r="CS170" s="309">
        <f t="shared" si="504"/>
        <v>0</v>
      </c>
      <c r="CT170" s="348"/>
      <c r="CU170" s="67">
        <f>'MONTHLY SUMMARIES'!J126</f>
        <v>0</v>
      </c>
    </row>
    <row r="171" spans="1:99" s="76" customFormat="1" x14ac:dyDescent="0.3">
      <c r="A171" s="151"/>
      <c r="B171" s="63" t="s">
        <v>42</v>
      </c>
      <c r="C171" s="125">
        <f t="shared" ref="C171:V171" si="505">SUM(C162:C170)</f>
        <v>109</v>
      </c>
      <c r="D171" s="126">
        <f t="shared" si="505"/>
        <v>104</v>
      </c>
      <c r="E171" s="126">
        <f t="shared" si="505"/>
        <v>125</v>
      </c>
      <c r="F171" s="127">
        <f t="shared" si="505"/>
        <v>141</v>
      </c>
      <c r="G171" s="126">
        <f t="shared" si="505"/>
        <v>152</v>
      </c>
      <c r="H171" s="127">
        <f t="shared" si="505"/>
        <v>155</v>
      </c>
      <c r="I171" s="126">
        <f t="shared" si="505"/>
        <v>161</v>
      </c>
      <c r="J171" s="127">
        <f t="shared" si="505"/>
        <v>154</v>
      </c>
      <c r="K171" s="126">
        <f t="shared" si="505"/>
        <v>161</v>
      </c>
      <c r="L171" s="128">
        <f t="shared" si="505"/>
        <v>152</v>
      </c>
      <c r="M171" s="127">
        <f t="shared" si="505"/>
        <v>132</v>
      </c>
      <c r="N171" s="127">
        <f t="shared" si="505"/>
        <v>126</v>
      </c>
      <c r="O171" s="127">
        <f t="shared" si="505"/>
        <v>130</v>
      </c>
      <c r="P171" s="127">
        <f t="shared" si="505"/>
        <v>131</v>
      </c>
      <c r="Q171" s="127">
        <f t="shared" si="505"/>
        <v>139</v>
      </c>
      <c r="R171" s="127">
        <f t="shared" si="505"/>
        <v>137</v>
      </c>
      <c r="S171" s="127">
        <f t="shared" si="505"/>
        <v>135</v>
      </c>
      <c r="T171" s="127">
        <f t="shared" si="505"/>
        <v>124</v>
      </c>
      <c r="U171" s="127">
        <f t="shared" si="505"/>
        <v>109</v>
      </c>
      <c r="V171" s="127">
        <f t="shared" si="505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127">
        <f>SUM(BI162:BI170)</f>
        <v>21</v>
      </c>
      <c r="BJ171" s="129">
        <f t="shared" ref="BJ171:BL171" si="506">SUM(BJ162:BJ170)</f>
        <v>27</v>
      </c>
      <c r="BK171" s="129">
        <f t="shared" si="506"/>
        <v>14</v>
      </c>
      <c r="BL171" s="129">
        <f t="shared" si="506"/>
        <v>-4</v>
      </c>
      <c r="BM171" s="129">
        <f t="shared" ref="BM171:BN171" si="507">SUM(BM162:BM170)</f>
        <v>-17</v>
      </c>
      <c r="BN171" s="129">
        <f t="shared" si="507"/>
        <v>-31</v>
      </c>
      <c r="BO171" s="129">
        <f t="shared" ref="BO171:BP171" si="508">SUM(BO162:BO170)</f>
        <v>-52</v>
      </c>
      <c r="BP171" s="129">
        <f t="shared" si="508"/>
        <v>-34</v>
      </c>
      <c r="BQ171" s="129">
        <f t="shared" ref="BQ171:BR171" si="509">SUM(BQ162:BQ170)</f>
        <v>-33</v>
      </c>
      <c r="BR171" s="129">
        <f t="shared" si="509"/>
        <v>-10</v>
      </c>
      <c r="BS171" s="129">
        <f t="shared" ref="BS171:BT171" si="510">SUM(BS162:BS170)</f>
        <v>39</v>
      </c>
      <c r="BT171" s="129">
        <f t="shared" si="510"/>
        <v>87</v>
      </c>
      <c r="BU171" s="129">
        <f t="shared" ref="BU171:BV171" si="511">SUM(BU162:BU170)</f>
        <v>109</v>
      </c>
      <c r="BV171" s="129">
        <f t="shared" si="511"/>
        <v>151</v>
      </c>
      <c r="BW171" s="129">
        <f t="shared" ref="BW171:BX171" si="512">SUM(BW162:BW170)</f>
        <v>169</v>
      </c>
      <c r="BX171" s="129">
        <f t="shared" si="512"/>
        <v>203</v>
      </c>
      <c r="BY171" s="129">
        <f t="shared" ref="BY171:BZ171" si="513">SUM(BY162:BY170)</f>
        <v>328</v>
      </c>
      <c r="BZ171" s="129">
        <f t="shared" si="513"/>
        <v>413</v>
      </c>
      <c r="CA171" s="281">
        <f t="shared" ref="CA171:CB171" si="514">SUM(CA162:CA170)</f>
        <v>466</v>
      </c>
      <c r="CB171" s="281">
        <f t="shared" si="514"/>
        <v>476</v>
      </c>
      <c r="CC171" s="281">
        <f t="shared" ref="CC171:CE171" si="515">SUM(CC162:CC170)</f>
        <v>438</v>
      </c>
      <c r="CD171" s="281">
        <f t="shared" si="515"/>
        <v>411</v>
      </c>
      <c r="CE171" s="310">
        <f t="shared" si="515"/>
        <v>346</v>
      </c>
      <c r="CF171" s="310">
        <f t="shared" ref="CF171:CG171" si="516">SUM(CF162:CF170)</f>
        <v>259</v>
      </c>
      <c r="CG171" s="310">
        <f t="shared" si="516"/>
        <v>185</v>
      </c>
      <c r="CH171" s="310">
        <f t="shared" ref="CH171:CI171" si="517">SUM(CH162:CH170)</f>
        <v>114</v>
      </c>
      <c r="CI171" s="310">
        <f t="shared" si="517"/>
        <v>45</v>
      </c>
      <c r="CJ171" s="310">
        <f t="shared" ref="CJ171" si="518">SUM(CJ162:CJ170)</f>
        <v>0</v>
      </c>
      <c r="CK171" s="310">
        <f t="shared" ref="CK171" si="519">SUM(CK162:CK170)</f>
        <v>-125</v>
      </c>
      <c r="CL171" s="310">
        <f t="shared" ref="CL171" si="520">SUM(CL162:CL170)</f>
        <v>-250</v>
      </c>
      <c r="CM171" s="310">
        <f t="shared" ref="CM171" si="521">SUM(CM162:CM170)</f>
        <v>-271</v>
      </c>
      <c r="CN171" s="310">
        <f t="shared" ref="CN171" si="522">SUM(CN162:CN170)</f>
        <v>-272</v>
      </c>
      <c r="CO171" s="310">
        <f t="shared" ref="CO171" si="523">SUM(CO162:CO170)</f>
        <v>-254</v>
      </c>
      <c r="CP171" s="310">
        <f t="shared" ref="CP171" si="524">SUM(CP162:CP170)</f>
        <v>-239</v>
      </c>
      <c r="CQ171" s="310">
        <f t="shared" ref="CQ171:CS171" si="525">SUM(CQ162:CQ170)</f>
        <v>-226</v>
      </c>
      <c r="CR171" s="310">
        <f t="shared" ref="CR171:CS171" si="526">SUM(CR162:CR170)</f>
        <v>-196</v>
      </c>
      <c r="CS171" s="310">
        <f t="shared" si="526"/>
        <v>-165</v>
      </c>
      <c r="CT171" s="349"/>
      <c r="CU171" s="262">
        <f>CU162+CU165+CU168+CU169+CU170</f>
        <v>259</v>
      </c>
    </row>
    <row r="172" spans="1:9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48"/>
      <c r="CU172" s="93"/>
    </row>
    <row r="173" spans="1:99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112">
        <f t="shared" ref="BI173:CS173" si="527">O173-C173</f>
        <v>-6</v>
      </c>
      <c r="BJ173" s="112">
        <f t="shared" si="527"/>
        <v>-21</v>
      </c>
      <c r="BK173" s="112">
        <f t="shared" si="527"/>
        <v>-128</v>
      </c>
      <c r="BL173" s="112">
        <f t="shared" si="527"/>
        <v>-158</v>
      </c>
      <c r="BM173" s="112">
        <f t="shared" si="527"/>
        <v>-176</v>
      </c>
      <c r="BN173" s="112">
        <f t="shared" si="527"/>
        <v>-195</v>
      </c>
      <c r="BO173" s="112">
        <f t="shared" si="527"/>
        <v>-308</v>
      </c>
      <c r="BP173" s="112">
        <f t="shared" si="527"/>
        <v>-271</v>
      </c>
      <c r="BQ173" s="112">
        <f t="shared" si="527"/>
        <v>-62</v>
      </c>
      <c r="BR173" s="112">
        <f t="shared" si="527"/>
        <v>-9</v>
      </c>
      <c r="BS173" s="112">
        <f t="shared" si="527"/>
        <v>-22</v>
      </c>
      <c r="BT173" s="112">
        <f t="shared" si="527"/>
        <v>-17</v>
      </c>
      <c r="BU173" s="112">
        <f t="shared" si="527"/>
        <v>-2</v>
      </c>
      <c r="BV173" s="112">
        <f t="shared" si="527"/>
        <v>0</v>
      </c>
      <c r="BW173" s="112">
        <f t="shared" si="527"/>
        <v>0</v>
      </c>
      <c r="BX173" s="112">
        <f t="shared" si="527"/>
        <v>0</v>
      </c>
      <c r="BY173" s="112">
        <f t="shared" si="527"/>
        <v>181</v>
      </c>
      <c r="BZ173" s="112">
        <f t="shared" si="527"/>
        <v>268</v>
      </c>
      <c r="CA173" s="204">
        <f t="shared" si="527"/>
        <v>186</v>
      </c>
      <c r="CB173" s="204">
        <f t="shared" si="527"/>
        <v>178</v>
      </c>
      <c r="CC173" s="204">
        <f t="shared" si="527"/>
        <v>56</v>
      </c>
      <c r="CD173" s="204">
        <f t="shared" si="527"/>
        <v>3</v>
      </c>
      <c r="CE173" s="316">
        <f t="shared" si="527"/>
        <v>0</v>
      </c>
      <c r="CF173" s="316">
        <f t="shared" si="527"/>
        <v>0</v>
      </c>
      <c r="CG173" s="316">
        <f t="shared" si="527"/>
        <v>1</v>
      </c>
      <c r="CH173" s="316">
        <f t="shared" si="527"/>
        <v>10</v>
      </c>
      <c r="CI173" s="316">
        <f t="shared" si="527"/>
        <v>117</v>
      </c>
      <c r="CJ173" s="316">
        <f t="shared" si="527"/>
        <v>89</v>
      </c>
      <c r="CK173" s="316">
        <f t="shared" si="527"/>
        <v>-107</v>
      </c>
      <c r="CL173" s="316">
        <f t="shared" si="527"/>
        <v>-181</v>
      </c>
      <c r="CM173" s="316">
        <f t="shared" si="527"/>
        <v>-143</v>
      </c>
      <c r="CN173" s="316">
        <f t="shared" si="527"/>
        <v>-103</v>
      </c>
      <c r="CO173" s="316">
        <f t="shared" si="527"/>
        <v>-52</v>
      </c>
      <c r="CP173" s="316">
        <f t="shared" si="527"/>
        <v>-2</v>
      </c>
      <c r="CQ173" s="316">
        <f t="shared" si="527"/>
        <v>0</v>
      </c>
      <c r="CR173" s="316">
        <f t="shared" si="527"/>
        <v>0</v>
      </c>
      <c r="CS173" s="316">
        <f t="shared" si="527"/>
        <v>18</v>
      </c>
      <c r="CT173" s="348"/>
      <c r="CU173" s="67">
        <f>'MONTHLY SUMMARIES'!J129</f>
        <v>19</v>
      </c>
    </row>
    <row r="174" spans="1:99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48"/>
      <c r="CU174" s="81">
        <f>CU173-CU175</f>
        <v>19</v>
      </c>
    </row>
    <row r="175" spans="1:99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48"/>
      <c r="CU175" s="67">
        <f>IF(ISERROR(GETPIVOTDATA("VALUE",'CRS ESCO pvt'!$I$2,"DATE_FILE",$CU$8,"COMPANY",$CU$6,"TRIM_CAT","Resdiential-ESCO","TRIM_LINE",A172))=TRUE,0,GETPIVOTDATA("VALUE",'CRS ESCO pvt'!$I$2,"DATE_FILE",$CU$8,"COMPANY",$CU$6,"TRIM_CAT","Resdiential-ESCO","TRIM_LINE",A172))</f>
        <v>0</v>
      </c>
    </row>
    <row r="176" spans="1:99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112">
        <f t="shared" ref="BI176:CS176" si="528">O176-C176</f>
        <v>-1</v>
      </c>
      <c r="BJ176" s="112">
        <f t="shared" si="528"/>
        <v>0</v>
      </c>
      <c r="BK176" s="112">
        <f t="shared" si="528"/>
        <v>-22</v>
      </c>
      <c r="BL176" s="112">
        <f t="shared" si="528"/>
        <v>-33</v>
      </c>
      <c r="BM176" s="112">
        <f t="shared" si="528"/>
        <v>-32</v>
      </c>
      <c r="BN176" s="112">
        <f t="shared" si="528"/>
        <v>-43</v>
      </c>
      <c r="BO176" s="112">
        <f t="shared" si="528"/>
        <v>-71</v>
      </c>
      <c r="BP176" s="112">
        <f t="shared" si="528"/>
        <v>-70</v>
      </c>
      <c r="BQ176" s="112">
        <f t="shared" si="528"/>
        <v>-2</v>
      </c>
      <c r="BR176" s="112">
        <f t="shared" si="528"/>
        <v>0</v>
      </c>
      <c r="BS176" s="112">
        <f t="shared" si="528"/>
        <v>0</v>
      </c>
      <c r="BT176" s="112">
        <f t="shared" si="528"/>
        <v>0</v>
      </c>
      <c r="BU176" s="112">
        <f t="shared" si="528"/>
        <v>0</v>
      </c>
      <c r="BV176" s="112">
        <f t="shared" si="528"/>
        <v>0</v>
      </c>
      <c r="BW176" s="112">
        <f t="shared" si="528"/>
        <v>0</v>
      </c>
      <c r="BX176" s="112">
        <f t="shared" si="528"/>
        <v>0</v>
      </c>
      <c r="BY176" s="112">
        <f t="shared" si="528"/>
        <v>0</v>
      </c>
      <c r="BZ176" s="112">
        <f t="shared" si="528"/>
        <v>63</v>
      </c>
      <c r="CA176" s="204">
        <f t="shared" si="528"/>
        <v>93</v>
      </c>
      <c r="CB176" s="204">
        <f t="shared" si="528"/>
        <v>71</v>
      </c>
      <c r="CC176" s="204">
        <f t="shared" si="528"/>
        <v>18</v>
      </c>
      <c r="CD176" s="204">
        <f t="shared" si="528"/>
        <v>0</v>
      </c>
      <c r="CE176" s="316">
        <f t="shared" si="528"/>
        <v>0</v>
      </c>
      <c r="CF176" s="316">
        <f t="shared" si="528"/>
        <v>0</v>
      </c>
      <c r="CG176" s="316">
        <f t="shared" si="528"/>
        <v>0</v>
      </c>
      <c r="CH176" s="316">
        <f t="shared" si="528"/>
        <v>1</v>
      </c>
      <c r="CI176" s="316">
        <f t="shared" si="528"/>
        <v>33</v>
      </c>
      <c r="CJ176" s="316">
        <f t="shared" si="528"/>
        <v>30</v>
      </c>
      <c r="CK176" s="316">
        <f t="shared" si="528"/>
        <v>26</v>
      </c>
      <c r="CL176" s="316">
        <f t="shared" si="528"/>
        <v>-36</v>
      </c>
      <c r="CM176" s="316">
        <f t="shared" si="528"/>
        <v>-69</v>
      </c>
      <c r="CN176" s="316">
        <f t="shared" si="528"/>
        <v>-48</v>
      </c>
      <c r="CO176" s="316">
        <f t="shared" si="528"/>
        <v>-16</v>
      </c>
      <c r="CP176" s="316">
        <f t="shared" si="528"/>
        <v>0</v>
      </c>
      <c r="CQ176" s="316">
        <f t="shared" si="528"/>
        <v>0</v>
      </c>
      <c r="CR176" s="316">
        <f t="shared" si="528"/>
        <v>0</v>
      </c>
      <c r="CS176" s="316">
        <f t="shared" si="528"/>
        <v>0</v>
      </c>
      <c r="CT176" s="348"/>
      <c r="CU176" s="67">
        <f>'MONTHLY SUMMARIES'!J130</f>
        <v>0</v>
      </c>
    </row>
    <row r="177" spans="1:100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48"/>
      <c r="CU177" s="81">
        <f>CU176-CU178</f>
        <v>0</v>
      </c>
    </row>
    <row r="178" spans="1:100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48"/>
      <c r="CU178" s="67">
        <f>IF(ISERROR(GETPIVOTDATA("VALUE",'CRS ESCO pvt'!$I$2,"DATE_FILE",$CU$8,"COMPANY",$CU$6,"TRIM_CAT","Low Income Resdiential-ESCO","TRIM_LINE",A172))=TRUE,0,GETPIVOTDATA("VALUE",'CRS ESCO pvt'!$I$2,"DATE_FILE",$CU$8,"COMPANY",$CU$6,"TRIM_CAT","Low Income Resdiential-ESCO","TRIM_LINE",A172))</f>
        <v>0</v>
      </c>
    </row>
    <row r="179" spans="1:100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112">
        <f t="shared" ref="BI179:BR181" si="529">O179-C179</f>
        <v>-11</v>
      </c>
      <c r="BJ179" s="112">
        <f t="shared" si="529"/>
        <v>-32</v>
      </c>
      <c r="BK179" s="112">
        <f t="shared" si="529"/>
        <v>-33</v>
      </c>
      <c r="BL179" s="112">
        <f t="shared" si="529"/>
        <v>-29</v>
      </c>
      <c r="BM179" s="112">
        <f t="shared" si="529"/>
        <v>-46</v>
      </c>
      <c r="BN179" s="112">
        <f t="shared" si="529"/>
        <v>-39</v>
      </c>
      <c r="BO179" s="112">
        <f t="shared" si="529"/>
        <v>-21</v>
      </c>
      <c r="BP179" s="112">
        <f t="shared" si="529"/>
        <v>-7</v>
      </c>
      <c r="BQ179" s="112">
        <f t="shared" si="529"/>
        <v>-7</v>
      </c>
      <c r="BR179" s="112">
        <f t="shared" si="529"/>
        <v>-8</v>
      </c>
      <c r="BS179" s="112">
        <f t="shared" ref="BS179:CB181" si="530">Y179-M179</f>
        <v>-13</v>
      </c>
      <c r="BT179" s="112">
        <f t="shared" si="530"/>
        <v>-8</v>
      </c>
      <c r="BU179" s="112">
        <f t="shared" si="530"/>
        <v>-4</v>
      </c>
      <c r="BV179" s="112">
        <f t="shared" si="530"/>
        <v>7</v>
      </c>
      <c r="BW179" s="112">
        <f t="shared" si="530"/>
        <v>6</v>
      </c>
      <c r="BX179" s="112">
        <f t="shared" si="530"/>
        <v>0</v>
      </c>
      <c r="BY179" s="112">
        <f t="shared" si="530"/>
        <v>21</v>
      </c>
      <c r="BZ179" s="112">
        <f t="shared" si="530"/>
        <v>30</v>
      </c>
      <c r="CA179" s="204">
        <f t="shared" si="530"/>
        <v>50</v>
      </c>
      <c r="CB179" s="204">
        <f t="shared" si="530"/>
        <v>20</v>
      </c>
      <c r="CC179" s="204">
        <f t="shared" ref="CC179:CL181" si="531">AI179-W179</f>
        <v>16</v>
      </c>
      <c r="CD179" s="204">
        <f t="shared" si="531"/>
        <v>16</v>
      </c>
      <c r="CE179" s="316">
        <f t="shared" si="531"/>
        <v>-2</v>
      </c>
      <c r="CF179" s="316">
        <f t="shared" si="531"/>
        <v>-5</v>
      </c>
      <c r="CG179" s="316">
        <f t="shared" si="531"/>
        <v>20</v>
      </c>
      <c r="CH179" s="316">
        <f t="shared" si="531"/>
        <v>12</v>
      </c>
      <c r="CI179" s="316">
        <f t="shared" si="531"/>
        <v>8</v>
      </c>
      <c r="CJ179" s="316">
        <f t="shared" si="531"/>
        <v>29</v>
      </c>
      <c r="CK179" s="316">
        <f t="shared" si="531"/>
        <v>-7</v>
      </c>
      <c r="CL179" s="316">
        <f t="shared" si="531"/>
        <v>-19</v>
      </c>
      <c r="CM179" s="316">
        <f t="shared" ref="CM179:CS181" si="532">AS179-AG179</f>
        <v>-37</v>
      </c>
      <c r="CN179" s="316">
        <f t="shared" si="532"/>
        <v>-9</v>
      </c>
      <c r="CO179" s="316">
        <f t="shared" si="532"/>
        <v>-9</v>
      </c>
      <c r="CP179" s="316">
        <f t="shared" si="532"/>
        <v>-16</v>
      </c>
      <c r="CQ179" s="316">
        <f t="shared" si="532"/>
        <v>0</v>
      </c>
      <c r="CR179" s="316">
        <f t="shared" si="532"/>
        <v>9</v>
      </c>
      <c r="CS179" s="316">
        <f t="shared" si="532"/>
        <v>16</v>
      </c>
      <c r="CT179" s="348"/>
      <c r="CU179" s="67">
        <f>'MONTHLY SUMMARIES'!J131</f>
        <v>43</v>
      </c>
    </row>
    <row r="180" spans="1:100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112">
        <f t="shared" si="529"/>
        <v>1</v>
      </c>
      <c r="BJ180" s="112">
        <f t="shared" si="529"/>
        <v>0</v>
      </c>
      <c r="BK180" s="112">
        <f t="shared" si="529"/>
        <v>0</v>
      </c>
      <c r="BL180" s="112">
        <f t="shared" si="529"/>
        <v>-1</v>
      </c>
      <c r="BM180" s="112">
        <f t="shared" si="529"/>
        <v>-1</v>
      </c>
      <c r="BN180" s="112">
        <f t="shared" si="529"/>
        <v>0</v>
      </c>
      <c r="BO180" s="112">
        <f t="shared" si="529"/>
        <v>0</v>
      </c>
      <c r="BP180" s="112">
        <f t="shared" si="529"/>
        <v>0</v>
      </c>
      <c r="BQ180" s="112">
        <f t="shared" si="529"/>
        <v>0</v>
      </c>
      <c r="BR180" s="112">
        <f t="shared" si="529"/>
        <v>0</v>
      </c>
      <c r="BS180" s="112">
        <f t="shared" si="530"/>
        <v>0</v>
      </c>
      <c r="BT180" s="112">
        <f t="shared" si="530"/>
        <v>0</v>
      </c>
      <c r="BU180" s="112">
        <f t="shared" si="530"/>
        <v>-1</v>
      </c>
      <c r="BV180" s="112">
        <f t="shared" si="530"/>
        <v>1</v>
      </c>
      <c r="BW180" s="112">
        <f t="shared" si="530"/>
        <v>0</v>
      </c>
      <c r="BX180" s="112">
        <f t="shared" si="530"/>
        <v>0</v>
      </c>
      <c r="BY180" s="112">
        <f t="shared" si="530"/>
        <v>0</v>
      </c>
      <c r="BZ180" s="112">
        <f t="shared" si="530"/>
        <v>0</v>
      </c>
      <c r="CA180" s="204">
        <f t="shared" si="530"/>
        <v>2</v>
      </c>
      <c r="CB180" s="204">
        <f t="shared" si="530"/>
        <v>1</v>
      </c>
      <c r="CC180" s="204">
        <f t="shared" si="531"/>
        <v>0</v>
      </c>
      <c r="CD180" s="204">
        <f t="shared" si="531"/>
        <v>0</v>
      </c>
      <c r="CE180" s="316">
        <f t="shared" si="531"/>
        <v>0</v>
      </c>
      <c r="CF180" s="316">
        <f t="shared" si="531"/>
        <v>0</v>
      </c>
      <c r="CG180" s="316">
        <f t="shared" si="531"/>
        <v>0</v>
      </c>
      <c r="CH180" s="316">
        <f t="shared" si="531"/>
        <v>-1</v>
      </c>
      <c r="CI180" s="316">
        <f t="shared" si="531"/>
        <v>1</v>
      </c>
      <c r="CJ180" s="316">
        <f t="shared" si="531"/>
        <v>0</v>
      </c>
      <c r="CK180" s="316">
        <f t="shared" si="531"/>
        <v>0</v>
      </c>
      <c r="CL180" s="316">
        <f t="shared" si="531"/>
        <v>0</v>
      </c>
      <c r="CM180" s="316">
        <f t="shared" si="532"/>
        <v>-2</v>
      </c>
      <c r="CN180" s="316">
        <f t="shared" si="532"/>
        <v>0</v>
      </c>
      <c r="CO180" s="316">
        <f t="shared" si="532"/>
        <v>0</v>
      </c>
      <c r="CP180" s="316">
        <f t="shared" si="532"/>
        <v>0</v>
      </c>
      <c r="CQ180" s="316">
        <f t="shared" si="532"/>
        <v>0</v>
      </c>
      <c r="CR180" s="316">
        <f t="shared" si="532"/>
        <v>0</v>
      </c>
      <c r="CS180" s="316">
        <f t="shared" si="532"/>
        <v>0</v>
      </c>
      <c r="CT180" s="348"/>
      <c r="CU180" s="67">
        <f>'MONTHLY SUMMARIES'!J132</f>
        <v>0</v>
      </c>
    </row>
    <row r="181" spans="1:10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112">
        <f t="shared" si="529"/>
        <v>0</v>
      </c>
      <c r="BJ181" s="112">
        <f t="shared" si="529"/>
        <v>0</v>
      </c>
      <c r="BK181" s="112">
        <f t="shared" si="529"/>
        <v>0</v>
      </c>
      <c r="BL181" s="112">
        <f t="shared" si="529"/>
        <v>0</v>
      </c>
      <c r="BM181" s="112">
        <f t="shared" si="529"/>
        <v>0</v>
      </c>
      <c r="BN181" s="112">
        <f t="shared" si="529"/>
        <v>0</v>
      </c>
      <c r="BO181" s="112">
        <f t="shared" si="529"/>
        <v>0</v>
      </c>
      <c r="BP181" s="112">
        <f t="shared" si="529"/>
        <v>0</v>
      </c>
      <c r="BQ181" s="112">
        <f t="shared" si="529"/>
        <v>0</v>
      </c>
      <c r="BR181" s="112">
        <f t="shared" si="529"/>
        <v>0</v>
      </c>
      <c r="BS181" s="112">
        <f t="shared" si="530"/>
        <v>0</v>
      </c>
      <c r="BT181" s="112">
        <f t="shared" si="530"/>
        <v>0</v>
      </c>
      <c r="BU181" s="112">
        <f t="shared" si="530"/>
        <v>0</v>
      </c>
      <c r="BV181" s="112">
        <f t="shared" si="530"/>
        <v>0</v>
      </c>
      <c r="BW181" s="112">
        <f t="shared" si="530"/>
        <v>0</v>
      </c>
      <c r="BX181" s="112">
        <f t="shared" si="530"/>
        <v>0</v>
      </c>
      <c r="BY181" s="112">
        <f t="shared" si="530"/>
        <v>0</v>
      </c>
      <c r="BZ181" s="112">
        <f t="shared" si="530"/>
        <v>0</v>
      </c>
      <c r="CA181" s="204">
        <f t="shared" si="530"/>
        <v>0</v>
      </c>
      <c r="CB181" s="204">
        <f t="shared" si="530"/>
        <v>0</v>
      </c>
      <c r="CC181" s="204">
        <f t="shared" si="531"/>
        <v>0</v>
      </c>
      <c r="CD181" s="204">
        <f t="shared" si="531"/>
        <v>0</v>
      </c>
      <c r="CE181" s="316">
        <f t="shared" si="531"/>
        <v>0</v>
      </c>
      <c r="CF181" s="316">
        <f t="shared" si="531"/>
        <v>0</v>
      </c>
      <c r="CG181" s="316">
        <f t="shared" si="531"/>
        <v>0</v>
      </c>
      <c r="CH181" s="316">
        <f t="shared" si="531"/>
        <v>0</v>
      </c>
      <c r="CI181" s="316">
        <f t="shared" si="531"/>
        <v>0</v>
      </c>
      <c r="CJ181" s="316">
        <f t="shared" si="531"/>
        <v>0</v>
      </c>
      <c r="CK181" s="316">
        <f t="shared" si="531"/>
        <v>0</v>
      </c>
      <c r="CL181" s="316">
        <f t="shared" si="531"/>
        <v>0</v>
      </c>
      <c r="CM181" s="316">
        <f t="shared" si="532"/>
        <v>0</v>
      </c>
      <c r="CN181" s="316">
        <f t="shared" si="532"/>
        <v>0</v>
      </c>
      <c r="CO181" s="316">
        <f t="shared" si="532"/>
        <v>0</v>
      </c>
      <c r="CP181" s="316">
        <f t="shared" si="532"/>
        <v>0</v>
      </c>
      <c r="CQ181" s="316">
        <f t="shared" si="532"/>
        <v>0</v>
      </c>
      <c r="CR181" s="316">
        <f t="shared" si="532"/>
        <v>0</v>
      </c>
      <c r="CS181" s="316">
        <f t="shared" si="532"/>
        <v>0</v>
      </c>
      <c r="CT181" s="348"/>
      <c r="CU181" s="67">
        <f>'MONTHLY SUMMARIES'!J133</f>
        <v>0</v>
      </c>
    </row>
    <row r="182" spans="1:100" s="76" customFormat="1" x14ac:dyDescent="0.3">
      <c r="A182" s="151"/>
      <c r="B182" s="63" t="s">
        <v>42</v>
      </c>
      <c r="C182" s="121">
        <f t="shared" ref="C182:V182" si="533">SUM(C173:C181)</f>
        <v>31</v>
      </c>
      <c r="D182" s="122">
        <f t="shared" si="533"/>
        <v>53</v>
      </c>
      <c r="E182" s="122">
        <f t="shared" si="533"/>
        <v>183</v>
      </c>
      <c r="F182" s="122">
        <f t="shared" si="533"/>
        <v>221</v>
      </c>
      <c r="G182" s="122">
        <f t="shared" si="533"/>
        <v>255</v>
      </c>
      <c r="H182" s="123">
        <f t="shared" si="533"/>
        <v>277</v>
      </c>
      <c r="I182" s="122">
        <f t="shared" si="533"/>
        <v>400</v>
      </c>
      <c r="J182" s="123">
        <f t="shared" si="533"/>
        <v>348</v>
      </c>
      <c r="K182" s="122">
        <f t="shared" si="533"/>
        <v>71</v>
      </c>
      <c r="L182" s="124">
        <f t="shared" si="533"/>
        <v>17</v>
      </c>
      <c r="M182" s="123">
        <f t="shared" si="533"/>
        <v>37</v>
      </c>
      <c r="N182" s="127">
        <f t="shared" si="533"/>
        <v>31</v>
      </c>
      <c r="O182" s="127">
        <f t="shared" si="533"/>
        <v>14</v>
      </c>
      <c r="P182" s="127">
        <f t="shared" si="533"/>
        <v>0</v>
      </c>
      <c r="Q182" s="127">
        <f t="shared" si="533"/>
        <v>0</v>
      </c>
      <c r="R182" s="127">
        <f t="shared" si="533"/>
        <v>0</v>
      </c>
      <c r="S182" s="127">
        <f t="shared" si="533"/>
        <v>0</v>
      </c>
      <c r="T182" s="127">
        <f t="shared" si="533"/>
        <v>0</v>
      </c>
      <c r="U182" s="127">
        <f t="shared" si="533"/>
        <v>0</v>
      </c>
      <c r="V182" s="127">
        <f t="shared" si="533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123">
        <f>SUM(BI173:BI181)</f>
        <v>-17</v>
      </c>
      <c r="BJ182" s="123">
        <f t="shared" ref="BJ182:BL182" si="534">SUM(BJ173:BJ181)</f>
        <v>-53</v>
      </c>
      <c r="BK182" s="123">
        <f t="shared" si="534"/>
        <v>-183</v>
      </c>
      <c r="BL182" s="123">
        <f t="shared" si="534"/>
        <v>-221</v>
      </c>
      <c r="BM182" s="123">
        <f t="shared" ref="BM182:BN182" si="535">SUM(BM173:BM181)</f>
        <v>-255</v>
      </c>
      <c r="BN182" s="123">
        <f t="shared" si="535"/>
        <v>-277</v>
      </c>
      <c r="BO182" s="123">
        <f t="shared" ref="BO182:BP182" si="536">SUM(BO173:BO181)</f>
        <v>-400</v>
      </c>
      <c r="BP182" s="123">
        <f t="shared" si="536"/>
        <v>-348</v>
      </c>
      <c r="BQ182" s="123">
        <f t="shared" ref="BQ182:BR182" si="537">SUM(BQ173:BQ181)</f>
        <v>-71</v>
      </c>
      <c r="BR182" s="123">
        <f t="shared" si="537"/>
        <v>-17</v>
      </c>
      <c r="BS182" s="123">
        <f t="shared" ref="BS182:BT182" si="538">SUM(BS173:BS181)</f>
        <v>-35</v>
      </c>
      <c r="BT182" s="123">
        <f t="shared" si="538"/>
        <v>-25</v>
      </c>
      <c r="BU182" s="123">
        <f t="shared" ref="BU182:BV182" si="539">SUM(BU173:BU181)</f>
        <v>-7</v>
      </c>
      <c r="BV182" s="123">
        <f t="shared" si="539"/>
        <v>8</v>
      </c>
      <c r="BW182" s="123">
        <f t="shared" ref="BW182:BX182" si="540">SUM(BW173:BW181)</f>
        <v>6</v>
      </c>
      <c r="BX182" s="123">
        <f t="shared" si="540"/>
        <v>0</v>
      </c>
      <c r="BY182" s="123">
        <f t="shared" ref="BY182:BZ182" si="541">SUM(BY173:BY181)</f>
        <v>202</v>
      </c>
      <c r="BZ182" s="123">
        <f t="shared" si="541"/>
        <v>361</v>
      </c>
      <c r="CA182" s="205">
        <f t="shared" ref="CA182:CB182" si="542">SUM(CA173:CA181)</f>
        <v>331</v>
      </c>
      <c r="CB182" s="205">
        <f t="shared" si="542"/>
        <v>270</v>
      </c>
      <c r="CC182" s="205">
        <f t="shared" ref="CC182:CE182" si="543">SUM(CC173:CC181)</f>
        <v>90</v>
      </c>
      <c r="CD182" s="205">
        <f t="shared" si="543"/>
        <v>19</v>
      </c>
      <c r="CE182" s="317">
        <f t="shared" si="543"/>
        <v>-2</v>
      </c>
      <c r="CF182" s="317">
        <f t="shared" ref="CF182:CG182" si="544">SUM(CF173:CF181)</f>
        <v>-5</v>
      </c>
      <c r="CG182" s="317">
        <f t="shared" si="544"/>
        <v>21</v>
      </c>
      <c r="CH182" s="317">
        <f t="shared" ref="CH182:CI182" si="545">SUM(CH173:CH181)</f>
        <v>22</v>
      </c>
      <c r="CI182" s="317">
        <f t="shared" si="545"/>
        <v>159</v>
      </c>
      <c r="CJ182" s="317">
        <f t="shared" ref="CJ182" si="546">SUM(CJ173:CJ181)</f>
        <v>148</v>
      </c>
      <c r="CK182" s="317">
        <f t="shared" ref="CK182" si="547">SUM(CK173:CK181)</f>
        <v>-88</v>
      </c>
      <c r="CL182" s="317">
        <f t="shared" ref="CL182" si="548">SUM(CL173:CL181)</f>
        <v>-236</v>
      </c>
      <c r="CM182" s="317">
        <f t="shared" ref="CM182" si="549">SUM(CM173:CM181)</f>
        <v>-251</v>
      </c>
      <c r="CN182" s="317">
        <f t="shared" ref="CN182" si="550">SUM(CN173:CN181)</f>
        <v>-160</v>
      </c>
      <c r="CO182" s="317">
        <f t="shared" ref="CO182" si="551">SUM(CO173:CO181)</f>
        <v>-77</v>
      </c>
      <c r="CP182" s="317">
        <f t="shared" ref="CP182" si="552">SUM(CP173:CP181)</f>
        <v>-18</v>
      </c>
      <c r="CQ182" s="317">
        <f t="shared" ref="CQ182:CS182" si="553">SUM(CQ173:CQ181)</f>
        <v>0</v>
      </c>
      <c r="CR182" s="317">
        <f t="shared" ref="CR182:CS182" si="554">SUM(CR173:CR181)</f>
        <v>9</v>
      </c>
      <c r="CS182" s="317">
        <f t="shared" si="554"/>
        <v>34</v>
      </c>
      <c r="CT182" s="349"/>
      <c r="CU182" s="262">
        <f>CU173+CU176+CU179+CU180+CU181</f>
        <v>62</v>
      </c>
    </row>
    <row r="183" spans="1:100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48"/>
      <c r="CU183" s="93"/>
    </row>
    <row r="184" spans="1:10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48"/>
      <c r="CU184" s="67">
        <f>'MONTHLY SUMMARIES'!J136</f>
        <v>7</v>
      </c>
      <c r="CV184" s="204"/>
    </row>
    <row r="185" spans="1:100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48"/>
      <c r="CU185" s="81">
        <f>CU184-CU186</f>
        <v>7</v>
      </c>
      <c r="CV185" s="204"/>
    </row>
    <row r="186" spans="1:100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48"/>
      <c r="CU186" s="67">
        <f>IF(ISERROR(GETPIVOTDATA("VALUE",'CRS ESCO pvt'!$I$2,"DATE_FILE",$CU$8,"COMPANY",$CU$6,"TRIM_CAT","Resdiential-ESCO","TRIM_LINE",99))=TRUE,0,GETPIVOTDATA("VALUE",'CRS ESCO pvt'!$I$2,"DATE_FILE",$CU$8,"COMPANY",$CU$6,"TRIM_CAT","Resdiential-ESCO","TRIM_LINE",99))</f>
        <v>0</v>
      </c>
      <c r="CV186" s="204"/>
    </row>
    <row r="187" spans="1:10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48"/>
      <c r="CU187" s="67">
        <f>'MONTHLY SUMMARIES'!J137</f>
        <v>0</v>
      </c>
      <c r="CV187" s="204"/>
    </row>
    <row r="188" spans="1:100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48"/>
      <c r="CU188" s="81">
        <f>CU187-CU189</f>
        <v>0</v>
      </c>
      <c r="CV188" s="204"/>
    </row>
    <row r="189" spans="1:100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48"/>
      <c r="CU189" s="67">
        <f>IF(ISERROR(GETPIVOTDATA("VALUE",'CRS ESCO pvt'!$I$2,"DATE_FILE",$CU$8,"COMPANY",$CU$6,"TRIM_CAT","Low Income Resdiential-ESCO","TRIM_LINE",99))=TRUE,0,GETPIVOTDATA("VALUE",'CRS ESCO pvt'!$I$2,"DATE_FILE",$CU$8,"COMPANY",$CU$6,"TRIM_CAT","Low Income Resdiential-ESCO","TRIM_LINE",99))</f>
        <v>0</v>
      </c>
      <c r="CV189" s="204"/>
    </row>
    <row r="190" spans="1:10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48"/>
      <c r="CU190" s="67">
        <f>'MONTHLY SUMMARIES'!J138</f>
        <v>10</v>
      </c>
    </row>
    <row r="191" spans="1:10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48"/>
      <c r="CU191" s="67">
        <f>'MONTHLY SUMMARIES'!J139</f>
        <v>0</v>
      </c>
    </row>
    <row r="192" spans="1:10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48"/>
      <c r="CU192" s="67">
        <f>'MONTHLY SUMMARIES'!J140</f>
        <v>0</v>
      </c>
    </row>
    <row r="193" spans="1:99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49"/>
      <c r="CU193" s="262">
        <f>CU184+CU187+CU190+CU191+CU192</f>
        <v>17</v>
      </c>
    </row>
    <row r="194" spans="1:99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48"/>
      <c r="CU194" s="93"/>
    </row>
    <row r="195" spans="1:99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112">
        <f t="shared" ref="BI195:CS195" si="555">O195-C195</f>
        <v>-604</v>
      </c>
      <c r="BJ195" s="112">
        <f t="shared" si="555"/>
        <v>-1350</v>
      </c>
      <c r="BK195" s="112">
        <f t="shared" si="555"/>
        <v>-2472</v>
      </c>
      <c r="BL195" s="112">
        <f t="shared" si="555"/>
        <v>-2613</v>
      </c>
      <c r="BM195" s="112">
        <f t="shared" si="555"/>
        <v>-2570</v>
      </c>
      <c r="BN195" s="112">
        <f t="shared" si="555"/>
        <v>-2445</v>
      </c>
      <c r="BO195" s="112">
        <f t="shared" si="555"/>
        <v>-2210</v>
      </c>
      <c r="BP195" s="112">
        <f t="shared" si="555"/>
        <v>-2073</v>
      </c>
      <c r="BQ195" s="112">
        <f t="shared" si="555"/>
        <v>-1541</v>
      </c>
      <c r="BR195" s="112">
        <f t="shared" si="555"/>
        <v>-1032</v>
      </c>
      <c r="BS195" s="112">
        <f t="shared" si="555"/>
        <v>-516</v>
      </c>
      <c r="BT195" s="112">
        <f t="shared" si="555"/>
        <v>-361</v>
      </c>
      <c r="BU195" s="112">
        <f t="shared" si="555"/>
        <v>-202</v>
      </c>
      <c r="BV195" s="112">
        <f t="shared" si="555"/>
        <v>64</v>
      </c>
      <c r="BW195" s="112">
        <f t="shared" si="555"/>
        <v>490</v>
      </c>
      <c r="BX195" s="112">
        <f t="shared" si="555"/>
        <v>1040</v>
      </c>
      <c r="BY195" s="112">
        <f t="shared" si="555"/>
        <v>2212</v>
      </c>
      <c r="BZ195" s="112">
        <f t="shared" si="555"/>
        <v>2633</v>
      </c>
      <c r="CA195" s="204">
        <f t="shared" si="555"/>
        <v>2697</v>
      </c>
      <c r="CB195" s="204">
        <f t="shared" si="555"/>
        <v>2582</v>
      </c>
      <c r="CC195" s="204">
        <f t="shared" si="555"/>
        <v>2289</v>
      </c>
      <c r="CD195" s="204">
        <f t="shared" si="555"/>
        <v>1989</v>
      </c>
      <c r="CE195" s="316">
        <f t="shared" si="555"/>
        <v>1485</v>
      </c>
      <c r="CF195" s="316">
        <f t="shared" si="555"/>
        <v>1329</v>
      </c>
      <c r="CG195" s="316">
        <f t="shared" si="555"/>
        <v>1377</v>
      </c>
      <c r="CH195" s="316">
        <f t="shared" si="555"/>
        <v>1479</v>
      </c>
      <c r="CI195" s="316">
        <f t="shared" si="555"/>
        <v>1530</v>
      </c>
      <c r="CJ195" s="316">
        <f t="shared" si="555"/>
        <v>976</v>
      </c>
      <c r="CK195" s="316">
        <f t="shared" si="555"/>
        <v>-296</v>
      </c>
      <c r="CL195" s="316">
        <f t="shared" si="555"/>
        <v>-596</v>
      </c>
      <c r="CM195" s="316">
        <f t="shared" si="555"/>
        <v>-753</v>
      </c>
      <c r="CN195" s="316">
        <f t="shared" si="555"/>
        <v>-722</v>
      </c>
      <c r="CO195" s="316">
        <f t="shared" si="555"/>
        <v>-780</v>
      </c>
      <c r="CP195" s="316">
        <f t="shared" si="555"/>
        <v>-845</v>
      </c>
      <c r="CQ195" s="316">
        <f t="shared" si="555"/>
        <v>-749</v>
      </c>
      <c r="CR195" s="316">
        <f t="shared" si="555"/>
        <v>-622</v>
      </c>
      <c r="CS195" s="316">
        <f t="shared" si="555"/>
        <v>-634</v>
      </c>
      <c r="CT195" s="348"/>
      <c r="CU195" s="67">
        <f>'MONTHLY SUMMARIES'!J143</f>
        <v>1413</v>
      </c>
    </row>
    <row r="196" spans="1:99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48"/>
      <c r="CU196" s="81">
        <f>CU195-CU197</f>
        <v>1404</v>
      </c>
    </row>
    <row r="197" spans="1:99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48"/>
      <c r="CU197" s="67">
        <f>IF(ISERROR(GETPIVOTDATA("VALUE",'CRS ESCO pvt'!$I$2,"DATE_FILE",$CU$8,"COMPANY",$CU$6,"TRIM_CAT","Resdiential-ESCO","TRIM_LINE",A194))=TRUE,0,GETPIVOTDATA("VALUE",'CRS ESCO pvt'!$I$2,"DATE_FILE",$CU$8,"COMPANY",$CU$6,"TRIM_CAT","Resdiential-ESCO","TRIM_LINE",A194))</f>
        <v>9</v>
      </c>
    </row>
    <row r="198" spans="1:99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112">
        <f t="shared" ref="BI198:CS198" si="556">O198-C198</f>
        <v>-145</v>
      </c>
      <c r="BJ198" s="112">
        <f t="shared" si="556"/>
        <v>-254</v>
      </c>
      <c r="BK198" s="112">
        <f t="shared" si="556"/>
        <v>-522</v>
      </c>
      <c r="BL198" s="112">
        <f t="shared" si="556"/>
        <v>-584</v>
      </c>
      <c r="BM198" s="112">
        <f t="shared" si="556"/>
        <v>-588</v>
      </c>
      <c r="BN198" s="112">
        <f t="shared" si="556"/>
        <v>-614</v>
      </c>
      <c r="BO198" s="112">
        <f t="shared" si="556"/>
        <v>-619</v>
      </c>
      <c r="BP198" s="112">
        <f t="shared" si="556"/>
        <v>-605</v>
      </c>
      <c r="BQ198" s="112">
        <f t="shared" si="556"/>
        <v>-477</v>
      </c>
      <c r="BR198" s="112">
        <f t="shared" si="556"/>
        <v>-311</v>
      </c>
      <c r="BS198" s="112">
        <f t="shared" si="556"/>
        <v>-150</v>
      </c>
      <c r="BT198" s="112">
        <f t="shared" si="556"/>
        <v>-112</v>
      </c>
      <c r="BU198" s="112">
        <f t="shared" si="556"/>
        <v>-59</v>
      </c>
      <c r="BV198" s="112">
        <f t="shared" si="556"/>
        <v>8</v>
      </c>
      <c r="BW198" s="112">
        <f t="shared" si="556"/>
        <v>71</v>
      </c>
      <c r="BX198" s="112">
        <f t="shared" si="556"/>
        <v>173</v>
      </c>
      <c r="BY198" s="112">
        <f t="shared" si="556"/>
        <v>459</v>
      </c>
      <c r="BZ198" s="112">
        <f t="shared" si="556"/>
        <v>623</v>
      </c>
      <c r="CA198" s="204">
        <f t="shared" si="556"/>
        <v>743</v>
      </c>
      <c r="CB198" s="204">
        <f t="shared" si="556"/>
        <v>819</v>
      </c>
      <c r="CC198" s="204">
        <f t="shared" si="556"/>
        <v>680</v>
      </c>
      <c r="CD198" s="204">
        <f t="shared" si="556"/>
        <v>626</v>
      </c>
      <c r="CE198" s="316">
        <f t="shared" si="556"/>
        <v>445</v>
      </c>
      <c r="CF198" s="316">
        <f t="shared" si="556"/>
        <v>365</v>
      </c>
      <c r="CG198" s="316">
        <f t="shared" si="556"/>
        <v>402</v>
      </c>
      <c r="CH198" s="316">
        <f t="shared" si="556"/>
        <v>422</v>
      </c>
      <c r="CI198" s="316">
        <f t="shared" si="556"/>
        <v>519</v>
      </c>
      <c r="CJ198" s="316">
        <f t="shared" si="556"/>
        <v>455</v>
      </c>
      <c r="CK198" s="316">
        <f t="shared" si="556"/>
        <v>121</v>
      </c>
      <c r="CL198" s="316">
        <f t="shared" si="556"/>
        <v>15</v>
      </c>
      <c r="CM198" s="316">
        <f t="shared" si="556"/>
        <v>-91</v>
      </c>
      <c r="CN198" s="316">
        <f t="shared" si="556"/>
        <v>-147</v>
      </c>
      <c r="CO198" s="316">
        <f t="shared" si="556"/>
        <v>-80</v>
      </c>
      <c r="CP198" s="316">
        <f t="shared" si="556"/>
        <v>-146</v>
      </c>
      <c r="CQ198" s="316">
        <f t="shared" si="556"/>
        <v>-95</v>
      </c>
      <c r="CR198" s="316">
        <f t="shared" si="556"/>
        <v>-52</v>
      </c>
      <c r="CS198" s="316">
        <f t="shared" si="556"/>
        <v>-82</v>
      </c>
      <c r="CT198" s="348"/>
      <c r="CU198" s="67">
        <f>'MONTHLY SUMMARIES'!J144</f>
        <v>496</v>
      </c>
    </row>
    <row r="199" spans="1:99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48"/>
      <c r="CU199" s="81">
        <f>CU198-CU200</f>
        <v>496</v>
      </c>
    </row>
    <row r="200" spans="1:99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48"/>
      <c r="CU200" s="67">
        <f>IF(ISERROR(GETPIVOTDATA("VALUE",'CRS ESCO pvt'!$I$2,"DATE_FILE",$CU$8,"COMPANY",$CU$6,"TRIM_CAT","Low Income Resdiential-ESCO","TRIM_LINE",A194))=TRUE,0,GETPIVOTDATA("VALUE",'CRS ESCO pvt'!$I$2,"DATE_FILE",$CU$8,"COMPANY",$CU$6,"TRIM_CAT","Low Income Resdiential-ESCO","TRIM_LINE",A194))</f>
        <v>0</v>
      </c>
    </row>
    <row r="201" spans="1:99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112">
        <f t="shared" ref="BI201:BR203" si="557">O201-C201</f>
        <v>-13</v>
      </c>
      <c r="BJ201" s="112">
        <f t="shared" si="557"/>
        <v>-57</v>
      </c>
      <c r="BK201" s="112">
        <f t="shared" si="557"/>
        <v>-77</v>
      </c>
      <c r="BL201" s="112">
        <f t="shared" si="557"/>
        <v>-68</v>
      </c>
      <c r="BM201" s="112">
        <f t="shared" si="557"/>
        <v>-43</v>
      </c>
      <c r="BN201" s="112">
        <f t="shared" si="557"/>
        <v>-26</v>
      </c>
      <c r="BO201" s="112">
        <f t="shared" si="557"/>
        <v>5</v>
      </c>
      <c r="BP201" s="112">
        <f t="shared" si="557"/>
        <v>24</v>
      </c>
      <c r="BQ201" s="112">
        <f t="shared" si="557"/>
        <v>49</v>
      </c>
      <c r="BR201" s="112">
        <f t="shared" si="557"/>
        <v>69</v>
      </c>
      <c r="BS201" s="112">
        <f t="shared" ref="BS201:CB203" si="558">Y201-M201</f>
        <v>61</v>
      </c>
      <c r="BT201" s="112">
        <f t="shared" si="558"/>
        <v>56</v>
      </c>
      <c r="BU201" s="112">
        <f t="shared" si="558"/>
        <v>47</v>
      </c>
      <c r="BV201" s="112">
        <f t="shared" si="558"/>
        <v>58</v>
      </c>
      <c r="BW201" s="112">
        <f t="shared" si="558"/>
        <v>74</v>
      </c>
      <c r="BX201" s="112">
        <f t="shared" si="558"/>
        <v>67</v>
      </c>
      <c r="BY201" s="112">
        <f t="shared" si="558"/>
        <v>58</v>
      </c>
      <c r="BZ201" s="112">
        <f t="shared" si="558"/>
        <v>53</v>
      </c>
      <c r="CA201" s="204">
        <f t="shared" si="558"/>
        <v>50</v>
      </c>
      <c r="CB201" s="204">
        <f t="shared" si="558"/>
        <v>39</v>
      </c>
      <c r="CC201" s="204">
        <f t="shared" ref="CC201:CL203" si="559">AI201-W201</f>
        <v>14</v>
      </c>
      <c r="CD201" s="204">
        <f t="shared" si="559"/>
        <v>-8</v>
      </c>
      <c r="CE201" s="316">
        <f t="shared" si="559"/>
        <v>-13</v>
      </c>
      <c r="CF201" s="316">
        <f t="shared" si="559"/>
        <v>-13</v>
      </c>
      <c r="CG201" s="316">
        <f t="shared" si="559"/>
        <v>16</v>
      </c>
      <c r="CH201" s="316">
        <f t="shared" si="559"/>
        <v>33</v>
      </c>
      <c r="CI201" s="316">
        <f t="shared" si="559"/>
        <v>21</v>
      </c>
      <c r="CJ201" s="316">
        <f t="shared" si="559"/>
        <v>16</v>
      </c>
      <c r="CK201" s="316">
        <f t="shared" si="559"/>
        <v>-6</v>
      </c>
      <c r="CL201" s="316">
        <f t="shared" si="559"/>
        <v>-18</v>
      </c>
      <c r="CM201" s="316">
        <f t="shared" ref="CM201:CS203" si="560">AS201-AG201</f>
        <v>-30</v>
      </c>
      <c r="CN201" s="316">
        <f t="shared" si="560"/>
        <v>-37</v>
      </c>
      <c r="CO201" s="316">
        <f t="shared" si="560"/>
        <v>-40</v>
      </c>
      <c r="CP201" s="316">
        <f t="shared" si="560"/>
        <v>-41</v>
      </c>
      <c r="CQ201" s="316">
        <f t="shared" si="560"/>
        <v>-35</v>
      </c>
      <c r="CR201" s="316">
        <f t="shared" si="560"/>
        <v>-4</v>
      </c>
      <c r="CS201" s="316">
        <f t="shared" si="560"/>
        <v>-12</v>
      </c>
      <c r="CT201" s="348"/>
      <c r="CU201" s="67">
        <f>'MONTHLY SUMMARIES'!J145</f>
        <v>90</v>
      </c>
    </row>
    <row r="202" spans="1:99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112">
        <f t="shared" si="557"/>
        <v>-3</v>
      </c>
      <c r="BJ202" s="112">
        <f t="shared" si="557"/>
        <v>-5</v>
      </c>
      <c r="BK202" s="112">
        <f t="shared" si="557"/>
        <v>-3</v>
      </c>
      <c r="BL202" s="112">
        <f t="shared" si="557"/>
        <v>-2</v>
      </c>
      <c r="BM202" s="112">
        <f t="shared" si="557"/>
        <v>-1</v>
      </c>
      <c r="BN202" s="112">
        <f t="shared" si="557"/>
        <v>1</v>
      </c>
      <c r="BO202" s="112">
        <f t="shared" si="557"/>
        <v>3</v>
      </c>
      <c r="BP202" s="112">
        <f t="shared" si="557"/>
        <v>3</v>
      </c>
      <c r="BQ202" s="112">
        <f t="shared" si="557"/>
        <v>3</v>
      </c>
      <c r="BR202" s="112">
        <f t="shared" si="557"/>
        <v>3</v>
      </c>
      <c r="BS202" s="112">
        <f t="shared" si="558"/>
        <v>3</v>
      </c>
      <c r="BT202" s="112">
        <f t="shared" si="558"/>
        <v>3</v>
      </c>
      <c r="BU202" s="112">
        <f t="shared" si="558"/>
        <v>3</v>
      </c>
      <c r="BV202" s="112">
        <f t="shared" si="558"/>
        <v>3</v>
      </c>
      <c r="BW202" s="112">
        <f t="shared" si="558"/>
        <v>1</v>
      </c>
      <c r="BX202" s="112">
        <f t="shared" si="558"/>
        <v>2</v>
      </c>
      <c r="BY202" s="112">
        <f t="shared" si="558"/>
        <v>0</v>
      </c>
      <c r="BZ202" s="112">
        <f t="shared" si="558"/>
        <v>-2</v>
      </c>
      <c r="CA202" s="204">
        <f t="shared" si="558"/>
        <v>-2</v>
      </c>
      <c r="CB202" s="204">
        <f t="shared" si="558"/>
        <v>0</v>
      </c>
      <c r="CC202" s="204">
        <f t="shared" si="559"/>
        <v>0</v>
      </c>
      <c r="CD202" s="204">
        <f t="shared" si="559"/>
        <v>-1</v>
      </c>
      <c r="CE202" s="316">
        <f t="shared" si="559"/>
        <v>-1</v>
      </c>
      <c r="CF202" s="316">
        <f t="shared" si="559"/>
        <v>-1</v>
      </c>
      <c r="CG202" s="316">
        <f t="shared" si="559"/>
        <v>-1</v>
      </c>
      <c r="CH202" s="316">
        <f t="shared" si="559"/>
        <v>0</v>
      </c>
      <c r="CI202" s="316">
        <f t="shared" si="559"/>
        <v>0</v>
      </c>
      <c r="CJ202" s="316">
        <f t="shared" si="559"/>
        <v>-2</v>
      </c>
      <c r="CK202" s="316">
        <f t="shared" si="559"/>
        <v>0</v>
      </c>
      <c r="CL202" s="316">
        <f t="shared" si="559"/>
        <v>0</v>
      </c>
      <c r="CM202" s="316">
        <f t="shared" si="560"/>
        <v>-1</v>
      </c>
      <c r="CN202" s="316">
        <f t="shared" si="560"/>
        <v>-3</v>
      </c>
      <c r="CO202" s="316">
        <f t="shared" si="560"/>
        <v>-2</v>
      </c>
      <c r="CP202" s="316">
        <f t="shared" si="560"/>
        <v>-1</v>
      </c>
      <c r="CQ202" s="316">
        <f t="shared" si="560"/>
        <v>-1</v>
      </c>
      <c r="CR202" s="316">
        <f t="shared" si="560"/>
        <v>-1</v>
      </c>
      <c r="CS202" s="316">
        <f t="shared" si="560"/>
        <v>-2</v>
      </c>
      <c r="CT202" s="348"/>
      <c r="CU202" s="67">
        <f>'MONTHLY SUMMARIES'!J146</f>
        <v>0</v>
      </c>
    </row>
    <row r="203" spans="1:99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112">
        <f t="shared" si="557"/>
        <v>2</v>
      </c>
      <c r="BJ203" s="112">
        <f t="shared" si="557"/>
        <v>1</v>
      </c>
      <c r="BK203" s="112">
        <f t="shared" si="557"/>
        <v>1</v>
      </c>
      <c r="BL203" s="112">
        <f t="shared" si="557"/>
        <v>0</v>
      </c>
      <c r="BM203" s="112">
        <f t="shared" si="557"/>
        <v>-1</v>
      </c>
      <c r="BN203" s="112">
        <f t="shared" si="557"/>
        <v>-1</v>
      </c>
      <c r="BO203" s="112">
        <f t="shared" si="557"/>
        <v>-1</v>
      </c>
      <c r="BP203" s="112">
        <f t="shared" si="557"/>
        <v>-1</v>
      </c>
      <c r="BQ203" s="112">
        <f t="shared" si="557"/>
        <v>-2</v>
      </c>
      <c r="BR203" s="112">
        <f t="shared" si="557"/>
        <v>-2</v>
      </c>
      <c r="BS203" s="112">
        <f t="shared" si="558"/>
        <v>-2</v>
      </c>
      <c r="BT203" s="112">
        <f t="shared" si="558"/>
        <v>-2</v>
      </c>
      <c r="BU203" s="112">
        <f t="shared" si="558"/>
        <v>-2</v>
      </c>
      <c r="BV203" s="112">
        <f t="shared" si="558"/>
        <v>-1</v>
      </c>
      <c r="BW203" s="112">
        <f t="shared" si="558"/>
        <v>-1</v>
      </c>
      <c r="BX203" s="112">
        <f t="shared" si="558"/>
        <v>1</v>
      </c>
      <c r="BY203" s="112">
        <f t="shared" si="558"/>
        <v>1</v>
      </c>
      <c r="BZ203" s="112">
        <f t="shared" si="558"/>
        <v>0</v>
      </c>
      <c r="CA203" s="204">
        <f t="shared" si="558"/>
        <v>1</v>
      </c>
      <c r="CB203" s="204">
        <f t="shared" si="558"/>
        <v>1</v>
      </c>
      <c r="CC203" s="204">
        <f t="shared" si="559"/>
        <v>0</v>
      </c>
      <c r="CD203" s="204">
        <f t="shared" si="559"/>
        <v>1</v>
      </c>
      <c r="CE203" s="316">
        <f t="shared" si="559"/>
        <v>1</v>
      </c>
      <c r="CF203" s="316">
        <f t="shared" si="559"/>
        <v>1</v>
      </c>
      <c r="CG203" s="316">
        <f t="shared" si="559"/>
        <v>1</v>
      </c>
      <c r="CH203" s="316">
        <f t="shared" si="559"/>
        <v>0</v>
      </c>
      <c r="CI203" s="316">
        <f t="shared" si="559"/>
        <v>0</v>
      </c>
      <c r="CJ203" s="316">
        <f t="shared" si="559"/>
        <v>-1</v>
      </c>
      <c r="CK203" s="316">
        <f t="shared" si="559"/>
        <v>-1</v>
      </c>
      <c r="CL203" s="316">
        <f t="shared" si="559"/>
        <v>0</v>
      </c>
      <c r="CM203" s="316">
        <f t="shared" si="560"/>
        <v>-1</v>
      </c>
      <c r="CN203" s="316">
        <f t="shared" si="560"/>
        <v>-1</v>
      </c>
      <c r="CO203" s="316">
        <f t="shared" si="560"/>
        <v>0</v>
      </c>
      <c r="CP203" s="316">
        <f t="shared" si="560"/>
        <v>-1</v>
      </c>
      <c r="CQ203" s="316">
        <f t="shared" si="560"/>
        <v>-1</v>
      </c>
      <c r="CR203" s="316">
        <f t="shared" si="560"/>
        <v>-1</v>
      </c>
      <c r="CS203" s="316">
        <f t="shared" si="560"/>
        <v>-1</v>
      </c>
      <c r="CT203" s="348"/>
      <c r="CU203" s="67">
        <f>'MONTHLY SUMMARIES'!J147</f>
        <v>0</v>
      </c>
    </row>
    <row r="204" spans="1:99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561">SUM(D195:D203)</f>
        <v>2608</v>
      </c>
      <c r="E204" s="118">
        <f t="shared" si="561"/>
        <v>3871</v>
      </c>
      <c r="F204" s="118">
        <f t="shared" si="561"/>
        <v>4103</v>
      </c>
      <c r="G204" s="118">
        <f t="shared" si="561"/>
        <v>3962</v>
      </c>
      <c r="H204" s="119">
        <f t="shared" si="561"/>
        <v>3795</v>
      </c>
      <c r="I204" s="118">
        <f t="shared" si="561"/>
        <v>3566</v>
      </c>
      <c r="J204" s="119">
        <f t="shared" si="561"/>
        <v>3381</v>
      </c>
      <c r="K204" s="118">
        <f t="shared" si="561"/>
        <v>2715</v>
      </c>
      <c r="L204" s="120">
        <f t="shared" si="561"/>
        <v>1995</v>
      </c>
      <c r="M204" s="119">
        <f t="shared" si="561"/>
        <v>1353</v>
      </c>
      <c r="N204" s="119">
        <f t="shared" si="561"/>
        <v>1244</v>
      </c>
      <c r="O204" s="119">
        <f t="shared" si="561"/>
        <v>1148</v>
      </c>
      <c r="P204" s="119">
        <f t="shared" si="561"/>
        <v>943</v>
      </c>
      <c r="Q204" s="119">
        <f t="shared" si="561"/>
        <v>798</v>
      </c>
      <c r="R204" s="119">
        <f t="shared" si="561"/>
        <v>836</v>
      </c>
      <c r="S204" s="119">
        <f t="shared" si="561"/>
        <v>759</v>
      </c>
      <c r="T204" s="119">
        <f t="shared" si="561"/>
        <v>710</v>
      </c>
      <c r="U204" s="119">
        <f t="shared" si="561"/>
        <v>744</v>
      </c>
      <c r="V204" s="119">
        <f t="shared" si="561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119">
        <f t="shared" ref="BI204" si="562">SUM(BI195:BI203)</f>
        <v>-763</v>
      </c>
      <c r="BJ204" s="119">
        <f t="shared" ref="BJ204:BL204" si="563">SUM(BJ195:BJ203)</f>
        <v>-1665</v>
      </c>
      <c r="BK204" s="119">
        <f t="shared" si="563"/>
        <v>-3073</v>
      </c>
      <c r="BL204" s="119">
        <f t="shared" si="563"/>
        <v>-3267</v>
      </c>
      <c r="BM204" s="119">
        <f t="shared" ref="BM204:BN204" si="564">SUM(BM195:BM203)</f>
        <v>-3203</v>
      </c>
      <c r="BN204" s="119">
        <f t="shared" si="564"/>
        <v>-3085</v>
      </c>
      <c r="BO204" s="119">
        <f t="shared" ref="BO204:BP204" si="565">SUM(BO195:BO203)</f>
        <v>-2822</v>
      </c>
      <c r="BP204" s="119">
        <f t="shared" si="565"/>
        <v>-2652</v>
      </c>
      <c r="BQ204" s="119">
        <f t="shared" ref="BQ204:BR204" si="566">SUM(BQ195:BQ203)</f>
        <v>-1968</v>
      </c>
      <c r="BR204" s="119">
        <f t="shared" si="566"/>
        <v>-1273</v>
      </c>
      <c r="BS204" s="119">
        <f t="shared" ref="BS204:BT204" si="567">SUM(BS195:BS203)</f>
        <v>-604</v>
      </c>
      <c r="BT204" s="119">
        <f t="shared" si="567"/>
        <v>-416</v>
      </c>
      <c r="BU204" s="119">
        <f t="shared" ref="BU204:BV204" si="568">SUM(BU195:BU203)</f>
        <v>-213</v>
      </c>
      <c r="BV204" s="119">
        <f t="shared" si="568"/>
        <v>132</v>
      </c>
      <c r="BW204" s="119">
        <f t="shared" ref="BW204:BX204" si="569">SUM(BW195:BW203)</f>
        <v>635</v>
      </c>
      <c r="BX204" s="119">
        <f t="shared" si="569"/>
        <v>1283</v>
      </c>
      <c r="BY204" s="119">
        <f t="shared" ref="BY204:BZ204" si="570">SUM(BY195:BY203)</f>
        <v>2730</v>
      </c>
      <c r="BZ204" s="119">
        <f t="shared" si="570"/>
        <v>3307</v>
      </c>
      <c r="CA204" s="206">
        <f t="shared" ref="CA204:CB204" si="571">SUM(CA195:CA203)</f>
        <v>3489</v>
      </c>
      <c r="CB204" s="206">
        <f t="shared" si="571"/>
        <v>3441</v>
      </c>
      <c r="CC204" s="206">
        <f t="shared" ref="CC204:CE204" si="572">SUM(CC195:CC203)</f>
        <v>2983</v>
      </c>
      <c r="CD204" s="206">
        <f t="shared" si="572"/>
        <v>2607</v>
      </c>
      <c r="CE204" s="120">
        <f t="shared" si="572"/>
        <v>1917</v>
      </c>
      <c r="CF204" s="120">
        <f t="shared" ref="CF204:CG204" si="573">SUM(CF195:CF203)</f>
        <v>1681</v>
      </c>
      <c r="CG204" s="120">
        <f t="shared" si="573"/>
        <v>1795</v>
      </c>
      <c r="CH204" s="120">
        <f t="shared" ref="CH204:CI204" si="574">SUM(CH195:CH203)</f>
        <v>1934</v>
      </c>
      <c r="CI204" s="120">
        <f t="shared" si="574"/>
        <v>2070</v>
      </c>
      <c r="CJ204" s="120">
        <f t="shared" ref="CJ204" si="575">SUM(CJ195:CJ203)</f>
        <v>1444</v>
      </c>
      <c r="CK204" s="120">
        <f t="shared" ref="CK204" si="576">SUM(CK195:CK203)</f>
        <v>-182</v>
      </c>
      <c r="CL204" s="120">
        <f t="shared" ref="CL204" si="577">SUM(CL195:CL203)</f>
        <v>-599</v>
      </c>
      <c r="CM204" s="120">
        <f t="shared" ref="CM204" si="578">SUM(CM195:CM203)</f>
        <v>-876</v>
      </c>
      <c r="CN204" s="120">
        <f t="shared" ref="CN204" si="579">SUM(CN195:CN203)</f>
        <v>-910</v>
      </c>
      <c r="CO204" s="120">
        <f t="shared" ref="CO204" si="580">SUM(CO195:CO203)</f>
        <v>-902</v>
      </c>
      <c r="CP204" s="206">
        <f t="shared" ref="CP204" si="581">SUM(CP195:CP203)</f>
        <v>-1034</v>
      </c>
      <c r="CQ204" s="206">
        <f t="shared" ref="CQ204:CS204" si="582">SUM(CQ195:CQ203)</f>
        <v>-881</v>
      </c>
      <c r="CR204" s="206">
        <f t="shared" ref="CR204:CS204" si="583">SUM(CR195:CR203)</f>
        <v>-680</v>
      </c>
      <c r="CS204" s="206">
        <f t="shared" si="583"/>
        <v>-731</v>
      </c>
      <c r="CT204" s="349"/>
      <c r="CU204" s="119">
        <f>CU195+CU198+CU201+CU202+CU203</f>
        <v>1999</v>
      </c>
    </row>
    <row r="205" spans="1:99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48"/>
      <c r="CU205" s="81"/>
    </row>
    <row r="206" spans="1:99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31">
        <f t="shared" ref="BI206:CS206" si="584">O206-C206</f>
        <v>-3557028.2200000007</v>
      </c>
      <c r="BJ206" s="232">
        <f t="shared" si="584"/>
        <v>741615.52999999933</v>
      </c>
      <c r="BK206" s="232">
        <f t="shared" si="584"/>
        <v>735434.91999999993</v>
      </c>
      <c r="BL206" s="232">
        <f t="shared" si="584"/>
        <v>-493104.95999999996</v>
      </c>
      <c r="BM206" s="232">
        <f t="shared" si="584"/>
        <v>-1006482.0499999998</v>
      </c>
      <c r="BN206" s="232">
        <f t="shared" si="584"/>
        <v>-341880.52</v>
      </c>
      <c r="BO206" s="232">
        <f t="shared" si="584"/>
        <v>-72692.799999999814</v>
      </c>
      <c r="BP206" s="232">
        <f t="shared" si="584"/>
        <v>-619554.79</v>
      </c>
      <c r="BQ206" s="232">
        <f t="shared" si="584"/>
        <v>19621.669999999925</v>
      </c>
      <c r="BR206" s="232">
        <f t="shared" si="584"/>
        <v>-581818.6400000006</v>
      </c>
      <c r="BS206" s="232">
        <f t="shared" si="584"/>
        <v>1674947.4399999995</v>
      </c>
      <c r="BT206" s="232">
        <f t="shared" si="584"/>
        <v>3855878.3699999992</v>
      </c>
      <c r="BU206" s="232">
        <f t="shared" si="584"/>
        <v>3536626.9800000004</v>
      </c>
      <c r="BV206" s="232">
        <f t="shared" si="584"/>
        <v>-2358517.75</v>
      </c>
      <c r="BW206" s="232">
        <f t="shared" si="584"/>
        <v>-1333818</v>
      </c>
      <c r="BX206" s="232">
        <f t="shared" si="584"/>
        <v>149882</v>
      </c>
      <c r="BY206" s="232">
        <f t="shared" si="584"/>
        <v>109716</v>
      </c>
      <c r="BZ206" s="232">
        <f t="shared" si="584"/>
        <v>380303</v>
      </c>
      <c r="CA206" s="282">
        <f t="shared" si="584"/>
        <v>306954</v>
      </c>
      <c r="CB206" s="282">
        <f t="shared" si="584"/>
        <v>-313691</v>
      </c>
      <c r="CC206" s="282">
        <f t="shared" si="584"/>
        <v>981520</v>
      </c>
      <c r="CD206" s="282">
        <f t="shared" si="584"/>
        <v>3202050</v>
      </c>
      <c r="CE206" s="312">
        <f t="shared" si="584"/>
        <v>3883494</v>
      </c>
      <c r="CF206" s="312">
        <f t="shared" si="584"/>
        <v>2407632</v>
      </c>
      <c r="CG206" s="312">
        <f t="shared" si="584"/>
        <v>3479973</v>
      </c>
      <c r="CH206" s="312">
        <f t="shared" si="584"/>
        <v>3649142</v>
      </c>
      <c r="CI206" s="312">
        <f t="shared" si="584"/>
        <v>3358080</v>
      </c>
      <c r="CJ206" s="312">
        <f t="shared" si="584"/>
        <v>2003447</v>
      </c>
      <c r="CK206" s="312">
        <f t="shared" si="584"/>
        <v>1903838</v>
      </c>
      <c r="CL206" s="312">
        <f t="shared" si="584"/>
        <v>1703053</v>
      </c>
      <c r="CM206" s="312">
        <f t="shared" si="584"/>
        <v>1808224</v>
      </c>
      <c r="CN206" s="312">
        <f t="shared" si="584"/>
        <v>2545147</v>
      </c>
      <c r="CO206" s="312">
        <f t="shared" si="584"/>
        <v>1276097</v>
      </c>
      <c r="CP206" s="312">
        <f t="shared" si="584"/>
        <v>4346174</v>
      </c>
      <c r="CQ206" s="312">
        <f t="shared" si="584"/>
        <v>2462412</v>
      </c>
      <c r="CR206" s="312">
        <f t="shared" si="584"/>
        <v>-310987</v>
      </c>
      <c r="CS206" s="312">
        <f t="shared" si="584"/>
        <v>-18306268</v>
      </c>
      <c r="CT206" s="348"/>
      <c r="CU206" s="67">
        <f>'MONTHLY SUMMARIES'!J150</f>
        <v>0</v>
      </c>
    </row>
    <row r="207" spans="1:99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48"/>
      <c r="CU207" s="81">
        <f>CU206-CU208</f>
        <v>-320430</v>
      </c>
    </row>
    <row r="208" spans="1:99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48"/>
      <c r="CU208" s="67">
        <f>GETPIVOTDATA("VALUE",'CRS ESCO pvt'!$I$2,"DATE_FILE",$CU$8,"COMPANY",$CU$6,"TRIM_CAT","Resdiential-ESCO","TRIM_LINE",A205)</f>
        <v>320430</v>
      </c>
    </row>
    <row r="209" spans="1:99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31">
        <f t="shared" ref="BI209:CS209" si="585">O209-C209</f>
        <v>-290262.6399999999</v>
      </c>
      <c r="BJ209" s="232">
        <f t="shared" si="585"/>
        <v>-164495.85999999999</v>
      </c>
      <c r="BK209" s="232">
        <f t="shared" si="585"/>
        <v>-15023.159999999974</v>
      </c>
      <c r="BL209" s="232">
        <f t="shared" si="585"/>
        <v>-68947.099999999977</v>
      </c>
      <c r="BM209" s="232">
        <f t="shared" si="585"/>
        <v>-18635.309999999998</v>
      </c>
      <c r="BN209" s="232">
        <f t="shared" si="585"/>
        <v>-41726.51999999999</v>
      </c>
      <c r="BO209" s="232">
        <f t="shared" si="585"/>
        <v>-40065.890000000014</v>
      </c>
      <c r="BP209" s="232">
        <f t="shared" si="585"/>
        <v>-27677.669999999984</v>
      </c>
      <c r="BQ209" s="232">
        <f t="shared" si="585"/>
        <v>4528.859999999986</v>
      </c>
      <c r="BR209" s="232">
        <f t="shared" si="585"/>
        <v>-122741.93999999994</v>
      </c>
      <c r="BS209" s="232">
        <f t="shared" si="585"/>
        <v>208873.43000000005</v>
      </c>
      <c r="BT209" s="232">
        <f t="shared" si="585"/>
        <v>336721.55000000005</v>
      </c>
      <c r="BU209" s="232">
        <f t="shared" si="585"/>
        <v>359920.93999999994</v>
      </c>
      <c r="BV209" s="232">
        <f t="shared" si="585"/>
        <v>226084.41000000003</v>
      </c>
      <c r="BW209" s="232">
        <f t="shared" si="585"/>
        <v>130300</v>
      </c>
      <c r="BX209" s="232">
        <f t="shared" si="585"/>
        <v>156779</v>
      </c>
      <c r="BY209" s="232">
        <f t="shared" si="585"/>
        <v>44645</v>
      </c>
      <c r="BZ209" s="232">
        <f t="shared" si="585"/>
        <v>47296</v>
      </c>
      <c r="CA209" s="282">
        <f t="shared" si="585"/>
        <v>64311</v>
      </c>
      <c r="CB209" s="282">
        <f t="shared" si="585"/>
        <v>74190</v>
      </c>
      <c r="CC209" s="282">
        <f t="shared" si="585"/>
        <v>32361</v>
      </c>
      <c r="CD209" s="282">
        <f t="shared" si="585"/>
        <v>50288</v>
      </c>
      <c r="CE209" s="312">
        <f t="shared" si="585"/>
        <v>198505</v>
      </c>
      <c r="CF209" s="312">
        <f t="shared" si="585"/>
        <v>259847</v>
      </c>
      <c r="CG209" s="312">
        <f t="shared" si="585"/>
        <v>261000</v>
      </c>
      <c r="CH209" s="312">
        <f t="shared" si="585"/>
        <v>226816</v>
      </c>
      <c r="CI209" s="312">
        <f t="shared" si="585"/>
        <v>149403</v>
      </c>
      <c r="CJ209" s="312">
        <f t="shared" si="585"/>
        <v>76900</v>
      </c>
      <c r="CK209" s="312">
        <f t="shared" si="585"/>
        <v>155642</v>
      </c>
      <c r="CL209" s="312">
        <f t="shared" si="585"/>
        <v>130402</v>
      </c>
      <c r="CM209" s="312">
        <f t="shared" si="585"/>
        <v>105972</v>
      </c>
      <c r="CN209" s="312">
        <f t="shared" si="585"/>
        <v>143736</v>
      </c>
      <c r="CO209" s="312">
        <f t="shared" si="585"/>
        <v>200159</v>
      </c>
      <c r="CP209" s="312">
        <f t="shared" si="585"/>
        <v>857333</v>
      </c>
      <c r="CQ209" s="312">
        <f t="shared" si="585"/>
        <v>863510</v>
      </c>
      <c r="CR209" s="312">
        <f t="shared" si="585"/>
        <v>304630</v>
      </c>
      <c r="CS209" s="312">
        <f t="shared" si="585"/>
        <v>-1409017</v>
      </c>
      <c r="CT209" s="348"/>
      <c r="CU209" s="67">
        <f>'MONTHLY SUMMARIES'!J151</f>
        <v>0</v>
      </c>
    </row>
    <row r="210" spans="1:99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48"/>
      <c r="CU210" s="81">
        <f>CU209-CU211</f>
        <v>-34091</v>
      </c>
    </row>
    <row r="211" spans="1:99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48"/>
      <c r="CU211" s="67">
        <f>GETPIVOTDATA("VALUE",'CRS ESCO pvt'!$I$2,"DATE_FILE",$CU$8,"COMPANY",$CU$6,"TRIM_CAT","Low Income Resdiential-ESCO","TRIM_LINE",A205)</f>
        <v>34091</v>
      </c>
    </row>
    <row r="212" spans="1:99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31">
        <f t="shared" ref="BI212:BR214" si="586">O212-C212</f>
        <v>-1452239.2799999998</v>
      </c>
      <c r="BJ212" s="232">
        <f t="shared" si="586"/>
        <v>146364.7200000002</v>
      </c>
      <c r="BK212" s="232">
        <f t="shared" si="586"/>
        <v>280059.19999999995</v>
      </c>
      <c r="BL212" s="232">
        <f t="shared" si="586"/>
        <v>-278600.93999999994</v>
      </c>
      <c r="BM212" s="232">
        <f t="shared" si="586"/>
        <v>-267512.49</v>
      </c>
      <c r="BN212" s="232">
        <f t="shared" si="586"/>
        <v>-190066.18000000005</v>
      </c>
      <c r="BO212" s="232">
        <f t="shared" si="586"/>
        <v>-163443.12</v>
      </c>
      <c r="BP212" s="232">
        <f t="shared" si="586"/>
        <v>-186872.86</v>
      </c>
      <c r="BQ212" s="232">
        <f t="shared" si="586"/>
        <v>-305530.21999999997</v>
      </c>
      <c r="BR212" s="232">
        <f t="shared" si="586"/>
        <v>-786801.25999999978</v>
      </c>
      <c r="BS212" s="232">
        <f t="shared" ref="BS212:CB214" si="587">Y212-M212</f>
        <v>871992.44000000041</v>
      </c>
      <c r="BT212" s="232">
        <f t="shared" si="587"/>
        <v>1226820.3899999997</v>
      </c>
      <c r="BU212" s="232">
        <f t="shared" si="587"/>
        <v>804054.43000000017</v>
      </c>
      <c r="BV212" s="232">
        <f t="shared" si="587"/>
        <v>-866957.27</v>
      </c>
      <c r="BW212" s="232">
        <f t="shared" si="587"/>
        <v>-540073</v>
      </c>
      <c r="BX212" s="232">
        <f t="shared" si="587"/>
        <v>8463</v>
      </c>
      <c r="BY212" s="232">
        <f t="shared" si="587"/>
        <v>130843</v>
      </c>
      <c r="BZ212" s="232">
        <f t="shared" si="587"/>
        <v>50022</v>
      </c>
      <c r="CA212" s="282">
        <f t="shared" si="587"/>
        <v>171197</v>
      </c>
      <c r="CB212" s="282">
        <f t="shared" si="587"/>
        <v>140912</v>
      </c>
      <c r="CC212" s="282">
        <f t="shared" ref="CC212:CL214" si="588">AI212-W212</f>
        <v>214616</v>
      </c>
      <c r="CD212" s="282">
        <f t="shared" si="588"/>
        <v>1183591</v>
      </c>
      <c r="CE212" s="312">
        <f t="shared" si="588"/>
        <v>1263497</v>
      </c>
      <c r="CF212" s="312">
        <f t="shared" si="588"/>
        <v>577575</v>
      </c>
      <c r="CG212" s="312">
        <f t="shared" si="588"/>
        <v>1192854</v>
      </c>
      <c r="CH212" s="312">
        <f t="shared" si="588"/>
        <v>1074567</v>
      </c>
      <c r="CI212" s="312">
        <f t="shared" si="588"/>
        <v>777114</v>
      </c>
      <c r="CJ212" s="312">
        <f t="shared" si="588"/>
        <v>704351</v>
      </c>
      <c r="CK212" s="312">
        <f t="shared" si="588"/>
        <v>599675</v>
      </c>
      <c r="CL212" s="312">
        <f t="shared" si="588"/>
        <v>429226</v>
      </c>
      <c r="CM212" s="312">
        <f t="shared" ref="CM212:CS214" si="589">AS212-AG212</f>
        <v>438145</v>
      </c>
      <c r="CN212" s="312">
        <f t="shared" si="589"/>
        <v>674217</v>
      </c>
      <c r="CO212" s="312">
        <f t="shared" si="589"/>
        <v>623180</v>
      </c>
      <c r="CP212" s="312">
        <f t="shared" si="589"/>
        <v>1570399</v>
      </c>
      <c r="CQ212" s="312">
        <f t="shared" si="589"/>
        <v>-351746</v>
      </c>
      <c r="CR212" s="312">
        <f t="shared" si="589"/>
        <v>-538100</v>
      </c>
      <c r="CS212" s="312">
        <f t="shared" si="589"/>
        <v>376976</v>
      </c>
      <c r="CT212" s="348"/>
      <c r="CU212" s="67">
        <f>'MONTHLY SUMMARIES'!J152</f>
        <v>5965188</v>
      </c>
    </row>
    <row r="213" spans="1:99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31">
        <f t="shared" si="586"/>
        <v>-903973.32000000007</v>
      </c>
      <c r="BJ213" s="232">
        <f t="shared" si="586"/>
        <v>-138101.04000000004</v>
      </c>
      <c r="BK213" s="232">
        <f t="shared" si="586"/>
        <v>133439.55000000005</v>
      </c>
      <c r="BL213" s="232">
        <f t="shared" si="586"/>
        <v>-130801.37</v>
      </c>
      <c r="BM213" s="232">
        <f t="shared" si="586"/>
        <v>-191028.22999999998</v>
      </c>
      <c r="BN213" s="232">
        <f t="shared" si="586"/>
        <v>-107328.77000000002</v>
      </c>
      <c r="BO213" s="232">
        <f t="shared" si="586"/>
        <v>-46012.859999999986</v>
      </c>
      <c r="BP213" s="232">
        <f t="shared" si="586"/>
        <v>4009.0999999999767</v>
      </c>
      <c r="BQ213" s="232">
        <f t="shared" si="586"/>
        <v>-241226.31000000006</v>
      </c>
      <c r="BR213" s="232">
        <f t="shared" si="586"/>
        <v>-383887.66999999993</v>
      </c>
      <c r="BS213" s="232">
        <f t="shared" si="587"/>
        <v>214950.6399999999</v>
      </c>
      <c r="BT213" s="232">
        <f t="shared" si="587"/>
        <v>406815.89999999991</v>
      </c>
      <c r="BU213" s="232">
        <f t="shared" si="587"/>
        <v>352292.24</v>
      </c>
      <c r="BV213" s="232">
        <f t="shared" si="587"/>
        <v>-389534.68999999994</v>
      </c>
      <c r="BW213" s="232">
        <f t="shared" si="587"/>
        <v>-251227</v>
      </c>
      <c r="BX213" s="232">
        <f t="shared" si="587"/>
        <v>1429</v>
      </c>
      <c r="BY213" s="232">
        <f t="shared" si="587"/>
        <v>65965</v>
      </c>
      <c r="BZ213" s="232">
        <f t="shared" si="587"/>
        <v>33206</v>
      </c>
      <c r="CA213" s="282">
        <f t="shared" si="587"/>
        <v>40172</v>
      </c>
      <c r="CB213" s="282">
        <f t="shared" si="587"/>
        <v>-77468</v>
      </c>
      <c r="CC213" s="282">
        <f t="shared" si="588"/>
        <v>73871</v>
      </c>
      <c r="CD213" s="282">
        <f t="shared" si="588"/>
        <v>673954</v>
      </c>
      <c r="CE213" s="312">
        <f t="shared" si="588"/>
        <v>773366</v>
      </c>
      <c r="CF213" s="312">
        <f t="shared" si="588"/>
        <v>438115</v>
      </c>
      <c r="CG213" s="312">
        <f t="shared" si="588"/>
        <v>402006</v>
      </c>
      <c r="CH213" s="312">
        <f t="shared" si="588"/>
        <v>639737</v>
      </c>
      <c r="CI213" s="312">
        <f t="shared" si="588"/>
        <v>419371</v>
      </c>
      <c r="CJ213" s="312">
        <f t="shared" si="588"/>
        <v>207408</v>
      </c>
      <c r="CK213" s="312">
        <f t="shared" si="588"/>
        <v>137472</v>
      </c>
      <c r="CL213" s="312">
        <f t="shared" si="588"/>
        <v>155923</v>
      </c>
      <c r="CM213" s="312">
        <f t="shared" si="589"/>
        <v>238871</v>
      </c>
      <c r="CN213" s="312">
        <f t="shared" si="589"/>
        <v>354701</v>
      </c>
      <c r="CO213" s="312">
        <f t="shared" si="589"/>
        <v>377147</v>
      </c>
      <c r="CP213" s="312">
        <f t="shared" si="589"/>
        <v>448536</v>
      </c>
      <c r="CQ213" s="312">
        <f t="shared" si="589"/>
        <v>-398561</v>
      </c>
      <c r="CR213" s="312">
        <f t="shared" si="589"/>
        <v>-427025</v>
      </c>
      <c r="CS213" s="312">
        <f t="shared" si="589"/>
        <v>373382</v>
      </c>
      <c r="CT213" s="348"/>
      <c r="CU213" s="67">
        <f>'MONTHLY SUMMARIES'!J153</f>
        <v>2703542</v>
      </c>
    </row>
    <row r="214" spans="1:99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31">
        <f t="shared" si="586"/>
        <v>-37369.70000000007</v>
      </c>
      <c r="BJ214" s="232">
        <f t="shared" si="586"/>
        <v>-212148.23999999987</v>
      </c>
      <c r="BK214" s="232">
        <f t="shared" si="586"/>
        <v>318580.81</v>
      </c>
      <c r="BL214" s="232">
        <f t="shared" si="586"/>
        <v>-194105.76</v>
      </c>
      <c r="BM214" s="232">
        <f t="shared" si="586"/>
        <v>-301217.43</v>
      </c>
      <c r="BN214" s="232">
        <f t="shared" si="586"/>
        <v>-69903.950000000012</v>
      </c>
      <c r="BO214" s="232">
        <f t="shared" si="586"/>
        <v>12667.400000000023</v>
      </c>
      <c r="BP214" s="232">
        <f t="shared" si="586"/>
        <v>-181319.43999999994</v>
      </c>
      <c r="BQ214" s="232">
        <f t="shared" si="586"/>
        <v>130316.43999999994</v>
      </c>
      <c r="BR214" s="232">
        <f t="shared" si="586"/>
        <v>-144780.32000000007</v>
      </c>
      <c r="BS214" s="232">
        <f t="shared" si="587"/>
        <v>14358.800000000047</v>
      </c>
      <c r="BT214" s="232">
        <f t="shared" si="587"/>
        <v>184097.34999999998</v>
      </c>
      <c r="BU214" s="232">
        <f t="shared" si="587"/>
        <v>-74192.189999999944</v>
      </c>
      <c r="BV214" s="232">
        <f t="shared" si="587"/>
        <v>-405311.65</v>
      </c>
      <c r="BW214" s="232">
        <f t="shared" si="587"/>
        <v>-227070</v>
      </c>
      <c r="BX214" s="232">
        <f t="shared" si="587"/>
        <v>98264</v>
      </c>
      <c r="BY214" s="232">
        <f t="shared" si="587"/>
        <v>358345</v>
      </c>
      <c r="BZ214" s="232">
        <f t="shared" si="587"/>
        <v>72457</v>
      </c>
      <c r="CA214" s="282">
        <f t="shared" si="587"/>
        <v>121160</v>
      </c>
      <c r="CB214" s="282">
        <f t="shared" si="587"/>
        <v>109666</v>
      </c>
      <c r="CC214" s="282">
        <f t="shared" si="588"/>
        <v>-32743</v>
      </c>
      <c r="CD214" s="282">
        <f t="shared" si="588"/>
        <v>496693</v>
      </c>
      <c r="CE214" s="312">
        <f t="shared" si="588"/>
        <v>422251</v>
      </c>
      <c r="CF214" s="312">
        <f t="shared" si="588"/>
        <v>188468</v>
      </c>
      <c r="CG214" s="312">
        <f t="shared" si="588"/>
        <v>120981</v>
      </c>
      <c r="CH214" s="312">
        <f t="shared" si="588"/>
        <v>597935</v>
      </c>
      <c r="CI214" s="312">
        <f t="shared" si="588"/>
        <v>187749</v>
      </c>
      <c r="CJ214" s="312">
        <f t="shared" si="588"/>
        <v>465749</v>
      </c>
      <c r="CK214" s="312">
        <f t="shared" si="588"/>
        <v>266511</v>
      </c>
      <c r="CL214" s="312">
        <f t="shared" si="588"/>
        <v>195335</v>
      </c>
      <c r="CM214" s="312">
        <f t="shared" si="589"/>
        <v>490722</v>
      </c>
      <c r="CN214" s="312">
        <f t="shared" si="589"/>
        <v>229307</v>
      </c>
      <c r="CO214" s="312">
        <f t="shared" si="589"/>
        <v>1125430</v>
      </c>
      <c r="CP214" s="312">
        <f t="shared" si="589"/>
        <v>531008</v>
      </c>
      <c r="CQ214" s="312">
        <f t="shared" si="589"/>
        <v>439700</v>
      </c>
      <c r="CR214" s="312">
        <f t="shared" si="589"/>
        <v>637067</v>
      </c>
      <c r="CS214" s="312">
        <f t="shared" si="589"/>
        <v>96748</v>
      </c>
      <c r="CT214" s="348"/>
      <c r="CU214" s="67">
        <f>'MONTHLY SUMMARIES'!J154</f>
        <v>1154094</v>
      </c>
    </row>
    <row r="215" spans="1:99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590">SUM(D206:D214)</f>
        <v>17914230.84</v>
      </c>
      <c r="E215" s="227">
        <f t="shared" si="590"/>
        <v>9714805.6799999997</v>
      </c>
      <c r="F215" s="228">
        <f t="shared" si="590"/>
        <v>7572441.1299999999</v>
      </c>
      <c r="G215" s="227">
        <f t="shared" si="590"/>
        <v>6409376.5099999998</v>
      </c>
      <c r="H215" s="228">
        <f t="shared" si="590"/>
        <v>5340237.9400000004</v>
      </c>
      <c r="I215" s="227">
        <f t="shared" si="590"/>
        <v>5411729.2699999996</v>
      </c>
      <c r="J215" s="228">
        <f t="shared" si="590"/>
        <v>6700416.6600000001</v>
      </c>
      <c r="K215" s="227">
        <f t="shared" si="590"/>
        <v>9739791.5600000005</v>
      </c>
      <c r="L215" s="229">
        <f t="shared" si="590"/>
        <v>20824111.829999998</v>
      </c>
      <c r="M215" s="228">
        <f t="shared" si="590"/>
        <v>21155492.25</v>
      </c>
      <c r="N215" s="228">
        <f t="shared" si="590"/>
        <v>21971456.440000001</v>
      </c>
      <c r="O215" s="228">
        <f t="shared" si="590"/>
        <v>18255486.600000001</v>
      </c>
      <c r="P215" s="228">
        <f t="shared" si="590"/>
        <v>18287465.949999999</v>
      </c>
      <c r="Q215" s="228">
        <f t="shared" si="590"/>
        <v>11167297</v>
      </c>
      <c r="R215" s="228">
        <f t="shared" si="590"/>
        <v>6406881</v>
      </c>
      <c r="S215" s="228">
        <f t="shared" si="590"/>
        <v>4624501</v>
      </c>
      <c r="T215" s="228">
        <f t="shared" si="590"/>
        <v>4589332</v>
      </c>
      <c r="U215" s="228">
        <f t="shared" si="590"/>
        <v>5102182</v>
      </c>
      <c r="V215" s="228">
        <f t="shared" si="590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33">
        <f t="shared" si="590"/>
        <v>-6240873.1600000011</v>
      </c>
      <c r="BJ215" s="234">
        <f t="shared" si="590"/>
        <v>373235.10999999964</v>
      </c>
      <c r="BK215" s="234">
        <f t="shared" si="590"/>
        <v>1452491.32</v>
      </c>
      <c r="BL215" s="234">
        <f t="shared" si="590"/>
        <v>-1165560.1299999999</v>
      </c>
      <c r="BM215" s="234">
        <f t="shared" ref="BM215:BN215" si="591">SUM(BM206:BM214)</f>
        <v>-1784875.5099999998</v>
      </c>
      <c r="BN215" s="234">
        <f t="shared" si="591"/>
        <v>-750905.94000000018</v>
      </c>
      <c r="BO215" s="234">
        <f t="shared" ref="BO215:BP215" si="592">SUM(BO206:BO214)</f>
        <v>-309547.26999999979</v>
      </c>
      <c r="BP215" s="234">
        <f t="shared" si="592"/>
        <v>-1011415.6599999999</v>
      </c>
      <c r="BQ215" s="234">
        <f t="shared" ref="BQ215:BR215" si="593">SUM(BQ206:BQ214)</f>
        <v>-392289.56000000017</v>
      </c>
      <c r="BR215" s="234">
        <f t="shared" si="593"/>
        <v>-2020029.8300000003</v>
      </c>
      <c r="BS215" s="234">
        <f t="shared" ref="BS215:BT215" si="594">SUM(BS206:BS214)</f>
        <v>2985122.75</v>
      </c>
      <c r="BT215" s="234">
        <f t="shared" si="594"/>
        <v>6010333.5599999987</v>
      </c>
      <c r="BU215" s="234">
        <f t="shared" ref="BU215:BV215" si="595">SUM(BU206:BU214)</f>
        <v>4978702.4000000004</v>
      </c>
      <c r="BV215" s="234">
        <f t="shared" si="595"/>
        <v>-3794236.9499999997</v>
      </c>
      <c r="BW215" s="234">
        <f t="shared" ref="BW215:BX215" si="596">SUM(BW206:BW214)</f>
        <v>-2221888</v>
      </c>
      <c r="BX215" s="234">
        <f t="shared" si="596"/>
        <v>414817</v>
      </c>
      <c r="BY215" s="234">
        <f t="shared" ref="BY215:BZ215" si="597">SUM(BY206:BY214)</f>
        <v>709514</v>
      </c>
      <c r="BZ215" s="234">
        <f t="shared" si="597"/>
        <v>583284</v>
      </c>
      <c r="CA215" s="283">
        <f t="shared" ref="CA215:CB215" si="598">SUM(CA206:CA214)</f>
        <v>703794</v>
      </c>
      <c r="CB215" s="283">
        <f t="shared" si="598"/>
        <v>-66391</v>
      </c>
      <c r="CC215" s="283">
        <f t="shared" ref="CC215:CE215" si="599">SUM(CC206:CC214)</f>
        <v>1269625</v>
      </c>
      <c r="CD215" s="283">
        <f t="shared" si="599"/>
        <v>5606576</v>
      </c>
      <c r="CE215" s="313">
        <f t="shared" si="599"/>
        <v>6541113</v>
      </c>
      <c r="CF215" s="313">
        <f t="shared" ref="CF215:CG215" si="600">SUM(CF206:CF214)</f>
        <v>3871637</v>
      </c>
      <c r="CG215" s="313">
        <f t="shared" si="600"/>
        <v>5456814</v>
      </c>
      <c r="CH215" s="313">
        <f t="shared" ref="CH215:CI215" si="601">SUM(CH206:CH214)</f>
        <v>6188197</v>
      </c>
      <c r="CI215" s="313">
        <f t="shared" si="601"/>
        <v>4891717</v>
      </c>
      <c r="CJ215" s="313">
        <f t="shared" ref="CJ215" si="602">SUM(CJ206:CJ214)</f>
        <v>3457855</v>
      </c>
      <c r="CK215" s="313">
        <f t="shared" ref="CK215" si="603">SUM(CK206:CK214)</f>
        <v>3063138</v>
      </c>
      <c r="CL215" s="313">
        <f t="shared" ref="CL215" si="604">SUM(CL206:CL214)</f>
        <v>2613939</v>
      </c>
      <c r="CM215" s="313">
        <f t="shared" ref="CM215" si="605">SUM(CM206:CM214)</f>
        <v>3081934</v>
      </c>
      <c r="CN215" s="313">
        <f t="shared" ref="CN215" si="606">SUM(CN206:CN214)</f>
        <v>3947108</v>
      </c>
      <c r="CO215" s="313">
        <f t="shared" ref="CO215" si="607">SUM(CO206:CO214)</f>
        <v>3602013</v>
      </c>
      <c r="CP215" s="313">
        <f t="shared" ref="CP215" si="608">SUM(CP206:CP214)</f>
        <v>7753450</v>
      </c>
      <c r="CQ215" s="313">
        <f t="shared" ref="CQ215:CS215" si="609">SUM(CQ206:CQ214)</f>
        <v>3015315</v>
      </c>
      <c r="CR215" s="313">
        <f t="shared" ref="CR215:CS215" si="610">SUM(CR206:CR214)</f>
        <v>-334415</v>
      </c>
      <c r="CS215" s="313">
        <f t="shared" si="610"/>
        <v>-18868179</v>
      </c>
      <c r="CT215" s="349"/>
      <c r="CU215" s="262">
        <f>CU206+CU209+CU212+CU213+CU214</f>
        <v>9822824</v>
      </c>
    </row>
    <row r="216" spans="1:99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48"/>
      <c r="CU216" s="93"/>
    </row>
    <row r="217" spans="1:99" s="62" customFormat="1" x14ac:dyDescent="0.3">
      <c r="A217" s="150"/>
      <c r="B217" s="63" t="s">
        <v>37</v>
      </c>
      <c r="C217" s="115"/>
      <c r="D217" s="176">
        <f t="shared" ref="D217:AE217" si="611">(C98+C206+D130-D98-D206)/(C98+C206+D130-D206)</f>
        <v>0.60357559543553274</v>
      </c>
      <c r="E217" s="177">
        <f t="shared" si="611"/>
        <v>0.56188838895537507</v>
      </c>
      <c r="F217" s="177">
        <f t="shared" si="611"/>
        <v>0.42817828045150014</v>
      </c>
      <c r="G217" s="177">
        <f t="shared" si="611"/>
        <v>0.36334852014088931</v>
      </c>
      <c r="H217" s="178">
        <f t="shared" si="611"/>
        <v>0.39914850438071103</v>
      </c>
      <c r="I217" s="177">
        <f t="shared" si="611"/>
        <v>0.37377173038616135</v>
      </c>
      <c r="J217" s="178">
        <f t="shared" si="611"/>
        <v>0.43303613399555324</v>
      </c>
      <c r="K217" s="177">
        <f t="shared" si="611"/>
        <v>0.54910946743988587</v>
      </c>
      <c r="L217" s="179">
        <f t="shared" si="611"/>
        <v>0.68143778821808643</v>
      </c>
      <c r="M217" s="178">
        <f t="shared" si="611"/>
        <v>0.74676491235559073</v>
      </c>
      <c r="N217" s="178">
        <f t="shared" si="611"/>
        <v>0.68477967284155916</v>
      </c>
      <c r="O217" s="178">
        <f t="shared" si="611"/>
        <v>0.65939896446836366</v>
      </c>
      <c r="P217" s="178">
        <f t="shared" si="611"/>
        <v>0.58780681503457832</v>
      </c>
      <c r="Q217" s="178">
        <f t="shared" si="611"/>
        <v>0.56611028854638368</v>
      </c>
      <c r="R217" s="178">
        <f t="shared" si="611"/>
        <v>0.39197145928439486</v>
      </c>
      <c r="S217" s="178">
        <f t="shared" si="611"/>
        <v>0.35313914950685948</v>
      </c>
      <c r="T217" s="178">
        <f t="shared" si="611"/>
        <v>0.27080718276645127</v>
      </c>
      <c r="U217" s="178">
        <f t="shared" si="611"/>
        <v>0.2812655766754722</v>
      </c>
      <c r="V217" s="178">
        <f t="shared" si="611"/>
        <v>0.32014682836870256</v>
      </c>
      <c r="W217" s="178">
        <f t="shared" si="611"/>
        <v>0.41849963048474392</v>
      </c>
      <c r="X217" s="179">
        <f t="shared" si="611"/>
        <v>0.57136626222200737</v>
      </c>
      <c r="Y217" s="178">
        <f t="shared" si="611"/>
        <v>0.68672811631749286</v>
      </c>
      <c r="Z217" s="178">
        <f t="shared" si="611"/>
        <v>0.66531389247680839</v>
      </c>
      <c r="AA217" s="178">
        <f t="shared" si="611"/>
        <v>0.66292776222014882</v>
      </c>
      <c r="AB217" s="178">
        <f t="shared" si="611"/>
        <v>0.59002987320461786</v>
      </c>
      <c r="AC217" s="178">
        <f t="shared" si="611"/>
        <v>0.46482401630173253</v>
      </c>
      <c r="AD217" s="178">
        <f t="shared" si="611"/>
        <v>0.34604323441493995</v>
      </c>
      <c r="AE217" s="178">
        <f t="shared" si="611"/>
        <v>0.37740545518017132</v>
      </c>
      <c r="AF217" s="178">
        <f t="shared" ref="AF217:AY217" si="612">(AE98+AE206+AF130-AF98-AF206)/(AE98+AE206+AF130-AF206)</f>
        <v>0.32362841649044777</v>
      </c>
      <c r="AG217" s="178">
        <f t="shared" si="612"/>
        <v>0.32065379644164699</v>
      </c>
      <c r="AH217" s="178">
        <f t="shared" si="612"/>
        <v>0.37257539900543479</v>
      </c>
      <c r="AI217" s="178">
        <f t="shared" si="612"/>
        <v>0.4726172192609992</v>
      </c>
      <c r="AJ217" s="178">
        <f t="shared" si="612"/>
        <v>0.66829794369375539</v>
      </c>
      <c r="AK217" s="178">
        <f t="shared" si="612"/>
        <v>0.72211113410795447</v>
      </c>
      <c r="AL217" s="178">
        <f t="shared" si="612"/>
        <v>0.72934766405884865</v>
      </c>
      <c r="AM217" s="178">
        <f t="shared" si="612"/>
        <v>0.69662156618310922</v>
      </c>
      <c r="AN217" s="178">
        <f t="shared" si="612"/>
        <v>0.64392370975133384</v>
      </c>
      <c r="AO217" s="178">
        <f t="shared" si="612"/>
        <v>0.55599439246659188</v>
      </c>
      <c r="AP217" s="178">
        <f t="shared" si="612"/>
        <v>0.44795687418084762</v>
      </c>
      <c r="AQ217" s="178">
        <f t="shared" si="612"/>
        <v>0.42851750359346513</v>
      </c>
      <c r="AR217" s="178">
        <f t="shared" si="612"/>
        <v>0.37227926128861166</v>
      </c>
      <c r="AS217" s="178">
        <f t="shared" si="612"/>
        <v>0.36905097089495864</v>
      </c>
      <c r="AT217" s="178">
        <f t="shared" si="612"/>
        <v>0.45202796082262553</v>
      </c>
      <c r="AU217" s="178">
        <f t="shared" si="612"/>
        <v>0.51910417312644652</v>
      </c>
      <c r="AV217" s="284">
        <f t="shared" si="612"/>
        <v>0.63204345346612723</v>
      </c>
      <c r="AW217" s="284">
        <f t="shared" si="612"/>
        <v>0.74239134440955035</v>
      </c>
      <c r="AX217" s="284">
        <f t="shared" si="612"/>
        <v>0.71519833994423609</v>
      </c>
      <c r="AY217" s="284">
        <f t="shared" si="612"/>
        <v>0.76093705998846795</v>
      </c>
      <c r="AZ217" s="178"/>
      <c r="BA217" s="178"/>
      <c r="BB217" s="178"/>
      <c r="BC217" s="178"/>
      <c r="BD217" s="178"/>
      <c r="BE217" s="178"/>
      <c r="BF217" s="178"/>
      <c r="BG217" s="178"/>
      <c r="BH217" s="178"/>
      <c r="BI217" s="112"/>
      <c r="BJ217" s="178">
        <f t="shared" ref="BJ217:CE217" si="613">P217-D217</f>
        <v>-1.5768780400954419E-2</v>
      </c>
      <c r="BK217" s="178">
        <f t="shared" si="613"/>
        <v>4.2218995910086043E-3</v>
      </c>
      <c r="BL217" s="178">
        <f t="shared" si="613"/>
        <v>-3.6206821167105274E-2</v>
      </c>
      <c r="BM217" s="178">
        <f t="shared" si="613"/>
        <v>-1.0209370634029824E-2</v>
      </c>
      <c r="BN217" s="178">
        <f t="shared" si="613"/>
        <v>-0.12834132161425976</v>
      </c>
      <c r="BO217" s="178">
        <f t="shared" si="613"/>
        <v>-9.2506153710689154E-2</v>
      </c>
      <c r="BP217" s="178">
        <f t="shared" si="613"/>
        <v>-0.11288930562685068</v>
      </c>
      <c r="BQ217" s="178">
        <f t="shared" si="613"/>
        <v>-0.13060983695514194</v>
      </c>
      <c r="BR217" s="178">
        <f t="shared" si="613"/>
        <v>-0.11007152599607906</v>
      </c>
      <c r="BS217" s="178">
        <f t="shared" si="613"/>
        <v>-6.0036796038097862E-2</v>
      </c>
      <c r="BT217" s="178">
        <f t="shared" si="613"/>
        <v>-1.9465780364750773E-2</v>
      </c>
      <c r="BU217" s="178">
        <f t="shared" si="613"/>
        <v>3.5287977517851621E-3</v>
      </c>
      <c r="BV217" s="178">
        <f t="shared" si="613"/>
        <v>2.223058170039538E-3</v>
      </c>
      <c r="BW217" s="178">
        <f t="shared" si="613"/>
        <v>-0.10128627224465114</v>
      </c>
      <c r="BX217" s="178">
        <f t="shared" si="613"/>
        <v>-4.5928224869454914E-2</v>
      </c>
      <c r="BY217" s="178">
        <f t="shared" si="613"/>
        <v>2.4266305673311839E-2</v>
      </c>
      <c r="BZ217" s="178">
        <f t="shared" si="613"/>
        <v>5.2821233723996497E-2</v>
      </c>
      <c r="CA217" s="284">
        <f t="shared" si="613"/>
        <v>3.9388219766174792E-2</v>
      </c>
      <c r="CB217" s="284">
        <f t="shared" si="613"/>
        <v>5.242857063673223E-2</v>
      </c>
      <c r="CC217" s="284">
        <f t="shared" si="613"/>
        <v>5.4117588776255277E-2</v>
      </c>
      <c r="CD217" s="284">
        <f t="shared" si="613"/>
        <v>9.6931681471748021E-2</v>
      </c>
      <c r="CE217" s="318">
        <f t="shared" si="613"/>
        <v>3.5383017790461602E-2</v>
      </c>
      <c r="CF217" s="318">
        <f t="shared" ref="CF217:CS217" si="614">AL217-Z217</f>
        <v>6.4033771582040266E-2</v>
      </c>
      <c r="CG217" s="318">
        <f t="shared" si="614"/>
        <v>3.36938039629604E-2</v>
      </c>
      <c r="CH217" s="318">
        <f t="shared" si="614"/>
        <v>5.3893836546715979E-2</v>
      </c>
      <c r="CI217" s="318">
        <f t="shared" si="614"/>
        <v>9.1170376164859346E-2</v>
      </c>
      <c r="CJ217" s="318">
        <f t="shared" si="614"/>
        <v>0.10191363976590767</v>
      </c>
      <c r="CK217" s="318">
        <f t="shared" si="614"/>
        <v>5.1112048413293809E-2</v>
      </c>
      <c r="CL217" s="318">
        <f t="shared" si="614"/>
        <v>4.8650844798163895E-2</v>
      </c>
      <c r="CM217" s="318">
        <f t="shared" si="614"/>
        <v>4.8397174453311653E-2</v>
      </c>
      <c r="CN217" s="318">
        <f t="shared" si="614"/>
        <v>7.9452561817190737E-2</v>
      </c>
      <c r="CO217" s="318">
        <f t="shared" si="614"/>
        <v>4.6486953865447322E-2</v>
      </c>
      <c r="CP217" s="318">
        <f t="shared" si="614"/>
        <v>-3.6254490227628167E-2</v>
      </c>
      <c r="CQ217" s="318">
        <f t="shared" si="614"/>
        <v>2.028021030159588E-2</v>
      </c>
      <c r="CR217" s="318">
        <f t="shared" si="614"/>
        <v>-1.414932411461256E-2</v>
      </c>
      <c r="CS217" s="318">
        <f t="shared" si="614"/>
        <v>6.4315493805358726E-2</v>
      </c>
      <c r="CT217" s="348"/>
      <c r="CU217" s="67"/>
    </row>
    <row r="218" spans="1:99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15">(W99+W207+X131-X99-X207)/(W99+W207+X131-X207)</f>
        <v>0.56828413408292944</v>
      </c>
      <c r="Y218" s="218">
        <f t="shared" si="615"/>
        <v>0.6840793502387118</v>
      </c>
      <c r="Z218" s="218">
        <f t="shared" si="615"/>
        <v>0.66293777132640141</v>
      </c>
      <c r="AA218" s="218">
        <f t="shared" si="615"/>
        <v>0.66038989956769656</v>
      </c>
      <c r="AB218" s="218">
        <f t="shared" si="615"/>
        <v>0.58699455697204117</v>
      </c>
      <c r="AC218" s="218">
        <f t="shared" si="615"/>
        <v>0.46164297393543186</v>
      </c>
      <c r="AD218" s="218">
        <f t="shared" si="615"/>
        <v>0.34310683775340456</v>
      </c>
      <c r="AE218" s="218">
        <f t="shared" si="615"/>
        <v>0.37556574805696735</v>
      </c>
      <c r="AF218" s="218">
        <f t="shared" ref="AF218:AY218" si="616">(AE99+AE207+AF131-AF99-AF207)/(AE99+AE207+AF131-AF207)</f>
        <v>0.32164850052778782</v>
      </c>
      <c r="AG218" s="218">
        <f t="shared" si="616"/>
        <v>0.3187493987145027</v>
      </c>
      <c r="AH218" s="218">
        <f t="shared" si="616"/>
        <v>0.37032715226365226</v>
      </c>
      <c r="AI218" s="218">
        <f t="shared" si="616"/>
        <v>0.47006435394144003</v>
      </c>
      <c r="AJ218" s="178">
        <f t="shared" si="616"/>
        <v>0.66626816772465081</v>
      </c>
      <c r="AK218" s="178">
        <f t="shared" si="616"/>
        <v>0.72045649881008411</v>
      </c>
      <c r="AL218" s="178">
        <f t="shared" si="616"/>
        <v>0.7273031816095249</v>
      </c>
      <c r="AM218" s="178">
        <f t="shared" si="616"/>
        <v>0.69475568426753764</v>
      </c>
      <c r="AN218" s="178">
        <f t="shared" si="616"/>
        <v>0.64174565573914721</v>
      </c>
      <c r="AO218" s="178">
        <f t="shared" si="616"/>
        <v>0.55408668537153194</v>
      </c>
      <c r="AP218" s="178">
        <f t="shared" si="616"/>
        <v>0.44579206362927648</v>
      </c>
      <c r="AQ218" s="178">
        <f t="shared" si="616"/>
        <v>0.42646816202453419</v>
      </c>
      <c r="AR218" s="178">
        <f t="shared" si="616"/>
        <v>0.3702713686827579</v>
      </c>
      <c r="AS218" s="178">
        <f t="shared" si="616"/>
        <v>0.36636822343182329</v>
      </c>
      <c r="AT218" s="178">
        <f t="shared" si="616"/>
        <v>0.44965789289953223</v>
      </c>
      <c r="AU218" s="178">
        <f t="shared" si="616"/>
        <v>0.5200839379728891</v>
      </c>
      <c r="AV218" s="284">
        <f t="shared" si="616"/>
        <v>0.63292190417831362</v>
      </c>
      <c r="AW218" s="284">
        <f t="shared" si="616"/>
        <v>0.74274154761949207</v>
      </c>
      <c r="AX218" s="284">
        <f t="shared" si="616"/>
        <v>0.7153188002017864</v>
      </c>
      <c r="AY218" s="284">
        <f t="shared" si="616"/>
        <v>0.759780243997626</v>
      </c>
      <c r="AZ218" s="178"/>
      <c r="BA218" s="178"/>
      <c r="BB218" s="178"/>
      <c r="BC218" s="178"/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48"/>
      <c r="CU218" s="67"/>
    </row>
    <row r="219" spans="1:99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15"/>
        <v>0.80413917383188693</v>
      </c>
      <c r="Y219" s="218">
        <f t="shared" si="615"/>
        <v>0.86957414089868401</v>
      </c>
      <c r="Z219" s="218">
        <f t="shared" si="615"/>
        <v>0.83460009072226504</v>
      </c>
      <c r="AA219" s="218">
        <f t="shared" si="615"/>
        <v>0.83956815083342173</v>
      </c>
      <c r="AB219" s="218">
        <f t="shared" si="615"/>
        <v>0.81043038120168454</v>
      </c>
      <c r="AC219" s="218">
        <f t="shared" si="615"/>
        <v>0.73790406627309002</v>
      </c>
      <c r="AD219" s="218">
        <f t="shared" si="615"/>
        <v>0.64597483626728003</v>
      </c>
      <c r="AE219" s="218">
        <f t="shared" si="615"/>
        <v>0.59522705785187713</v>
      </c>
      <c r="AF219" s="218">
        <f t="shared" ref="AF219:AY219" si="617">(AE100+AE208+AF132-AF100-AF208)/(AE100+AE208+AF132-AF208)</f>
        <v>0.55953176097682378</v>
      </c>
      <c r="AG219" s="218">
        <f t="shared" si="617"/>
        <v>0.54494178807821825</v>
      </c>
      <c r="AH219" s="218">
        <f t="shared" si="617"/>
        <v>0.61740283872777313</v>
      </c>
      <c r="AI219" s="218">
        <f t="shared" si="617"/>
        <v>0.71114520779873547</v>
      </c>
      <c r="AJ219" s="178">
        <f t="shared" si="617"/>
        <v>0.8370877297604048</v>
      </c>
      <c r="AK219" s="178">
        <f t="shared" si="617"/>
        <v>0.84783290959466917</v>
      </c>
      <c r="AL219" s="178">
        <f t="shared" si="617"/>
        <v>0.8692284973583172</v>
      </c>
      <c r="AM219" s="178">
        <f t="shared" si="617"/>
        <v>0.83741313657323035</v>
      </c>
      <c r="AN219" s="178">
        <f t="shared" si="617"/>
        <v>0.81896188862176333</v>
      </c>
      <c r="AO219" s="178">
        <f t="shared" si="617"/>
        <v>0.73570610184528451</v>
      </c>
      <c r="AP219" s="178">
        <f t="shared" si="617"/>
        <v>0.67247062539915803</v>
      </c>
      <c r="AQ219" s="178">
        <f t="shared" si="617"/>
        <v>0.68811188140647628</v>
      </c>
      <c r="AR219" s="178">
        <f t="shared" si="617"/>
        <v>0.65603825222561263</v>
      </c>
      <c r="AS219" s="178">
        <f t="shared" si="617"/>
        <v>0.75406893092387506</v>
      </c>
      <c r="AT219" s="178">
        <f t="shared" si="617"/>
        <v>0.78521288623290142</v>
      </c>
      <c r="AU219" s="178">
        <f t="shared" si="617"/>
        <v>-0.31664648095814829</v>
      </c>
      <c r="AV219" s="284">
        <f t="shared" si="617"/>
        <v>2.9603260969806519E-2</v>
      </c>
      <c r="AW219" s="284">
        <f t="shared" si="617"/>
        <v>0.63705737926669292</v>
      </c>
      <c r="AX219" s="284">
        <f t="shared" si="617"/>
        <v>0.67920480831965835</v>
      </c>
      <c r="AY219" s="284">
        <f t="shared" si="617"/>
        <v>0.89695945945945943</v>
      </c>
      <c r="AZ219" s="178"/>
      <c r="BA219" s="178"/>
      <c r="BB219" s="178"/>
      <c r="BC219" s="178"/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48"/>
      <c r="CU219" s="67"/>
    </row>
    <row r="220" spans="1:99" s="62" customFormat="1" x14ac:dyDescent="0.3">
      <c r="A220" s="150"/>
      <c r="B220" s="63" t="s">
        <v>38</v>
      </c>
      <c r="C220" s="115"/>
      <c r="D220" s="177">
        <f t="shared" ref="D220:AY220" si="618">(C101+C209+D133-D101-D209)/(C101+C209+D133-D209)</f>
        <v>0.25198492850648874</v>
      </c>
      <c r="E220" s="177">
        <f t="shared" si="618"/>
        <v>0.1944051622380982</v>
      </c>
      <c r="F220" s="177">
        <f t="shared" si="618"/>
        <v>0.15390071141686648</v>
      </c>
      <c r="G220" s="177">
        <f t="shared" si="618"/>
        <v>0.10486297795100803</v>
      </c>
      <c r="H220" s="178">
        <f t="shared" si="618"/>
        <v>0.10384992281241291</v>
      </c>
      <c r="I220" s="177">
        <f t="shared" si="618"/>
        <v>8.7552374604678102E-2</v>
      </c>
      <c r="J220" s="178">
        <f t="shared" si="618"/>
        <v>9.8079196545133862E-2</v>
      </c>
      <c r="K220" s="177">
        <f t="shared" si="618"/>
        <v>0.12067591630686358</v>
      </c>
      <c r="L220" s="179">
        <f t="shared" si="618"/>
        <v>0.22563800388576619</v>
      </c>
      <c r="M220" s="178">
        <f t="shared" si="618"/>
        <v>0.30612543188945424</v>
      </c>
      <c r="N220" s="178">
        <f t="shared" si="618"/>
        <v>0.25141630039156304</v>
      </c>
      <c r="O220" s="178">
        <f t="shared" si="618"/>
        <v>0.23658224645817741</v>
      </c>
      <c r="P220" s="178">
        <f t="shared" si="618"/>
        <v>0.22283518677338698</v>
      </c>
      <c r="Q220" s="178">
        <f t="shared" si="618"/>
        <v>0.16663192023406853</v>
      </c>
      <c r="R220" s="178">
        <f t="shared" si="618"/>
        <v>0.11487561485546779</v>
      </c>
      <c r="S220" s="178">
        <f t="shared" si="618"/>
        <v>4.5854767520445254E-2</v>
      </c>
      <c r="T220" s="178">
        <f t="shared" si="618"/>
        <v>5.7023044474858245E-2</v>
      </c>
      <c r="U220" s="178">
        <f t="shared" si="618"/>
        <v>4.4432671109306557E-2</v>
      </c>
      <c r="V220" s="178">
        <f t="shared" si="618"/>
        <v>6.8321923351566824E-2</v>
      </c>
      <c r="W220" s="178">
        <f t="shared" si="618"/>
        <v>7.9853838672955743E-2</v>
      </c>
      <c r="X220" s="179">
        <f t="shared" si="618"/>
        <v>0.19628371839891351</v>
      </c>
      <c r="Y220" s="178">
        <f t="shared" si="618"/>
        <v>0.26972036118917192</v>
      </c>
      <c r="Z220" s="178">
        <f t="shared" si="618"/>
        <v>0.25964815596098217</v>
      </c>
      <c r="AA220" s="178">
        <f t="shared" si="618"/>
        <v>0.25702027802786681</v>
      </c>
      <c r="AB220" s="178">
        <f t="shared" si="618"/>
        <v>0.20913195442600166</v>
      </c>
      <c r="AC220" s="178">
        <f t="shared" si="618"/>
        <v>0.14662398683769956</v>
      </c>
      <c r="AD220" s="178">
        <f t="shared" si="618"/>
        <v>0.10453836514134658</v>
      </c>
      <c r="AE220" s="178">
        <f t="shared" si="618"/>
        <v>0.14123565460701379</v>
      </c>
      <c r="AF220" s="178">
        <f t="shared" si="618"/>
        <v>9.4983173751260419E-2</v>
      </c>
      <c r="AG220" s="178">
        <f t="shared" si="618"/>
        <v>9.2711348094361698E-2</v>
      </c>
      <c r="AH220" s="178">
        <f t="shared" si="618"/>
        <v>0.10895438684915114</v>
      </c>
      <c r="AI220" s="178">
        <f t="shared" si="618"/>
        <v>0.17946022746682566</v>
      </c>
      <c r="AJ220" s="178">
        <f t="shared" si="618"/>
        <v>0.25248701334916296</v>
      </c>
      <c r="AK220" s="178">
        <f t="shared" si="618"/>
        <v>0.29217426840533667</v>
      </c>
      <c r="AL220" s="178">
        <f t="shared" si="618"/>
        <v>0.30563864278264319</v>
      </c>
      <c r="AM220" s="178">
        <f t="shared" si="618"/>
        <v>0.2904563096812266</v>
      </c>
      <c r="AN220" s="178">
        <f t="shared" si="618"/>
        <v>0.26095509455863147</v>
      </c>
      <c r="AO220" s="178">
        <f t="shared" si="618"/>
        <v>0.20830766416655019</v>
      </c>
      <c r="AP220" s="178">
        <f t="shared" si="618"/>
        <v>0.15314694893591163</v>
      </c>
      <c r="AQ220" s="178">
        <f t="shared" si="618"/>
        <v>0.15054530791742357</v>
      </c>
      <c r="AR220" s="178">
        <f t="shared" si="618"/>
        <v>9.1923386231222995E-2</v>
      </c>
      <c r="AS220" s="178">
        <f t="shared" si="618"/>
        <v>9.7207390552956949E-2</v>
      </c>
      <c r="AT220" s="178">
        <f t="shared" si="618"/>
        <v>0.14324215029219192</v>
      </c>
      <c r="AU220" s="178">
        <f t="shared" si="618"/>
        <v>0.13781469910086813</v>
      </c>
      <c r="AV220" s="284">
        <f t="shared" si="618"/>
        <v>0.23724074028477538</v>
      </c>
      <c r="AW220" s="284">
        <f t="shared" si="618"/>
        <v>0.30918771340994566</v>
      </c>
      <c r="AX220" s="284">
        <f t="shared" si="618"/>
        <v>0.34005163492756441</v>
      </c>
      <c r="AY220" s="284">
        <f t="shared" si="618"/>
        <v>0.39389560389691664</v>
      </c>
      <c r="AZ220" s="178"/>
      <c r="BA220" s="178"/>
      <c r="BB220" s="178"/>
      <c r="BC220" s="178"/>
      <c r="BD220" s="178"/>
      <c r="BE220" s="178"/>
      <c r="BF220" s="178"/>
      <c r="BG220" s="178"/>
      <c r="BH220" s="178"/>
      <c r="BI220" s="112"/>
      <c r="BJ220" s="178">
        <f t="shared" ref="BJ220:CE220" si="619">P220-D220</f>
        <v>-2.9149741733101753E-2</v>
      </c>
      <c r="BK220" s="178">
        <f t="shared" si="619"/>
        <v>-2.7773242004029669E-2</v>
      </c>
      <c r="BL220" s="178">
        <f t="shared" si="619"/>
        <v>-3.9025096561398687E-2</v>
      </c>
      <c r="BM220" s="178">
        <f t="shared" si="619"/>
        <v>-5.9008210430562778E-2</v>
      </c>
      <c r="BN220" s="178">
        <f t="shared" si="619"/>
        <v>-4.6826878337554667E-2</v>
      </c>
      <c r="BO220" s="178">
        <f t="shared" si="619"/>
        <v>-4.3119703495371545E-2</v>
      </c>
      <c r="BP220" s="178">
        <f t="shared" si="619"/>
        <v>-2.9757273193567038E-2</v>
      </c>
      <c r="BQ220" s="178">
        <f t="shared" si="619"/>
        <v>-4.0822077633907841E-2</v>
      </c>
      <c r="BR220" s="178">
        <f t="shared" si="619"/>
        <v>-2.9354285486852677E-2</v>
      </c>
      <c r="BS220" s="178">
        <f t="shared" si="619"/>
        <v>-3.6405070700282316E-2</v>
      </c>
      <c r="BT220" s="178">
        <f t="shared" si="619"/>
        <v>8.2318555694191331E-3</v>
      </c>
      <c r="BU220" s="178">
        <f t="shared" si="619"/>
        <v>2.0438031569689402E-2</v>
      </c>
      <c r="BV220" s="178">
        <f t="shared" si="619"/>
        <v>-1.3703232347385325E-2</v>
      </c>
      <c r="BW220" s="178">
        <f t="shared" si="619"/>
        <v>-2.0007933396368971E-2</v>
      </c>
      <c r="BX220" s="178">
        <f t="shared" si="619"/>
        <v>-1.0337249714121213E-2</v>
      </c>
      <c r="BY220" s="178">
        <f t="shared" si="619"/>
        <v>9.5380887086568528E-2</v>
      </c>
      <c r="BZ220" s="178">
        <f t="shared" si="619"/>
        <v>3.7960129276402174E-2</v>
      </c>
      <c r="CA220" s="284">
        <f t="shared" si="619"/>
        <v>4.8278676985055141E-2</v>
      </c>
      <c r="CB220" s="284">
        <f t="shared" si="619"/>
        <v>4.0632463497584315E-2</v>
      </c>
      <c r="CC220" s="284">
        <f t="shared" si="619"/>
        <v>9.9606388793869918E-2</v>
      </c>
      <c r="CD220" s="284">
        <f t="shared" si="619"/>
        <v>5.6203294950249449E-2</v>
      </c>
      <c r="CE220" s="318">
        <f t="shared" si="619"/>
        <v>2.2453907216164748E-2</v>
      </c>
      <c r="CF220" s="318">
        <f t="shared" ref="CF220:CS220" si="620">AL220-Z220</f>
        <v>4.5990486821661014E-2</v>
      </c>
      <c r="CG220" s="318">
        <f t="shared" si="620"/>
        <v>3.3436031653359788E-2</v>
      </c>
      <c r="CH220" s="318">
        <f t="shared" si="620"/>
        <v>5.1823140132629814E-2</v>
      </c>
      <c r="CI220" s="318">
        <f t="shared" si="620"/>
        <v>6.1683677328850633E-2</v>
      </c>
      <c r="CJ220" s="318">
        <f t="shared" si="620"/>
        <v>4.860858379456505E-2</v>
      </c>
      <c r="CK220" s="318">
        <f t="shared" si="620"/>
        <v>9.3096533104097823E-3</v>
      </c>
      <c r="CL220" s="318">
        <f t="shared" si="620"/>
        <v>-3.0597875200374242E-3</v>
      </c>
      <c r="CM220" s="318">
        <f t="shared" si="620"/>
        <v>4.4960424585952508E-3</v>
      </c>
      <c r="CN220" s="318">
        <f t="shared" si="620"/>
        <v>3.4287763443040783E-2</v>
      </c>
      <c r="CO220" s="318">
        <f t="shared" si="620"/>
        <v>-4.1645528365957529E-2</v>
      </c>
      <c r="CP220" s="318">
        <f t="shared" si="620"/>
        <v>-1.5246273064387583E-2</v>
      </c>
      <c r="CQ220" s="318">
        <f t="shared" si="620"/>
        <v>1.7013445004608996E-2</v>
      </c>
      <c r="CR220" s="318">
        <f t="shared" si="620"/>
        <v>3.4412992144921217E-2</v>
      </c>
      <c r="CS220" s="318">
        <f t="shared" si="620"/>
        <v>0.10343929421569004</v>
      </c>
      <c r="CT220" s="348"/>
      <c r="CU220" s="67"/>
    </row>
    <row r="221" spans="1:99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21">(W102+W210+X134-X102-X210)/(W102+W210+X134-X210)</f>
        <v>0.19323234418940063</v>
      </c>
      <c r="Y221" s="218">
        <f t="shared" si="621"/>
        <v>0.26514296368946166</v>
      </c>
      <c r="Z221" s="218">
        <f t="shared" si="621"/>
        <v>0.25452921171349047</v>
      </c>
      <c r="AA221" s="218">
        <f t="shared" si="621"/>
        <v>0.25269227193009697</v>
      </c>
      <c r="AB221" s="218">
        <f t="shared" si="621"/>
        <v>0.20592492471762833</v>
      </c>
      <c r="AC221" s="218">
        <f t="shared" si="621"/>
        <v>0.14461278055490026</v>
      </c>
      <c r="AD221" s="218">
        <f t="shared" si="621"/>
        <v>0.1029172830293693</v>
      </c>
      <c r="AE221" s="218">
        <f t="shared" si="621"/>
        <v>0.13967463553459875</v>
      </c>
      <c r="AF221" s="218">
        <f t="shared" ref="AF221:AY221" si="622">(AE102+AE210+AF134-AF102-AF210)/(AE102+AE210+AF134-AF210)</f>
        <v>9.3982482607951556E-2</v>
      </c>
      <c r="AG221" s="218">
        <f t="shared" si="622"/>
        <v>9.1527067045142171E-2</v>
      </c>
      <c r="AH221" s="218">
        <f t="shared" si="622"/>
        <v>0.10793990154964093</v>
      </c>
      <c r="AI221" s="218">
        <f t="shared" si="622"/>
        <v>0.17756462673914203</v>
      </c>
      <c r="AJ221" s="178">
        <f t="shared" si="622"/>
        <v>0.25001605745121386</v>
      </c>
      <c r="AK221" s="178">
        <f t="shared" si="622"/>
        <v>0.28890125624175683</v>
      </c>
      <c r="AL221" s="178">
        <f t="shared" si="622"/>
        <v>0.30195383819841193</v>
      </c>
      <c r="AM221" s="178">
        <f t="shared" si="622"/>
        <v>0.28732072681065957</v>
      </c>
      <c r="AN221" s="178">
        <f t="shared" si="622"/>
        <v>0.25823396421106876</v>
      </c>
      <c r="AO221" s="178">
        <f t="shared" si="622"/>
        <v>0.20665080207436948</v>
      </c>
      <c r="AP221" s="178">
        <f t="shared" si="622"/>
        <v>0.15174246894213261</v>
      </c>
      <c r="AQ221" s="178">
        <f t="shared" si="622"/>
        <v>0.1488008300145563</v>
      </c>
      <c r="AR221" s="178">
        <f t="shared" si="622"/>
        <v>8.8380326379564875E-2</v>
      </c>
      <c r="AS221" s="178">
        <f t="shared" si="622"/>
        <v>9.64023664095391E-2</v>
      </c>
      <c r="AT221" s="178">
        <f t="shared" si="622"/>
        <v>0.14207086821506015</v>
      </c>
      <c r="AU221" s="178">
        <f t="shared" si="622"/>
        <v>0.13887283073489451</v>
      </c>
      <c r="AV221" s="284">
        <f t="shared" si="622"/>
        <v>0.23671695078485891</v>
      </c>
      <c r="AW221" s="284">
        <f t="shared" si="622"/>
        <v>0.30823410265297152</v>
      </c>
      <c r="AX221" s="284">
        <f t="shared" si="622"/>
        <v>0.33983133900739448</v>
      </c>
      <c r="AY221" s="284">
        <f t="shared" si="622"/>
        <v>0.39177134876542724</v>
      </c>
      <c r="AZ221" s="178"/>
      <c r="BA221" s="178"/>
      <c r="BB221" s="178"/>
      <c r="BC221" s="178"/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48"/>
      <c r="CU221" s="67"/>
    </row>
    <row r="222" spans="1:99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21"/>
        <v>0.41518455151788425</v>
      </c>
      <c r="Y222" s="218">
        <f t="shared" si="621"/>
        <v>0.54278280114522093</v>
      </c>
      <c r="Z222" s="218">
        <f t="shared" si="621"/>
        <v>0.56057014560075069</v>
      </c>
      <c r="AA222" s="218">
        <f t="shared" si="621"/>
        <v>0.532007055143073</v>
      </c>
      <c r="AB222" s="218">
        <f t="shared" si="621"/>
        <v>0.43357842747632463</v>
      </c>
      <c r="AC222" s="218">
        <f t="shared" si="621"/>
        <v>0.304899747784526</v>
      </c>
      <c r="AD222" s="218">
        <f t="shared" si="621"/>
        <v>0.24368013236073902</v>
      </c>
      <c r="AE222" s="218">
        <f t="shared" si="621"/>
        <v>0.28154832761166287</v>
      </c>
      <c r="AF222" s="218">
        <f t="shared" ref="AF222:AY222" si="623">(AE103+AE211+AF135-AF103-AF211)/(AE103+AE211+AF135-AF211)</f>
        <v>0.19241760238329361</v>
      </c>
      <c r="AG222" s="218">
        <f t="shared" si="623"/>
        <v>0.20914326827096535</v>
      </c>
      <c r="AH222" s="218">
        <f t="shared" si="623"/>
        <v>0.20949777080452986</v>
      </c>
      <c r="AI222" s="218">
        <f t="shared" si="623"/>
        <v>0.35015619294900402</v>
      </c>
      <c r="AJ222" s="178">
        <f t="shared" si="623"/>
        <v>0.45472803898327407</v>
      </c>
      <c r="AK222" s="178">
        <f t="shared" si="623"/>
        <v>0.51850744533306758</v>
      </c>
      <c r="AL222" s="178">
        <f t="shared" si="623"/>
        <v>0.54842450501213014</v>
      </c>
      <c r="AM222" s="178">
        <f t="shared" si="623"/>
        <v>0.51410468716250268</v>
      </c>
      <c r="AN222" s="178">
        <f t="shared" si="623"/>
        <v>0.46283497937148549</v>
      </c>
      <c r="AO222" s="178">
        <f t="shared" si="623"/>
        <v>0.34635100797705159</v>
      </c>
      <c r="AP222" s="178">
        <f t="shared" si="623"/>
        <v>0.28318375564932424</v>
      </c>
      <c r="AQ222" s="178">
        <f t="shared" si="623"/>
        <v>0.32449696582561482</v>
      </c>
      <c r="AR222" s="178">
        <f t="shared" si="623"/>
        <v>0.49106753156841204</v>
      </c>
      <c r="AS222" s="178">
        <f t="shared" si="623"/>
        <v>0.23269843421676947</v>
      </c>
      <c r="AT222" s="178">
        <f t="shared" si="623"/>
        <v>0.32155992520906534</v>
      </c>
      <c r="AU222" s="178">
        <f t="shared" si="623"/>
        <v>-0.11382622571258721</v>
      </c>
      <c r="AV222" s="284">
        <f t="shared" si="623"/>
        <v>0.34709167054443929</v>
      </c>
      <c r="AW222" s="284">
        <f t="shared" si="623"/>
        <v>0.48351686048506054</v>
      </c>
      <c r="AX222" s="284">
        <f t="shared" si="623"/>
        <v>0.38993033924222686</v>
      </c>
      <c r="AY222" s="284">
        <f t="shared" si="623"/>
        <v>0.662675501010632</v>
      </c>
      <c r="AZ222" s="178"/>
      <c r="BA222" s="178"/>
      <c r="BB222" s="178"/>
      <c r="BC222" s="178"/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48"/>
      <c r="CU222" s="67"/>
    </row>
    <row r="223" spans="1:99" s="62" customFormat="1" x14ac:dyDescent="0.3">
      <c r="A223" s="150"/>
      <c r="B223" s="63" t="s">
        <v>39</v>
      </c>
      <c r="C223" s="115"/>
      <c r="D223" s="177">
        <f t="shared" ref="D223:AY223" si="624">(C104+C212+D136-D104-D212)/(C104+C212+D136-D212)</f>
        <v>0.78354862185985752</v>
      </c>
      <c r="E223" s="177">
        <f t="shared" si="624"/>
        <v>0.78679169062576493</v>
      </c>
      <c r="F223" s="177">
        <f t="shared" si="624"/>
        <v>0.69702341292933878</v>
      </c>
      <c r="G223" s="177">
        <f t="shared" si="624"/>
        <v>0.70532853711834298</v>
      </c>
      <c r="H223" s="178">
        <f t="shared" si="624"/>
        <v>0.72820805261165367</v>
      </c>
      <c r="I223" s="177">
        <f t="shared" si="624"/>
        <v>0.71720203472723321</v>
      </c>
      <c r="J223" s="178">
        <f t="shared" si="624"/>
        <v>0.7770593539016426</v>
      </c>
      <c r="K223" s="177">
        <f t="shared" si="624"/>
        <v>0.77434177143225802</v>
      </c>
      <c r="L223" s="179">
        <f t="shared" si="624"/>
        <v>0.90822982518094619</v>
      </c>
      <c r="M223" s="178">
        <f t="shared" si="624"/>
        <v>0.88430141428523823</v>
      </c>
      <c r="N223" s="178">
        <f t="shared" si="624"/>
        <v>0.79379184741440467</v>
      </c>
      <c r="O223" s="178">
        <f t="shared" si="624"/>
        <v>0.7935223140706914</v>
      </c>
      <c r="P223" s="178">
        <f t="shared" si="624"/>
        <v>0.63389828515898039</v>
      </c>
      <c r="Q223" s="178">
        <f t="shared" si="624"/>
        <v>0.6965882038746386</v>
      </c>
      <c r="R223" s="178">
        <f t="shared" si="624"/>
        <v>0.57046598523894299</v>
      </c>
      <c r="S223" s="178">
        <f t="shared" si="624"/>
        <v>0.52500001963363585</v>
      </c>
      <c r="T223" s="178">
        <f t="shared" si="624"/>
        <v>0.44930691600868944</v>
      </c>
      <c r="U223" s="178">
        <f t="shared" si="624"/>
        <v>0.47819099485325117</v>
      </c>
      <c r="V223" s="178">
        <f t="shared" si="624"/>
        <v>0.50306558122795286</v>
      </c>
      <c r="W223" s="178">
        <f t="shared" si="624"/>
        <v>0.60904983469286089</v>
      </c>
      <c r="X223" s="179">
        <f t="shared" si="624"/>
        <v>0.72525022495653235</v>
      </c>
      <c r="Y223" s="178">
        <f t="shared" si="624"/>
        <v>0.76952133488132191</v>
      </c>
      <c r="Z223" s="178">
        <f t="shared" si="624"/>
        <v>0.78269878966879036</v>
      </c>
      <c r="AA223" s="178">
        <f t="shared" si="624"/>
        <v>0.83226800112336097</v>
      </c>
      <c r="AB223" s="178">
        <f t="shared" si="624"/>
        <v>0.7709827113123402</v>
      </c>
      <c r="AC223" s="178">
        <f t="shared" si="624"/>
        <v>0.69176585073942809</v>
      </c>
      <c r="AD223" s="178">
        <f t="shared" si="624"/>
        <v>0.5500004379114527</v>
      </c>
      <c r="AE223" s="178">
        <f t="shared" si="624"/>
        <v>0.53385721704655142</v>
      </c>
      <c r="AF223" s="178">
        <f t="shared" si="624"/>
        <v>0.532027381569668</v>
      </c>
      <c r="AG223" s="178">
        <f t="shared" si="624"/>
        <v>0.55065424063417212</v>
      </c>
      <c r="AH223" s="178">
        <f t="shared" si="624"/>
        <v>0.53363049795824669</v>
      </c>
      <c r="AI223" s="178">
        <f t="shared" si="624"/>
        <v>0.63925577203331374</v>
      </c>
      <c r="AJ223" s="178">
        <f t="shared" si="624"/>
        <v>0.75747594308280419</v>
      </c>
      <c r="AK223" s="178">
        <f t="shared" si="624"/>
        <v>0.70795080316213721</v>
      </c>
      <c r="AL223" s="178">
        <f t="shared" si="624"/>
        <v>0.78937041854182721</v>
      </c>
      <c r="AM223" s="178">
        <f t="shared" si="624"/>
        <v>0.760115694808292</v>
      </c>
      <c r="AN223" s="178">
        <f t="shared" si="624"/>
        <v>0.78622642824407973</v>
      </c>
      <c r="AO223" s="178">
        <f t="shared" si="624"/>
        <v>0.68864306353455795</v>
      </c>
      <c r="AP223" s="178">
        <f t="shared" si="624"/>
        <v>0.59869537374835058</v>
      </c>
      <c r="AQ223" s="178">
        <f t="shared" si="624"/>
        <v>0.61890632877968943</v>
      </c>
      <c r="AR223" s="178">
        <f t="shared" si="624"/>
        <v>0.63575166062547073</v>
      </c>
      <c r="AS223" s="178">
        <f t="shared" si="624"/>
        <v>0.57571043980189773</v>
      </c>
      <c r="AT223" s="178">
        <f t="shared" si="624"/>
        <v>0.63911337152210002</v>
      </c>
      <c r="AU223" s="178">
        <f t="shared" si="624"/>
        <v>0.71268807401506917</v>
      </c>
      <c r="AV223" s="284">
        <f t="shared" si="624"/>
        <v>0.71011947705772382</v>
      </c>
      <c r="AW223" s="284">
        <f t="shared" si="624"/>
        <v>0.84431650902156763</v>
      </c>
      <c r="AX223" s="284">
        <f t="shared" si="624"/>
        <v>0.83675934687311648</v>
      </c>
      <c r="AY223" s="284">
        <f t="shared" si="624"/>
        <v>0.77967510666403539</v>
      </c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12"/>
      <c r="BJ223" s="178">
        <f t="shared" ref="BJ223:BS225" si="625">P223-D223</f>
        <v>-0.14965033670087713</v>
      </c>
      <c r="BK223" s="178">
        <f t="shared" si="625"/>
        <v>-9.0203486751126327E-2</v>
      </c>
      <c r="BL223" s="178">
        <f t="shared" si="625"/>
        <v>-0.1265574276903958</v>
      </c>
      <c r="BM223" s="178">
        <f t="shared" si="625"/>
        <v>-0.18032851748470713</v>
      </c>
      <c r="BN223" s="178">
        <f t="shared" si="625"/>
        <v>-0.27890113660296423</v>
      </c>
      <c r="BO223" s="178">
        <f t="shared" si="625"/>
        <v>-0.23901103987398203</v>
      </c>
      <c r="BP223" s="178">
        <f t="shared" si="625"/>
        <v>-0.27399377267368974</v>
      </c>
      <c r="BQ223" s="178">
        <f t="shared" si="625"/>
        <v>-0.16529193673939713</v>
      </c>
      <c r="BR223" s="178">
        <f t="shared" si="625"/>
        <v>-0.18297960022441384</v>
      </c>
      <c r="BS223" s="178">
        <f t="shared" si="625"/>
        <v>-0.11478007940391632</v>
      </c>
      <c r="BT223" s="178">
        <f t="shared" ref="BT223:CE226" si="626">Z223-N223</f>
        <v>-1.109305774561431E-2</v>
      </c>
      <c r="BU223" s="178">
        <f t="shared" si="626"/>
        <v>3.8745687052669564E-2</v>
      </c>
      <c r="BV223" s="178">
        <f t="shared" si="626"/>
        <v>0.13708442615335981</v>
      </c>
      <c r="BW223" s="178">
        <f t="shared" si="626"/>
        <v>-4.8223531352105109E-3</v>
      </c>
      <c r="BX223" s="178">
        <f t="shared" si="626"/>
        <v>-2.0465547327490285E-2</v>
      </c>
      <c r="BY223" s="178">
        <f t="shared" si="626"/>
        <v>8.8571974129155739E-3</v>
      </c>
      <c r="BZ223" s="178">
        <f t="shared" si="626"/>
        <v>8.2720465560978562E-2</v>
      </c>
      <c r="CA223" s="284">
        <f t="shared" si="626"/>
        <v>7.2463245780920948E-2</v>
      </c>
      <c r="CB223" s="284">
        <f t="shared" si="626"/>
        <v>3.0564916730293823E-2</v>
      </c>
      <c r="CC223" s="284">
        <f t="shared" si="626"/>
        <v>3.0205937340452849E-2</v>
      </c>
      <c r="CD223" s="284">
        <f t="shared" si="626"/>
        <v>3.2225718126271841E-2</v>
      </c>
      <c r="CE223" s="318">
        <f t="shared" si="626"/>
        <v>-6.1570531719184696E-2</v>
      </c>
      <c r="CF223" s="318">
        <f t="shared" ref="CF223:CS226" si="627">AL223-Z223</f>
        <v>6.67162887303685E-3</v>
      </c>
      <c r="CG223" s="318">
        <f t="shared" si="627"/>
        <v>-7.215230631506897E-2</v>
      </c>
      <c r="CH223" s="318">
        <f t="shared" si="627"/>
        <v>1.5243716931739537E-2</v>
      </c>
      <c r="CI223" s="318">
        <f t="shared" si="627"/>
        <v>-3.1227872048701366E-3</v>
      </c>
      <c r="CJ223" s="318">
        <f t="shared" si="627"/>
        <v>4.8694935836897879E-2</v>
      </c>
      <c r="CK223" s="318">
        <f t="shared" si="627"/>
        <v>8.5049111733138005E-2</v>
      </c>
      <c r="CL223" s="318">
        <f t="shared" si="627"/>
        <v>0.10372427905580273</v>
      </c>
      <c r="CM223" s="318">
        <f t="shared" si="627"/>
        <v>2.5056199167725612E-2</v>
      </c>
      <c r="CN223" s="318">
        <f t="shared" si="627"/>
        <v>0.10548287356385333</v>
      </c>
      <c r="CO223" s="318">
        <f t="shared" si="627"/>
        <v>7.3432301981755432E-2</v>
      </c>
      <c r="CP223" s="318">
        <f t="shared" si="627"/>
        <v>-4.7356466025080368E-2</v>
      </c>
      <c r="CQ223" s="318">
        <f t="shared" si="627"/>
        <v>0.13636570585943042</v>
      </c>
      <c r="CR223" s="318">
        <f t="shared" si="627"/>
        <v>4.7388928331289271E-2</v>
      </c>
      <c r="CS223" s="318">
        <f t="shared" si="627"/>
        <v>1.9559411855743392E-2</v>
      </c>
      <c r="CT223" s="348"/>
      <c r="CU223" s="67"/>
    </row>
    <row r="224" spans="1:99" s="62" customFormat="1" x14ac:dyDescent="0.3">
      <c r="A224" s="150"/>
      <c r="B224" s="63" t="s">
        <v>40</v>
      </c>
      <c r="C224" s="115"/>
      <c r="D224" s="177">
        <f t="shared" ref="D224:AY224" si="628">(C105+C213+D137-D105-D213)/(C105+C213+D137-D213)</f>
        <v>0.75237096487029054</v>
      </c>
      <c r="E224" s="177">
        <f t="shared" si="628"/>
        <v>0.74632014816657055</v>
      </c>
      <c r="F224" s="177">
        <f t="shared" si="628"/>
        <v>0.69988562374264462</v>
      </c>
      <c r="G224" s="177">
        <f t="shared" si="628"/>
        <v>0.57956635703909232</v>
      </c>
      <c r="H224" s="178">
        <f t="shared" si="628"/>
        <v>0.48552635815650064</v>
      </c>
      <c r="I224" s="177">
        <f t="shared" si="628"/>
        <v>0.46634907135580689</v>
      </c>
      <c r="J224" s="178">
        <f t="shared" si="628"/>
        <v>0.5715065030498151</v>
      </c>
      <c r="K224" s="177">
        <f t="shared" si="628"/>
        <v>0.58870355233164928</v>
      </c>
      <c r="L224" s="179">
        <f t="shared" si="628"/>
        <v>0.64472015262855553</v>
      </c>
      <c r="M224" s="178">
        <f t="shared" si="628"/>
        <v>0.82221237366662947</v>
      </c>
      <c r="N224" s="178">
        <f t="shared" si="628"/>
        <v>0.76770886876332867</v>
      </c>
      <c r="O224" s="178">
        <f t="shared" si="628"/>
        <v>0.76101883519500668</v>
      </c>
      <c r="P224" s="178">
        <f t="shared" si="628"/>
        <v>0.64868608718043874</v>
      </c>
      <c r="Q224" s="178">
        <f t="shared" si="628"/>
        <v>0.6799815026601026</v>
      </c>
      <c r="R224" s="178">
        <f t="shared" si="628"/>
        <v>0.59199050565569022</v>
      </c>
      <c r="S224" s="178">
        <f t="shared" si="628"/>
        <v>0.58354116869700579</v>
      </c>
      <c r="T224" s="178">
        <f t="shared" si="628"/>
        <v>0.45964409853090188</v>
      </c>
      <c r="U224" s="178">
        <f t="shared" si="628"/>
        <v>0.48957106497341107</v>
      </c>
      <c r="V224" s="178">
        <f t="shared" si="628"/>
        <v>0.68972888966873047</v>
      </c>
      <c r="W224" s="178">
        <f t="shared" si="628"/>
        <v>0.58470893243845379</v>
      </c>
      <c r="X224" s="179">
        <f t="shared" si="628"/>
        <v>0.72971456246119737</v>
      </c>
      <c r="Y224" s="178">
        <f t="shared" si="628"/>
        <v>0.75152488410502771</v>
      </c>
      <c r="Z224" s="178">
        <f t="shared" si="628"/>
        <v>0.74862410283132719</v>
      </c>
      <c r="AA224" s="178">
        <f t="shared" si="628"/>
        <v>0.82110199855221599</v>
      </c>
      <c r="AB224" s="178">
        <f t="shared" si="628"/>
        <v>0.82484562796461802</v>
      </c>
      <c r="AC224" s="178">
        <f t="shared" si="628"/>
        <v>0.7201924517065611</v>
      </c>
      <c r="AD224" s="178">
        <f t="shared" si="628"/>
        <v>0.51523131136382527</v>
      </c>
      <c r="AE224" s="178">
        <f t="shared" si="628"/>
        <v>0.61264215811463341</v>
      </c>
      <c r="AF224" s="178">
        <f t="shared" si="628"/>
        <v>0.56634996927480408</v>
      </c>
      <c r="AG224" s="178">
        <f t="shared" si="628"/>
        <v>0.50542281750495077</v>
      </c>
      <c r="AH224" s="178">
        <f t="shared" si="628"/>
        <v>0.57953686067109822</v>
      </c>
      <c r="AI224" s="178">
        <f t="shared" si="628"/>
        <v>0.64012020745480103</v>
      </c>
      <c r="AJ224" s="178">
        <f t="shared" si="628"/>
        <v>0.65094807205347605</v>
      </c>
      <c r="AK224" s="178">
        <f t="shared" si="628"/>
        <v>0.66252442985879045</v>
      </c>
      <c r="AL224" s="178">
        <f t="shared" si="628"/>
        <v>0.7531542948037081</v>
      </c>
      <c r="AM224" s="178">
        <f t="shared" si="628"/>
        <v>0.7722505125241601</v>
      </c>
      <c r="AN224" s="178">
        <f t="shared" si="628"/>
        <v>0.80105678854610363</v>
      </c>
      <c r="AO224" s="178">
        <f t="shared" si="628"/>
        <v>0.71136373365643191</v>
      </c>
      <c r="AP224" s="178">
        <f t="shared" si="628"/>
        <v>0.68630379547039944</v>
      </c>
      <c r="AQ224" s="178">
        <f t="shared" si="628"/>
        <v>0.72648084572882843</v>
      </c>
      <c r="AR224" s="178">
        <f t="shared" si="628"/>
        <v>0.59277040569040729</v>
      </c>
      <c r="AS224" s="178">
        <f t="shared" si="628"/>
        <v>0.54624873791751016</v>
      </c>
      <c r="AT224" s="178">
        <f t="shared" si="628"/>
        <v>0.63375762642119549</v>
      </c>
      <c r="AU224" s="178">
        <f t="shared" si="628"/>
        <v>0.66746755701146532</v>
      </c>
      <c r="AV224" s="284">
        <f t="shared" si="628"/>
        <v>0.70341672192367943</v>
      </c>
      <c r="AW224" s="284">
        <f t="shared" si="628"/>
        <v>0.81880073279123133</v>
      </c>
      <c r="AX224" s="284">
        <f t="shared" si="628"/>
        <v>0.8480343974336404</v>
      </c>
      <c r="AY224" s="284">
        <f t="shared" si="628"/>
        <v>0.77089881787197101</v>
      </c>
      <c r="AZ224" s="178"/>
      <c r="BA224" s="178"/>
      <c r="BB224" s="178"/>
      <c r="BC224" s="178"/>
      <c r="BD224" s="178"/>
      <c r="BE224" s="178"/>
      <c r="BF224" s="178"/>
      <c r="BG224" s="178"/>
      <c r="BH224" s="178"/>
      <c r="BI224" s="112"/>
      <c r="BJ224" s="178">
        <f t="shared" si="625"/>
        <v>-0.1036848776898518</v>
      </c>
      <c r="BK224" s="178">
        <f t="shared" si="625"/>
        <v>-6.6338645506467953E-2</v>
      </c>
      <c r="BL224" s="178">
        <f t="shared" si="625"/>
        <v>-0.1078951180869544</v>
      </c>
      <c r="BM224" s="178">
        <f t="shared" si="625"/>
        <v>3.9748116579134685E-3</v>
      </c>
      <c r="BN224" s="178">
        <f t="shared" si="625"/>
        <v>-2.5882259625598758E-2</v>
      </c>
      <c r="BO224" s="178">
        <f t="shared" si="625"/>
        <v>2.3221993617604186E-2</v>
      </c>
      <c r="BP224" s="178">
        <f t="shared" si="625"/>
        <v>0.11822238661891538</v>
      </c>
      <c r="BQ224" s="178">
        <f t="shared" si="625"/>
        <v>-3.9946198931954946E-3</v>
      </c>
      <c r="BR224" s="178">
        <f t="shared" si="625"/>
        <v>8.4994409832641837E-2</v>
      </c>
      <c r="BS224" s="178">
        <f t="shared" si="625"/>
        <v>-7.0687489561601757E-2</v>
      </c>
      <c r="BT224" s="178">
        <f t="shared" si="626"/>
        <v>-1.908476593200148E-2</v>
      </c>
      <c r="BU224" s="178">
        <f t="shared" si="626"/>
        <v>6.0083163357209313E-2</v>
      </c>
      <c r="BV224" s="178">
        <f t="shared" si="626"/>
        <v>0.17615954078417928</v>
      </c>
      <c r="BW224" s="178">
        <f t="shared" si="626"/>
        <v>4.02109490464585E-2</v>
      </c>
      <c r="BX224" s="178">
        <f t="shared" si="626"/>
        <v>-7.6759194291864952E-2</v>
      </c>
      <c r="BY224" s="178">
        <f t="shared" si="626"/>
        <v>2.9100989417627621E-2</v>
      </c>
      <c r="BZ224" s="178">
        <f t="shared" si="626"/>
        <v>0.1067058707439022</v>
      </c>
      <c r="CA224" s="284">
        <f t="shared" si="626"/>
        <v>1.5851752531539698E-2</v>
      </c>
      <c r="CB224" s="284">
        <f t="shared" si="626"/>
        <v>-0.11019202899763225</v>
      </c>
      <c r="CC224" s="284">
        <f t="shared" si="626"/>
        <v>5.5411275016347239E-2</v>
      </c>
      <c r="CD224" s="284">
        <f t="shared" si="626"/>
        <v>-7.8766490407721323E-2</v>
      </c>
      <c r="CE224" s="318">
        <f t="shared" si="626"/>
        <v>-8.9000454246237259E-2</v>
      </c>
      <c r="CF224" s="318">
        <f t="shared" si="627"/>
        <v>4.5301919723809148E-3</v>
      </c>
      <c r="CG224" s="318">
        <f t="shared" si="627"/>
        <v>-4.885148602805589E-2</v>
      </c>
      <c r="CH224" s="318">
        <f t="shared" si="627"/>
        <v>-2.3788839418514396E-2</v>
      </c>
      <c r="CI224" s="318">
        <f t="shared" si="627"/>
        <v>-8.8287180501291918E-3</v>
      </c>
      <c r="CJ224" s="318">
        <f t="shared" si="627"/>
        <v>0.17107248410657416</v>
      </c>
      <c r="CK224" s="318">
        <f t="shared" si="627"/>
        <v>0.11383868761419502</v>
      </c>
      <c r="CL224" s="318">
        <f t="shared" si="627"/>
        <v>2.642043641560321E-2</v>
      </c>
      <c r="CM224" s="318">
        <f t="shared" si="627"/>
        <v>4.0825920412559391E-2</v>
      </c>
      <c r="CN224" s="318">
        <f t="shared" si="627"/>
        <v>5.4220765750097266E-2</v>
      </c>
      <c r="CO224" s="318">
        <f t="shared" si="627"/>
        <v>2.7347349556664291E-2</v>
      </c>
      <c r="CP224" s="318">
        <f t="shared" si="627"/>
        <v>5.2468649870203388E-2</v>
      </c>
      <c r="CQ224" s="318">
        <f t="shared" si="627"/>
        <v>0.15627630293244088</v>
      </c>
      <c r="CR224" s="318">
        <f t="shared" si="627"/>
        <v>9.4880102629932295E-2</v>
      </c>
      <c r="CS224" s="318">
        <f t="shared" si="627"/>
        <v>-1.3516946521890949E-3</v>
      </c>
      <c r="CT224" s="348"/>
      <c r="CU224" s="67"/>
    </row>
    <row r="225" spans="1:99" s="62" customFormat="1" x14ac:dyDescent="0.3">
      <c r="A225" s="150"/>
      <c r="B225" s="63" t="s">
        <v>41</v>
      </c>
      <c r="C225" s="115"/>
      <c r="D225" s="177">
        <f t="shared" ref="D225:AY225" si="629">(C106+C214+D138-D106-D214)/(C106+C214+D138-D214)</f>
        <v>0.83693711794431502</v>
      </c>
      <c r="E225" s="177">
        <f t="shared" si="629"/>
        <v>0.78625377546100617</v>
      </c>
      <c r="F225" s="177">
        <f t="shared" si="629"/>
        <v>0.84728575660174998</v>
      </c>
      <c r="G225" s="177">
        <f t="shared" si="629"/>
        <v>0.76473608986946517</v>
      </c>
      <c r="H225" s="178">
        <f t="shared" si="629"/>
        <v>0.90992749052651289</v>
      </c>
      <c r="I225" s="177">
        <f t="shared" si="629"/>
        <v>0.89662824368739535</v>
      </c>
      <c r="J225" s="178">
        <f t="shared" si="629"/>
        <v>0.93304175188887162</v>
      </c>
      <c r="K225" s="177">
        <f t="shared" si="629"/>
        <v>0.8412005518120268</v>
      </c>
      <c r="L225" s="179">
        <f t="shared" si="629"/>
        <v>0.87346688178956444</v>
      </c>
      <c r="M225" s="178">
        <f t="shared" si="629"/>
        <v>0.931175263017196</v>
      </c>
      <c r="N225" s="178">
        <f t="shared" si="629"/>
        <v>0.88363987228937202</v>
      </c>
      <c r="O225" s="178">
        <f t="shared" si="629"/>
        <v>0.80526017830413477</v>
      </c>
      <c r="P225" s="178">
        <f t="shared" si="629"/>
        <v>0.77990162277396791</v>
      </c>
      <c r="Q225" s="178">
        <f t="shared" si="629"/>
        <v>0.8574533420807231</v>
      </c>
      <c r="R225" s="178">
        <f t="shared" si="629"/>
        <v>0.84465175166703355</v>
      </c>
      <c r="S225" s="178">
        <f t="shared" si="629"/>
        <v>0.80420675453910007</v>
      </c>
      <c r="T225" s="178">
        <f t="shared" si="629"/>
        <v>0.57868226252761645</v>
      </c>
      <c r="U225" s="178">
        <f t="shared" si="629"/>
        <v>0.74055072876245698</v>
      </c>
      <c r="V225" s="178">
        <f t="shared" si="629"/>
        <v>0.69155652493905151</v>
      </c>
      <c r="W225" s="178">
        <f t="shared" si="629"/>
        <v>0.7113363842250342</v>
      </c>
      <c r="X225" s="179">
        <f t="shared" si="629"/>
        <v>0.77880200538253219</v>
      </c>
      <c r="Y225" s="178">
        <f t="shared" si="629"/>
        <v>0.8224965748032651</v>
      </c>
      <c r="Z225" s="178">
        <f t="shared" si="629"/>
        <v>0.77368752917364547</v>
      </c>
      <c r="AA225" s="178">
        <f t="shared" si="629"/>
        <v>0.8247748233467197</v>
      </c>
      <c r="AB225" s="178">
        <f t="shared" si="629"/>
        <v>0.82137204478035353</v>
      </c>
      <c r="AC225" s="178">
        <f t="shared" si="629"/>
        <v>0.68433614348663951</v>
      </c>
      <c r="AD225" s="178">
        <f t="shared" si="629"/>
        <v>0.57571649358070986</v>
      </c>
      <c r="AE225" s="178">
        <f t="shared" si="629"/>
        <v>0.59335798663309081</v>
      </c>
      <c r="AF225" s="178">
        <f t="shared" si="629"/>
        <v>0.60661334702423453</v>
      </c>
      <c r="AG225" s="178">
        <f t="shared" si="629"/>
        <v>0.53870718680601437</v>
      </c>
      <c r="AH225" s="178">
        <f t="shared" si="629"/>
        <v>0.57951615402066081</v>
      </c>
      <c r="AI225" s="178">
        <f t="shared" si="629"/>
        <v>0.6576401257256077</v>
      </c>
      <c r="AJ225" s="178">
        <f t="shared" si="629"/>
        <v>0.63492255574679302</v>
      </c>
      <c r="AK225" s="178">
        <f t="shared" si="629"/>
        <v>0.68384299272033444</v>
      </c>
      <c r="AL225" s="178">
        <f t="shared" si="629"/>
        <v>0.78015414239800318</v>
      </c>
      <c r="AM225" s="178">
        <f t="shared" si="629"/>
        <v>0.65803163142116494</v>
      </c>
      <c r="AN225" s="178">
        <f t="shared" si="629"/>
        <v>0.76514508614992305</v>
      </c>
      <c r="AO225" s="178">
        <f t="shared" si="629"/>
        <v>0.708167240160264</v>
      </c>
      <c r="AP225" s="178">
        <f t="shared" si="629"/>
        <v>0.50926985817329362</v>
      </c>
      <c r="AQ225" s="178">
        <f t="shared" si="629"/>
        <v>0.72322993364344956</v>
      </c>
      <c r="AR225" s="178">
        <f t="shared" si="629"/>
        <v>0.76094847777256192</v>
      </c>
      <c r="AS225" s="178">
        <f t="shared" si="629"/>
        <v>0.70484591915008965</v>
      </c>
      <c r="AT225" s="178">
        <f t="shared" si="629"/>
        <v>0.88707757041800772</v>
      </c>
      <c r="AU225" s="178">
        <f t="shared" si="629"/>
        <v>0.49551547305714633</v>
      </c>
      <c r="AV225" s="284">
        <f t="shared" si="629"/>
        <v>0.66168998163176806</v>
      </c>
      <c r="AW225" s="284">
        <f t="shared" si="629"/>
        <v>0.83317562755255392</v>
      </c>
      <c r="AX225" s="284">
        <f t="shared" si="629"/>
        <v>0.85422133621374341</v>
      </c>
      <c r="AY225" s="284">
        <f t="shared" si="629"/>
        <v>0.8938933424208888</v>
      </c>
      <c r="AZ225" s="178"/>
      <c r="BA225" s="178"/>
      <c r="BB225" s="178"/>
      <c r="BC225" s="178"/>
      <c r="BD225" s="178"/>
      <c r="BE225" s="178"/>
      <c r="BF225" s="178"/>
      <c r="BG225" s="178"/>
      <c r="BH225" s="178"/>
      <c r="BI225" s="112"/>
      <c r="BJ225" s="178">
        <f t="shared" si="625"/>
        <v>-5.7035495170347117E-2</v>
      </c>
      <c r="BK225" s="178">
        <f t="shared" si="625"/>
        <v>7.1199566619716936E-2</v>
      </c>
      <c r="BL225" s="178">
        <f t="shared" si="625"/>
        <v>-2.6340049347164385E-3</v>
      </c>
      <c r="BM225" s="178">
        <f t="shared" si="625"/>
        <v>3.9470664669634892E-2</v>
      </c>
      <c r="BN225" s="178">
        <f t="shared" si="625"/>
        <v>-0.33124522799889644</v>
      </c>
      <c r="BO225" s="178">
        <f t="shared" si="625"/>
        <v>-0.15607751492493838</v>
      </c>
      <c r="BP225" s="178">
        <f t="shared" si="625"/>
        <v>-0.24148522694982011</v>
      </c>
      <c r="BQ225" s="178">
        <f t="shared" si="625"/>
        <v>-0.1298641675869926</v>
      </c>
      <c r="BR225" s="178">
        <f t="shared" si="625"/>
        <v>-9.466487640703225E-2</v>
      </c>
      <c r="BS225" s="178">
        <f t="shared" si="625"/>
        <v>-0.1086786882139309</v>
      </c>
      <c r="BT225" s="178">
        <f t="shared" si="626"/>
        <v>-0.10995234311572655</v>
      </c>
      <c r="BU225" s="178">
        <f t="shared" si="626"/>
        <v>1.9514645042584933E-2</v>
      </c>
      <c r="BV225" s="178">
        <f t="shared" si="626"/>
        <v>4.1470422006385621E-2</v>
      </c>
      <c r="BW225" s="178">
        <f t="shared" si="626"/>
        <v>-0.17311719859408359</v>
      </c>
      <c r="BX225" s="178">
        <f t="shared" si="626"/>
        <v>-0.26893525808632368</v>
      </c>
      <c r="BY225" s="178">
        <f t="shared" si="626"/>
        <v>-0.21084876790600926</v>
      </c>
      <c r="BZ225" s="178">
        <f t="shared" si="626"/>
        <v>2.7931084496618075E-2</v>
      </c>
      <c r="CA225" s="284">
        <f t="shared" si="626"/>
        <v>-0.20184354195644261</v>
      </c>
      <c r="CB225" s="284">
        <f t="shared" si="626"/>
        <v>-0.1120403709183907</v>
      </c>
      <c r="CC225" s="284">
        <f t="shared" si="626"/>
        <v>-5.3696258499426497E-2</v>
      </c>
      <c r="CD225" s="284">
        <f t="shared" si="626"/>
        <v>-0.14387944963573918</v>
      </c>
      <c r="CE225" s="318">
        <f t="shared" si="626"/>
        <v>-0.13865358208293066</v>
      </c>
      <c r="CF225" s="318">
        <f t="shared" si="627"/>
        <v>6.466613224357709E-3</v>
      </c>
      <c r="CG225" s="318">
        <f t="shared" si="627"/>
        <v>-0.16674319192555476</v>
      </c>
      <c r="CH225" s="318">
        <f t="shared" si="627"/>
        <v>-5.6226958630430479E-2</v>
      </c>
      <c r="CI225" s="318">
        <f t="shared" si="627"/>
        <v>2.3831096673624486E-2</v>
      </c>
      <c r="CJ225" s="318">
        <f t="shared" si="627"/>
        <v>-6.6446635407416244E-2</v>
      </c>
      <c r="CK225" s="318">
        <f t="shared" si="627"/>
        <v>0.12987194701035876</v>
      </c>
      <c r="CL225" s="318">
        <f t="shared" si="627"/>
        <v>0.15433513074832739</v>
      </c>
      <c r="CM225" s="318">
        <f t="shared" si="627"/>
        <v>0.16613873234407528</v>
      </c>
      <c r="CN225" s="318">
        <f t="shared" si="627"/>
        <v>0.30756141639734691</v>
      </c>
      <c r="CO225" s="318">
        <f t="shared" si="627"/>
        <v>-0.16212465266846138</v>
      </c>
      <c r="CP225" s="318">
        <f t="shared" si="627"/>
        <v>2.6767425884975049E-2</v>
      </c>
      <c r="CQ225" s="318">
        <f t="shared" si="627"/>
        <v>0.14933263483221948</v>
      </c>
      <c r="CR225" s="318">
        <f t="shared" si="627"/>
        <v>7.4067193815740229E-2</v>
      </c>
      <c r="CS225" s="318">
        <f t="shared" si="627"/>
        <v>0.23586171099972386</v>
      </c>
      <c r="CT225" s="348"/>
      <c r="CU225" s="67"/>
    </row>
    <row r="226" spans="1:99" s="76" customFormat="1" ht="15" thickBot="1" x14ac:dyDescent="0.35">
      <c r="A226" s="151"/>
      <c r="B226" s="116" t="s">
        <v>42</v>
      </c>
      <c r="C226" s="117"/>
      <c r="D226" s="180">
        <f t="shared" ref="D226:AV226" si="630">(C107+C215+D139-D107-D215)/(C107+C215+D139-D215)</f>
        <v>0.60490017993053757</v>
      </c>
      <c r="E226" s="180">
        <f t="shared" si="630"/>
        <v>0.56465523032221965</v>
      </c>
      <c r="F226" s="180">
        <f t="shared" si="630"/>
        <v>0.44476043113614078</v>
      </c>
      <c r="G226" s="180">
        <f t="shared" si="630"/>
        <v>0.37261640417226799</v>
      </c>
      <c r="H226" s="181">
        <f t="shared" si="630"/>
        <v>0.39634825275027019</v>
      </c>
      <c r="I226" s="180">
        <f t="shared" si="630"/>
        <v>0.36518514923469492</v>
      </c>
      <c r="J226" s="181">
        <f t="shared" si="630"/>
        <v>0.41946773675488486</v>
      </c>
      <c r="K226" s="180">
        <f t="shared" si="630"/>
        <v>0.5040581570764171</v>
      </c>
      <c r="L226" s="182">
        <f t="shared" si="630"/>
        <v>0.6670018844886576</v>
      </c>
      <c r="M226" s="181">
        <f t="shared" si="630"/>
        <v>0.72713110652429291</v>
      </c>
      <c r="N226" s="181">
        <f t="shared" si="630"/>
        <v>0.66005111530406846</v>
      </c>
      <c r="O226" s="181">
        <f t="shared" si="630"/>
        <v>0.63942570911029617</v>
      </c>
      <c r="P226" s="181">
        <f t="shared" si="630"/>
        <v>0.55533844038506652</v>
      </c>
      <c r="Q226" s="181">
        <f t="shared" si="630"/>
        <v>0.54925738965891635</v>
      </c>
      <c r="R226" s="181">
        <f t="shared" si="630"/>
        <v>0.39595731815837931</v>
      </c>
      <c r="S226" s="181">
        <f t="shared" si="630"/>
        <v>0.34171599114318757</v>
      </c>
      <c r="T226" s="181">
        <f t="shared" si="630"/>
        <v>0.25614609323496551</v>
      </c>
      <c r="U226" s="181">
        <f t="shared" si="630"/>
        <v>0.27181379811486567</v>
      </c>
      <c r="V226" s="181">
        <f t="shared" si="630"/>
        <v>0.30763262375853517</v>
      </c>
      <c r="W226" s="181">
        <f t="shared" si="630"/>
        <v>0.38476722328311846</v>
      </c>
      <c r="X226" s="182">
        <f t="shared" si="630"/>
        <v>0.53925406408711007</v>
      </c>
      <c r="Y226" s="181">
        <f t="shared" si="630"/>
        <v>0.65066411673763347</v>
      </c>
      <c r="Z226" s="181">
        <f t="shared" si="630"/>
        <v>0.63796241664153508</v>
      </c>
      <c r="AA226" s="181">
        <f t="shared" si="630"/>
        <v>0.65421303593088387</v>
      </c>
      <c r="AB226" s="181">
        <f t="shared" si="630"/>
        <v>0.58196952355471632</v>
      </c>
      <c r="AC226" s="181">
        <f t="shared" si="630"/>
        <v>0.45619449061165263</v>
      </c>
      <c r="AD226" s="181">
        <f t="shared" si="630"/>
        <v>0.33194395906370117</v>
      </c>
      <c r="AE226" s="181">
        <f t="shared" si="630"/>
        <v>0.35699965645134829</v>
      </c>
      <c r="AF226" s="181">
        <f t="shared" si="630"/>
        <v>0.31073648278528287</v>
      </c>
      <c r="AG226" s="181">
        <f t="shared" si="630"/>
        <v>0.30143679800551976</v>
      </c>
      <c r="AH226" s="181">
        <f t="shared" si="630"/>
        <v>0.3425398288453772</v>
      </c>
      <c r="AI226" s="181">
        <f t="shared" si="630"/>
        <v>0.44182238222644249</v>
      </c>
      <c r="AJ226" s="181">
        <f t="shared" si="630"/>
        <v>0.61321693946022926</v>
      </c>
      <c r="AK226" s="181">
        <f t="shared" si="630"/>
        <v>0.66513011807761602</v>
      </c>
      <c r="AL226" s="181">
        <f t="shared" si="630"/>
        <v>0.69555882532849178</v>
      </c>
      <c r="AM226" s="181">
        <f t="shared" si="630"/>
        <v>0.66216013988784783</v>
      </c>
      <c r="AN226" s="181">
        <f t="shared" si="630"/>
        <v>0.62958865718539325</v>
      </c>
      <c r="AO226" s="181">
        <f t="shared" si="630"/>
        <v>0.53300674293562078</v>
      </c>
      <c r="AP226" s="181">
        <f t="shared" si="630"/>
        <v>0.42414209372808642</v>
      </c>
      <c r="AQ226" s="181">
        <f t="shared" si="630"/>
        <v>0.42271213312197486</v>
      </c>
      <c r="AR226" s="181">
        <f t="shared" si="630"/>
        <v>0.37745300239991292</v>
      </c>
      <c r="AS226" s="181">
        <f t="shared" si="630"/>
        <v>0.35086745498287392</v>
      </c>
      <c r="AT226" s="181">
        <f t="shared" si="630"/>
        <v>0.43528580919388971</v>
      </c>
      <c r="AU226" s="181">
        <f t="shared" si="630"/>
        <v>0.47020635525602766</v>
      </c>
      <c r="AV226" s="285">
        <f t="shared" si="630"/>
        <v>0.58078383215756146</v>
      </c>
      <c r="AW226" s="285">
        <f>(AV107+AV215+AW139-AW107-AW215)/(AV107+AV215+AW139-AW215)</f>
        <v>0.71252760595924591</v>
      </c>
      <c r="AX226" s="285">
        <f>(AW107+AW215+AX139-AX107-AX215)/(AW107+AW215+AX139-AX215)</f>
        <v>0.69588198874437024</v>
      </c>
      <c r="AY226" s="285">
        <f>(AX107+AX215+AY139-AY107-AY215)/(AX107+AX215+AY139-AY215)</f>
        <v>0.72252565695716831</v>
      </c>
      <c r="AZ226" s="181"/>
      <c r="BA226" s="181"/>
      <c r="BB226" s="181"/>
      <c r="BC226" s="181"/>
      <c r="BD226" s="181"/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631">Q226-E226</f>
        <v>-1.5397840663303297E-2</v>
      </c>
      <c r="BL226" s="181">
        <f t="shared" ref="BL226" si="632">R226-F226</f>
        <v>-4.8803112977761465E-2</v>
      </c>
      <c r="BM226" s="181">
        <f t="shared" ref="BM226" si="633">S226-G226</f>
        <v>-3.090041302908042E-2</v>
      </c>
      <c r="BN226" s="181">
        <f t="shared" ref="BN226:CA226" si="634">T226-H226</f>
        <v>-0.14020215951530468</v>
      </c>
      <c r="BO226" s="181">
        <f t="shared" si="634"/>
        <v>-9.3371351119829249E-2</v>
      </c>
      <c r="BP226" s="181">
        <f t="shared" si="634"/>
        <v>-0.11183511299634968</v>
      </c>
      <c r="BQ226" s="181">
        <f t="shared" si="634"/>
        <v>-0.11929093379329864</v>
      </c>
      <c r="BR226" s="181">
        <f t="shared" si="634"/>
        <v>-0.12774782040154753</v>
      </c>
      <c r="BS226" s="181">
        <f t="shared" si="634"/>
        <v>-7.6466989786659445E-2</v>
      </c>
      <c r="BT226" s="181">
        <f t="shared" si="634"/>
        <v>-2.2088698662533379E-2</v>
      </c>
      <c r="BU226" s="181">
        <f t="shared" si="634"/>
        <v>1.4787326820587698E-2</v>
      </c>
      <c r="BV226" s="181">
        <f t="shared" si="634"/>
        <v>2.6631083169649794E-2</v>
      </c>
      <c r="BW226" s="181">
        <f t="shared" si="634"/>
        <v>-9.3062899047263725E-2</v>
      </c>
      <c r="BX226" s="181">
        <f t="shared" si="634"/>
        <v>-6.4013359094678146E-2</v>
      </c>
      <c r="BY226" s="181">
        <f t="shared" si="634"/>
        <v>1.5283665308160721E-2</v>
      </c>
      <c r="BZ226" s="181">
        <f t="shared" si="634"/>
        <v>5.4590389550317364E-2</v>
      </c>
      <c r="CA226" s="285">
        <f t="shared" si="634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CD9:CT226=AJ226-X226</f>
        <v>0</v>
      </c>
      <c r="CE226" s="182">
        <f t="shared" si="626"/>
        <v>1.4466001339982548E-2</v>
      </c>
      <c r="CF226" s="182">
        <f t="shared" si="627"/>
        <v>5.7596408686956702E-2</v>
      </c>
      <c r="CG226" s="182">
        <f t="shared" si="627"/>
        <v>7.9471039569639634E-3</v>
      </c>
      <c r="CH226" s="182">
        <f t="shared" si="627"/>
        <v>4.7619133630676935E-2</v>
      </c>
      <c r="CI226" s="182">
        <f t="shared" si="627"/>
        <v>7.6812252323968155E-2</v>
      </c>
      <c r="CJ226" s="182">
        <f t="shared" si="627"/>
        <v>9.2198134664385256E-2</v>
      </c>
      <c r="CK226" s="182">
        <f t="shared" si="627"/>
        <v>6.5712476670626574E-2</v>
      </c>
      <c r="CL226" s="182">
        <f t="shared" si="627"/>
        <v>6.6716519614630043E-2</v>
      </c>
      <c r="CM226" s="182">
        <f t="shared" si="627"/>
        <v>4.9430656977354159E-2</v>
      </c>
      <c r="CN226" s="182">
        <f t="shared" si="627"/>
        <v>9.2745980348512502E-2</v>
      </c>
      <c r="CO226" s="182">
        <f t="shared" si="627"/>
        <v>2.8383973029585174E-2</v>
      </c>
      <c r="CP226" s="285">
        <f t="shared" si="627"/>
        <v>-3.2433107302667796E-2</v>
      </c>
      <c r="CQ226" s="285">
        <f t="shared" si="627"/>
        <v>4.7397487881629896E-2</v>
      </c>
      <c r="CR226" s="285">
        <f t="shared" si="627"/>
        <v>3.2316341587845798E-4</v>
      </c>
      <c r="CS226" s="285">
        <f t="shared" si="627"/>
        <v>6.0365517069320473E-2</v>
      </c>
      <c r="CT226" s="349"/>
      <c r="CU226" s="119"/>
    </row>
    <row r="227" spans="1:99" ht="15" thickTop="1" x14ac:dyDescent="0.3">
      <c r="A227" s="150"/>
    </row>
    <row r="228" spans="1:99" x14ac:dyDescent="0.3">
      <c r="B228" s="1" t="s">
        <v>24</v>
      </c>
    </row>
    <row r="229" spans="1:99" x14ac:dyDescent="0.3">
      <c r="B229" s="33" t="s">
        <v>130</v>
      </c>
    </row>
    <row r="230" spans="1:99" x14ac:dyDescent="0.3">
      <c r="B230" s="2" t="s">
        <v>131</v>
      </c>
    </row>
    <row r="232" spans="1:99" x14ac:dyDescent="0.3">
      <c r="B232" s="34" t="s">
        <v>23</v>
      </c>
    </row>
    <row r="233" spans="1:99" x14ac:dyDescent="0.3">
      <c r="B233" s="2" t="s">
        <v>25</v>
      </c>
    </row>
    <row r="234" spans="1:99" x14ac:dyDescent="0.3">
      <c r="B234" s="2" t="s">
        <v>26</v>
      </c>
    </row>
    <row r="235" spans="1:99" x14ac:dyDescent="0.3">
      <c r="B235" s="2" t="s">
        <v>27</v>
      </c>
    </row>
    <row r="236" spans="1:99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S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31.33203125" bestFit="1" customWidth="1"/>
    <col min="10" max="10" width="15.777343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45010</v>
      </c>
      <c r="C2" t="s">
        <v>58</v>
      </c>
      <c r="D2" t="s">
        <v>166</v>
      </c>
      <c r="E2">
        <v>604167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45010</v>
      </c>
      <c r="C3" t="s">
        <v>58</v>
      </c>
      <c r="D3" t="s">
        <v>168</v>
      </c>
      <c r="E3">
        <v>69553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45010</v>
      </c>
    </row>
    <row r="4" spans="1:11" x14ac:dyDescent="0.3">
      <c r="A4" t="s">
        <v>61</v>
      </c>
      <c r="B4" s="153">
        <v>45010</v>
      </c>
      <c r="C4" t="s">
        <v>59</v>
      </c>
      <c r="D4" t="s">
        <v>166</v>
      </c>
      <c r="E4">
        <v>182932</v>
      </c>
      <c r="F4" t="str">
        <f t="shared" si="2"/>
        <v>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45010</v>
      </c>
      <c r="C5" t="s">
        <v>58</v>
      </c>
      <c r="D5" t="s">
        <v>167</v>
      </c>
      <c r="E5">
        <v>1778</v>
      </c>
      <c r="F5" t="str">
        <f t="shared" si="2"/>
        <v>Low Income 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45010</v>
      </c>
      <c r="C6" t="s">
        <v>59</v>
      </c>
      <c r="D6" t="s">
        <v>167</v>
      </c>
      <c r="E6">
        <v>246</v>
      </c>
      <c r="F6" t="str">
        <f t="shared" si="2"/>
        <v>Low Income Resdiential-ESCO</v>
      </c>
      <c r="G6">
        <f t="shared" si="3"/>
        <v>1</v>
      </c>
      <c r="I6" s="157" t="s">
        <v>169</v>
      </c>
      <c r="J6" s="156">
        <v>1778</v>
      </c>
      <c r="K6" s="156">
        <v>246</v>
      </c>
    </row>
    <row r="7" spans="1:11" x14ac:dyDescent="0.3">
      <c r="A7" t="s">
        <v>61</v>
      </c>
      <c r="B7" s="153">
        <v>45010</v>
      </c>
      <c r="C7" t="s">
        <v>58</v>
      </c>
      <c r="D7" t="s">
        <v>165</v>
      </c>
      <c r="E7">
        <v>10402</v>
      </c>
      <c r="F7" t="str">
        <f t="shared" si="2"/>
        <v>Resdiential-ESCO</v>
      </c>
      <c r="G7">
        <f t="shared" si="3"/>
        <v>1</v>
      </c>
      <c r="I7" s="157" t="s">
        <v>170</v>
      </c>
      <c r="J7" s="156">
        <v>10402</v>
      </c>
      <c r="K7" s="156">
        <v>2125</v>
      </c>
    </row>
    <row r="8" spans="1:11" x14ac:dyDescent="0.3">
      <c r="A8" t="s">
        <v>61</v>
      </c>
      <c r="B8" s="153">
        <v>45010</v>
      </c>
      <c r="C8" t="s">
        <v>59</v>
      </c>
      <c r="D8" t="s">
        <v>165</v>
      </c>
      <c r="E8">
        <v>2125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45010</v>
      </c>
      <c r="C9" t="s">
        <v>59</v>
      </c>
      <c r="D9" t="s">
        <v>168</v>
      </c>
      <c r="E9">
        <v>15660</v>
      </c>
      <c r="F9" t="str">
        <f t="shared" si="2"/>
        <v>Low Income Resdiential-GRID</v>
      </c>
      <c r="G9">
        <f t="shared" si="3"/>
        <v>1</v>
      </c>
      <c r="I9" s="157" t="s">
        <v>169</v>
      </c>
      <c r="J9" s="156">
        <v>531</v>
      </c>
      <c r="K9" s="156">
        <v>55</v>
      </c>
    </row>
    <row r="10" spans="1:11" x14ac:dyDescent="0.3">
      <c r="A10" t="s">
        <v>62</v>
      </c>
      <c r="B10" s="153">
        <v>45010</v>
      </c>
      <c r="C10" t="s">
        <v>58</v>
      </c>
      <c r="D10" t="s">
        <v>166</v>
      </c>
      <c r="E10">
        <v>99255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1693</v>
      </c>
      <c r="K10" s="156">
        <v>216</v>
      </c>
    </row>
    <row r="11" spans="1:11" x14ac:dyDescent="0.3">
      <c r="A11" t="s">
        <v>62</v>
      </c>
      <c r="B11" s="153">
        <v>45010</v>
      </c>
      <c r="C11" t="s">
        <v>58</v>
      </c>
      <c r="D11" t="s">
        <v>165</v>
      </c>
      <c r="E11">
        <v>1693</v>
      </c>
      <c r="F11" t="str">
        <f t="shared" si="2"/>
        <v>Resdiential-ESCO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45010</v>
      </c>
      <c r="C12" t="s">
        <v>59</v>
      </c>
      <c r="D12" t="s">
        <v>165</v>
      </c>
      <c r="E12">
        <v>216</v>
      </c>
      <c r="F12" t="str">
        <f t="shared" si="2"/>
        <v>Resdiential-ESCO</v>
      </c>
      <c r="G12">
        <f t="shared" si="3"/>
        <v>2</v>
      </c>
      <c r="I12" s="157" t="s">
        <v>169</v>
      </c>
      <c r="J12" s="156">
        <v>188</v>
      </c>
      <c r="K12" s="156">
        <v>30</v>
      </c>
    </row>
    <row r="13" spans="1:11" x14ac:dyDescent="0.3">
      <c r="A13" t="s">
        <v>62</v>
      </c>
      <c r="B13" s="153">
        <v>45010</v>
      </c>
      <c r="C13" t="s">
        <v>59</v>
      </c>
      <c r="D13" t="s">
        <v>168</v>
      </c>
      <c r="E13">
        <v>6102</v>
      </c>
      <c r="F13" t="str">
        <f t="shared" si="2"/>
        <v>Low Income Resdiential-GRID</v>
      </c>
      <c r="G13">
        <f t="shared" si="3"/>
        <v>2</v>
      </c>
      <c r="I13" s="157" t="s">
        <v>170</v>
      </c>
      <c r="J13" s="156">
        <v>969</v>
      </c>
      <c r="K13" s="156">
        <v>99</v>
      </c>
    </row>
    <row r="14" spans="1:11" x14ac:dyDescent="0.3">
      <c r="A14" t="s">
        <v>62</v>
      </c>
      <c r="B14" s="153">
        <v>45010</v>
      </c>
      <c r="C14" t="s">
        <v>58</v>
      </c>
      <c r="D14" t="s">
        <v>168</v>
      </c>
      <c r="E14">
        <v>31871</v>
      </c>
      <c r="F14" t="str">
        <f t="shared" si="2"/>
        <v>Low Income 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45010</v>
      </c>
      <c r="C15" t="s">
        <v>59</v>
      </c>
      <c r="D15" t="s">
        <v>166</v>
      </c>
      <c r="E15">
        <v>23597</v>
      </c>
      <c r="F15" t="str">
        <f t="shared" si="2"/>
        <v>Resdiential-GRID</v>
      </c>
      <c r="G15">
        <f t="shared" si="3"/>
        <v>2</v>
      </c>
      <c r="I15" s="157" t="s">
        <v>169</v>
      </c>
      <c r="J15" s="156">
        <v>87</v>
      </c>
      <c r="K15" s="156">
        <v>8</v>
      </c>
    </row>
    <row r="16" spans="1:11" x14ac:dyDescent="0.3">
      <c r="A16" t="s">
        <v>62</v>
      </c>
      <c r="B16" s="153">
        <v>45010</v>
      </c>
      <c r="C16" t="s">
        <v>58</v>
      </c>
      <c r="D16" t="s">
        <v>167</v>
      </c>
      <c r="E16">
        <v>531</v>
      </c>
      <c r="F16" t="str">
        <f t="shared" si="2"/>
        <v>Low Income Resdiential-ESCO</v>
      </c>
      <c r="G16">
        <f t="shared" si="3"/>
        <v>2</v>
      </c>
      <c r="I16" s="157" t="s">
        <v>170</v>
      </c>
      <c r="J16" s="156">
        <v>288</v>
      </c>
      <c r="K16" s="156">
        <v>69</v>
      </c>
    </row>
    <row r="17" spans="1:11" x14ac:dyDescent="0.3">
      <c r="A17" t="s">
        <v>62</v>
      </c>
      <c r="B17" s="153">
        <v>45010</v>
      </c>
      <c r="C17" t="s">
        <v>59</v>
      </c>
      <c r="D17" t="s">
        <v>167</v>
      </c>
      <c r="E17">
        <v>55</v>
      </c>
      <c r="F17" t="str">
        <f t="shared" si="2"/>
        <v>Low Income 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45010</v>
      </c>
      <c r="C18" t="s">
        <v>58</v>
      </c>
      <c r="D18" t="s">
        <v>166</v>
      </c>
      <c r="E18">
        <v>40333</v>
      </c>
      <c r="F18" t="str">
        <f t="shared" si="2"/>
        <v>Resdiential-GRID</v>
      </c>
      <c r="G18">
        <f t="shared" si="3"/>
        <v>3</v>
      </c>
      <c r="I18" s="157" t="s">
        <v>169</v>
      </c>
      <c r="J18" s="156">
        <v>256</v>
      </c>
      <c r="K18" s="156">
        <v>17</v>
      </c>
    </row>
    <row r="19" spans="1:11" x14ac:dyDescent="0.3">
      <c r="A19" t="s">
        <v>57</v>
      </c>
      <c r="B19" s="153">
        <v>45010</v>
      </c>
      <c r="C19" t="s">
        <v>58</v>
      </c>
      <c r="D19" t="s">
        <v>168</v>
      </c>
      <c r="E19">
        <v>6122</v>
      </c>
      <c r="F19" t="str">
        <f t="shared" si="2"/>
        <v>Low Income Resdiential-GRID</v>
      </c>
      <c r="G19">
        <f t="shared" si="3"/>
        <v>3</v>
      </c>
      <c r="I19" s="157" t="s">
        <v>170</v>
      </c>
      <c r="J19" s="156">
        <v>436</v>
      </c>
      <c r="K19" s="156">
        <v>48</v>
      </c>
    </row>
    <row r="20" spans="1:11" x14ac:dyDescent="0.3">
      <c r="A20" t="s">
        <v>57</v>
      </c>
      <c r="B20" s="153">
        <v>45010</v>
      </c>
      <c r="C20" t="s">
        <v>59</v>
      </c>
      <c r="D20" t="s">
        <v>166</v>
      </c>
      <c r="E20">
        <v>10387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45010</v>
      </c>
      <c r="C21" t="s">
        <v>58</v>
      </c>
      <c r="D21" t="s">
        <v>167</v>
      </c>
      <c r="E21">
        <v>188</v>
      </c>
      <c r="F21" t="str">
        <f t="shared" si="2"/>
        <v>Low Income Resdiential-ESCO</v>
      </c>
      <c r="G21">
        <f t="shared" si="3"/>
        <v>3</v>
      </c>
      <c r="I21" s="157" t="s">
        <v>169</v>
      </c>
      <c r="J21" s="156">
        <v>95800</v>
      </c>
      <c r="K21" s="156">
        <v>9697</v>
      </c>
    </row>
    <row r="22" spans="1:11" x14ac:dyDescent="0.3">
      <c r="A22" t="s">
        <v>57</v>
      </c>
      <c r="B22" s="153">
        <v>45010</v>
      </c>
      <c r="C22" t="s">
        <v>59</v>
      </c>
      <c r="D22" t="s">
        <v>167</v>
      </c>
      <c r="E22">
        <v>30</v>
      </c>
      <c r="F22" t="str">
        <f t="shared" si="2"/>
        <v>Low Income Resdiential-ESCO</v>
      </c>
      <c r="G22">
        <f t="shared" si="3"/>
        <v>3</v>
      </c>
      <c r="I22" s="157" t="s">
        <v>170</v>
      </c>
      <c r="J22" s="156">
        <v>335767</v>
      </c>
      <c r="K22" s="156">
        <v>39014</v>
      </c>
    </row>
    <row r="23" spans="1:11" x14ac:dyDescent="0.3">
      <c r="A23" t="s">
        <v>57</v>
      </c>
      <c r="B23" s="153">
        <v>45010</v>
      </c>
      <c r="C23" t="s">
        <v>58</v>
      </c>
      <c r="D23" t="s">
        <v>165</v>
      </c>
      <c r="E23">
        <v>969</v>
      </c>
      <c r="F23" t="str">
        <f t="shared" si="2"/>
        <v>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45010</v>
      </c>
      <c r="C24" t="s">
        <v>59</v>
      </c>
      <c r="D24" t="s">
        <v>165</v>
      </c>
      <c r="E24">
        <v>99</v>
      </c>
      <c r="F24" t="str">
        <f t="shared" si="2"/>
        <v>Resdiential-ESCO</v>
      </c>
      <c r="G24">
        <f t="shared" si="3"/>
        <v>3</v>
      </c>
      <c r="I24" s="157" t="s">
        <v>169</v>
      </c>
      <c r="J24" s="156">
        <v>61910</v>
      </c>
      <c r="K24" s="156">
        <v>4168</v>
      </c>
    </row>
    <row r="25" spans="1:11" x14ac:dyDescent="0.3">
      <c r="A25" t="s">
        <v>57</v>
      </c>
      <c r="B25" s="153">
        <v>45010</v>
      </c>
      <c r="C25" t="s">
        <v>59</v>
      </c>
      <c r="D25" t="s">
        <v>168</v>
      </c>
      <c r="E25">
        <v>1244</v>
      </c>
      <c r="F25" t="str">
        <f t="shared" si="2"/>
        <v>Low Income Resdiential-GRID</v>
      </c>
      <c r="G25">
        <f t="shared" si="3"/>
        <v>3</v>
      </c>
      <c r="I25" s="157" t="s">
        <v>170</v>
      </c>
      <c r="J25" s="156">
        <v>118795</v>
      </c>
      <c r="K25" s="156">
        <v>13037</v>
      </c>
    </row>
    <row r="26" spans="1:11" x14ac:dyDescent="0.3">
      <c r="A26" t="s">
        <v>48</v>
      </c>
      <c r="B26" s="153">
        <v>45010</v>
      </c>
      <c r="C26" t="s">
        <v>58</v>
      </c>
      <c r="D26" t="s">
        <v>166</v>
      </c>
      <c r="E26">
        <v>17107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45010</v>
      </c>
      <c r="C27" t="s">
        <v>58</v>
      </c>
      <c r="D27" t="s">
        <v>168</v>
      </c>
      <c r="E27">
        <v>3947</v>
      </c>
      <c r="F27" t="str">
        <f t="shared" si="2"/>
        <v>Low Income Resdiential-GRID</v>
      </c>
      <c r="G27">
        <f t="shared" si="3"/>
        <v>4</v>
      </c>
      <c r="I27" s="157" t="s">
        <v>169</v>
      </c>
      <c r="J27" s="156">
        <v>426084</v>
      </c>
      <c r="K27" s="156">
        <v>23350</v>
      </c>
    </row>
    <row r="28" spans="1:11" x14ac:dyDescent="0.3">
      <c r="A28" t="s">
        <v>48</v>
      </c>
      <c r="B28" s="153">
        <v>45010</v>
      </c>
      <c r="C28" t="s">
        <v>58</v>
      </c>
      <c r="D28" t="s">
        <v>165</v>
      </c>
      <c r="E28">
        <v>288</v>
      </c>
      <c r="F28" t="str">
        <f t="shared" si="2"/>
        <v>Resdiential-ESCO</v>
      </c>
      <c r="G28">
        <f t="shared" si="3"/>
        <v>4</v>
      </c>
      <c r="I28" s="157" t="s">
        <v>170</v>
      </c>
      <c r="J28" s="156">
        <v>473383</v>
      </c>
      <c r="K28" s="156">
        <v>16939</v>
      </c>
    </row>
    <row r="29" spans="1:11" x14ac:dyDescent="0.3">
      <c r="A29" t="s">
        <v>48</v>
      </c>
      <c r="B29" s="153">
        <v>45010</v>
      </c>
      <c r="C29" t="s">
        <v>59</v>
      </c>
      <c r="D29" t="s">
        <v>165</v>
      </c>
      <c r="E29">
        <v>69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45010</v>
      </c>
      <c r="C30" t="s">
        <v>59</v>
      </c>
      <c r="D30" t="s">
        <v>166</v>
      </c>
      <c r="E30">
        <v>4264</v>
      </c>
      <c r="F30" t="str">
        <f t="shared" si="2"/>
        <v>Resdiential-GRID</v>
      </c>
      <c r="G30">
        <f t="shared" si="3"/>
        <v>4</v>
      </c>
      <c r="I30" s="157" t="s">
        <v>169</v>
      </c>
      <c r="J30" s="156">
        <v>583795</v>
      </c>
      <c r="K30" s="156">
        <v>37216</v>
      </c>
    </row>
    <row r="31" spans="1:11" x14ac:dyDescent="0.3">
      <c r="A31" t="s">
        <v>48</v>
      </c>
      <c r="B31" s="153">
        <v>45010</v>
      </c>
      <c r="C31" t="s">
        <v>59</v>
      </c>
      <c r="D31" t="s">
        <v>168</v>
      </c>
      <c r="E31">
        <v>758</v>
      </c>
      <c r="F31" t="str">
        <f t="shared" si="2"/>
        <v>Low Income Resdiential-GRID</v>
      </c>
      <c r="G31">
        <f t="shared" si="3"/>
        <v>4</v>
      </c>
      <c r="I31" s="157" t="s">
        <v>170</v>
      </c>
      <c r="J31" s="156">
        <v>927946</v>
      </c>
      <c r="K31" s="156">
        <v>68991</v>
      </c>
    </row>
    <row r="32" spans="1:11" x14ac:dyDescent="0.3">
      <c r="A32" t="s">
        <v>48</v>
      </c>
      <c r="B32" s="153">
        <v>45010</v>
      </c>
      <c r="C32" t="s">
        <v>58</v>
      </c>
      <c r="D32" t="s">
        <v>167</v>
      </c>
      <c r="E32">
        <v>87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45010</v>
      </c>
      <c r="C33" t="s">
        <v>59</v>
      </c>
      <c r="D33" t="s">
        <v>167</v>
      </c>
      <c r="E33">
        <v>8</v>
      </c>
      <c r="F33" t="str">
        <f t="shared" si="2"/>
        <v>Low Income Resdiential-ESCO</v>
      </c>
      <c r="G33">
        <f t="shared" si="3"/>
        <v>4</v>
      </c>
      <c r="I33" s="157" t="s">
        <v>169</v>
      </c>
      <c r="J33" s="156">
        <v>290810</v>
      </c>
      <c r="K33" s="156">
        <v>37494</v>
      </c>
    </row>
    <row r="34" spans="1:11" x14ac:dyDescent="0.3">
      <c r="A34" t="s">
        <v>51</v>
      </c>
      <c r="B34" s="153">
        <v>45010</v>
      </c>
      <c r="C34" t="s">
        <v>58</v>
      </c>
      <c r="D34" t="s">
        <v>166</v>
      </c>
      <c r="E34">
        <v>41815</v>
      </c>
      <c r="F34" t="str">
        <f t="shared" si="2"/>
        <v>Resdiential-GRID</v>
      </c>
      <c r="G34">
        <f t="shared" si="3"/>
        <v>5</v>
      </c>
      <c r="I34" s="157" t="s">
        <v>170</v>
      </c>
      <c r="J34" s="156">
        <v>1839635</v>
      </c>
      <c r="K34" s="156">
        <v>320219</v>
      </c>
    </row>
    <row r="35" spans="1:11" x14ac:dyDescent="0.3">
      <c r="A35" t="s">
        <v>51</v>
      </c>
      <c r="B35" s="153">
        <v>45010</v>
      </c>
      <c r="C35" t="s">
        <v>59</v>
      </c>
      <c r="D35" t="s">
        <v>168</v>
      </c>
      <c r="E35">
        <v>4100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45010</v>
      </c>
      <c r="C36" t="s">
        <v>58</v>
      </c>
      <c r="D36" t="s">
        <v>168</v>
      </c>
      <c r="E36">
        <v>21802</v>
      </c>
      <c r="F36" t="str">
        <f t="shared" si="2"/>
        <v>Low Income Resdiential-GRID</v>
      </c>
      <c r="G36">
        <f t="shared" si="3"/>
        <v>5</v>
      </c>
      <c r="I36" s="157" t="s">
        <v>169</v>
      </c>
      <c r="J36" s="156">
        <v>259554</v>
      </c>
      <c r="K36" s="156">
        <v>45279</v>
      </c>
    </row>
    <row r="37" spans="1:11" x14ac:dyDescent="0.3">
      <c r="A37" t="s">
        <v>51</v>
      </c>
      <c r="B37" s="153">
        <v>45010</v>
      </c>
      <c r="C37" t="s">
        <v>59</v>
      </c>
      <c r="D37" t="s">
        <v>166</v>
      </c>
      <c r="E37">
        <v>8946</v>
      </c>
      <c r="F37" t="str">
        <f t="shared" si="2"/>
        <v>Resdiential-GRID</v>
      </c>
      <c r="G37">
        <f t="shared" si="3"/>
        <v>5</v>
      </c>
      <c r="I37" s="157" t="s">
        <v>170</v>
      </c>
      <c r="J37" s="156">
        <v>1355552</v>
      </c>
      <c r="K37" s="156">
        <v>329648</v>
      </c>
    </row>
    <row r="38" spans="1:11" x14ac:dyDescent="0.3">
      <c r="A38" t="s">
        <v>51</v>
      </c>
      <c r="B38" s="153">
        <v>45010</v>
      </c>
      <c r="C38" t="s">
        <v>58</v>
      </c>
      <c r="D38" t="s">
        <v>167</v>
      </c>
      <c r="E38">
        <v>256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45010</v>
      </c>
      <c r="C39" t="s">
        <v>59</v>
      </c>
      <c r="D39" t="s">
        <v>167</v>
      </c>
      <c r="E39">
        <v>17</v>
      </c>
      <c r="F39" t="str">
        <f t="shared" si="2"/>
        <v>Low Income Resdiential-ESCO</v>
      </c>
      <c r="G39">
        <f t="shared" si="3"/>
        <v>5</v>
      </c>
      <c r="I39" s="157" t="s">
        <v>169</v>
      </c>
      <c r="J39" s="156">
        <v>3</v>
      </c>
      <c r="K39" s="156"/>
    </row>
    <row r="40" spans="1:11" x14ac:dyDescent="0.3">
      <c r="A40" t="s">
        <v>51</v>
      </c>
      <c r="B40" s="153">
        <v>45010</v>
      </c>
      <c r="C40" t="s">
        <v>58</v>
      </c>
      <c r="D40" t="s">
        <v>165</v>
      </c>
      <c r="E40">
        <v>436</v>
      </c>
      <c r="F40" t="str">
        <f t="shared" si="2"/>
        <v>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45010</v>
      </c>
      <c r="C41" t="s">
        <v>59</v>
      </c>
      <c r="D41" t="s">
        <v>165</v>
      </c>
      <c r="E41">
        <v>48</v>
      </c>
      <c r="F41" t="str">
        <f t="shared" si="2"/>
        <v>Resdiential-ESCO</v>
      </c>
      <c r="G41">
        <f t="shared" si="3"/>
        <v>5</v>
      </c>
      <c r="I41" s="157" t="s">
        <v>169</v>
      </c>
      <c r="J41" s="156">
        <v>12</v>
      </c>
      <c r="K41" s="156"/>
    </row>
    <row r="42" spans="1:11" x14ac:dyDescent="0.3">
      <c r="A42" t="s">
        <v>52</v>
      </c>
      <c r="B42" s="153">
        <v>45010</v>
      </c>
      <c r="C42" t="s">
        <v>59</v>
      </c>
      <c r="D42" t="s">
        <v>168</v>
      </c>
      <c r="E42">
        <v>1192479</v>
      </c>
      <c r="F42" t="str">
        <f t="shared" si="2"/>
        <v>Low Income Resdiential-GRID</v>
      </c>
      <c r="G42">
        <f t="shared" si="3"/>
        <v>6</v>
      </c>
      <c r="I42" s="157" t="s">
        <v>170</v>
      </c>
      <c r="J42" s="156">
        <v>39</v>
      </c>
      <c r="K42" s="156">
        <v>9</v>
      </c>
    </row>
    <row r="43" spans="1:11" x14ac:dyDescent="0.3">
      <c r="A43" t="s">
        <v>52</v>
      </c>
      <c r="B43" s="153">
        <v>45010</v>
      </c>
      <c r="C43" t="s">
        <v>58</v>
      </c>
      <c r="D43" t="s">
        <v>166</v>
      </c>
      <c r="E43">
        <v>23853000</v>
      </c>
      <c r="F43" t="str">
        <f t="shared" si="2"/>
        <v>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45010</v>
      </c>
      <c r="C44" t="s">
        <v>58</v>
      </c>
      <c r="D44" t="s">
        <v>168</v>
      </c>
      <c r="E44">
        <v>7148269</v>
      </c>
      <c r="F44" t="str">
        <f t="shared" si="2"/>
        <v>Low Income Resdiential-GRID</v>
      </c>
      <c r="G44">
        <f t="shared" si="3"/>
        <v>6</v>
      </c>
      <c r="I44" s="157" t="s">
        <v>169</v>
      </c>
      <c r="J44" s="156">
        <v>229702</v>
      </c>
      <c r="K44" s="156">
        <v>34091</v>
      </c>
    </row>
    <row r="45" spans="1:11" x14ac:dyDescent="0.3">
      <c r="A45" t="s">
        <v>52</v>
      </c>
      <c r="B45" s="153">
        <v>45010</v>
      </c>
      <c r="C45" t="s">
        <v>59</v>
      </c>
      <c r="D45" t="s">
        <v>166</v>
      </c>
      <c r="E45">
        <v>5250415</v>
      </c>
      <c r="F45" t="str">
        <f t="shared" si="2"/>
        <v>Resdiential-GRID</v>
      </c>
      <c r="G45">
        <f t="shared" si="3"/>
        <v>6</v>
      </c>
      <c r="I45" s="157" t="s">
        <v>170</v>
      </c>
      <c r="J45" s="156">
        <v>1548485</v>
      </c>
      <c r="K45" s="156">
        <v>320430</v>
      </c>
    </row>
    <row r="46" spans="1:11" x14ac:dyDescent="0.3">
      <c r="A46" t="s">
        <v>52</v>
      </c>
      <c r="B46" s="153">
        <v>45010</v>
      </c>
      <c r="C46" t="s">
        <v>58</v>
      </c>
      <c r="D46" t="s">
        <v>167</v>
      </c>
      <c r="E46">
        <v>95800</v>
      </c>
      <c r="F46" t="str">
        <f t="shared" si="2"/>
        <v>Low Income Resdiential-ESCO</v>
      </c>
      <c r="G46">
        <f t="shared" si="3"/>
        <v>6</v>
      </c>
      <c r="I46" s="155">
        <v>99</v>
      </c>
      <c r="J46" s="156"/>
      <c r="K46" s="156"/>
    </row>
    <row r="47" spans="1:11" x14ac:dyDescent="0.3">
      <c r="A47" t="s">
        <v>52</v>
      </c>
      <c r="B47" s="153">
        <v>45010</v>
      </c>
      <c r="C47" t="s">
        <v>59</v>
      </c>
      <c r="D47" t="s">
        <v>167</v>
      </c>
      <c r="E47">
        <v>9697</v>
      </c>
      <c r="F47" t="str">
        <f t="shared" si="2"/>
        <v>Low Income Resdiential-ESCO</v>
      </c>
      <c r="G47">
        <f t="shared" si="3"/>
        <v>6</v>
      </c>
      <c r="I47" s="157" t="s">
        <v>169</v>
      </c>
      <c r="J47" s="156">
        <v>1</v>
      </c>
      <c r="K47" s="156"/>
    </row>
    <row r="48" spans="1:11" x14ac:dyDescent="0.3">
      <c r="A48" t="s">
        <v>52</v>
      </c>
      <c r="B48" s="153">
        <v>45010</v>
      </c>
      <c r="C48" t="s">
        <v>58</v>
      </c>
      <c r="D48" t="s">
        <v>165</v>
      </c>
      <c r="E48">
        <v>335767</v>
      </c>
      <c r="F48" t="str">
        <f t="shared" si="2"/>
        <v>Resdiential-ESCO</v>
      </c>
      <c r="G48">
        <f t="shared" si="3"/>
        <v>6</v>
      </c>
    </row>
    <row r="49" spans="1:7" x14ac:dyDescent="0.3">
      <c r="A49" t="s">
        <v>52</v>
      </c>
      <c r="B49" s="153">
        <v>45010</v>
      </c>
      <c r="C49" t="s">
        <v>59</v>
      </c>
      <c r="D49" t="s">
        <v>165</v>
      </c>
      <c r="E49">
        <v>39014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53</v>
      </c>
      <c r="B50" s="153">
        <v>45010</v>
      </c>
      <c r="C50" t="s">
        <v>58</v>
      </c>
      <c r="D50" t="s">
        <v>166</v>
      </c>
      <c r="E50">
        <v>12385730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45010</v>
      </c>
      <c r="C51" t="s">
        <v>58</v>
      </c>
      <c r="D51" t="s">
        <v>168</v>
      </c>
      <c r="E51">
        <v>5404580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45010</v>
      </c>
      <c r="C52" t="s">
        <v>58</v>
      </c>
      <c r="D52" t="s">
        <v>165</v>
      </c>
      <c r="E52">
        <v>118795</v>
      </c>
      <c r="F52" t="str">
        <f t="shared" si="2"/>
        <v>Resdiential-ESCO</v>
      </c>
      <c r="G52">
        <f t="shared" si="3"/>
        <v>7</v>
      </c>
    </row>
    <row r="53" spans="1:7" x14ac:dyDescent="0.3">
      <c r="A53" t="s">
        <v>53</v>
      </c>
      <c r="B53" s="153">
        <v>45010</v>
      </c>
      <c r="C53" t="s">
        <v>59</v>
      </c>
      <c r="D53" t="s">
        <v>165</v>
      </c>
      <c r="E53">
        <v>13037</v>
      </c>
      <c r="F53" t="str">
        <f t="shared" si="2"/>
        <v>Resdiential-ESCO</v>
      </c>
      <c r="G53">
        <f t="shared" si="3"/>
        <v>7</v>
      </c>
    </row>
    <row r="54" spans="1:7" x14ac:dyDescent="0.3">
      <c r="A54" t="s">
        <v>53</v>
      </c>
      <c r="B54" s="153">
        <v>45010</v>
      </c>
      <c r="C54" t="s">
        <v>59</v>
      </c>
      <c r="D54" t="s">
        <v>166</v>
      </c>
      <c r="E54">
        <v>2682888</v>
      </c>
      <c r="F54" t="str">
        <f t="shared" si="2"/>
        <v>Resdiential-GRID</v>
      </c>
      <c r="G54">
        <f t="shared" si="3"/>
        <v>7</v>
      </c>
    </row>
    <row r="55" spans="1:7" x14ac:dyDescent="0.3">
      <c r="A55" t="s">
        <v>53</v>
      </c>
      <c r="B55" s="153">
        <v>45010</v>
      </c>
      <c r="C55" t="s">
        <v>59</v>
      </c>
      <c r="D55" t="s">
        <v>168</v>
      </c>
      <c r="E55">
        <v>880145</v>
      </c>
      <c r="F55" t="str">
        <f t="shared" si="2"/>
        <v>Low Income Resdiential-GRID</v>
      </c>
      <c r="G55">
        <f t="shared" si="3"/>
        <v>7</v>
      </c>
    </row>
    <row r="56" spans="1:7" x14ac:dyDescent="0.3">
      <c r="A56" t="s">
        <v>53</v>
      </c>
      <c r="B56" s="153">
        <v>45010</v>
      </c>
      <c r="C56" t="s">
        <v>58</v>
      </c>
      <c r="D56" t="s">
        <v>167</v>
      </c>
      <c r="E56">
        <v>61910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45010</v>
      </c>
      <c r="C57" t="s">
        <v>59</v>
      </c>
      <c r="D57" t="s">
        <v>167</v>
      </c>
      <c r="E57">
        <v>4168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45010</v>
      </c>
      <c r="C58" t="s">
        <v>58</v>
      </c>
      <c r="D58" t="s">
        <v>168</v>
      </c>
      <c r="E58">
        <v>38666513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45010</v>
      </c>
      <c r="C59" t="s">
        <v>59</v>
      </c>
      <c r="D59" t="s">
        <v>168</v>
      </c>
      <c r="E59">
        <v>6416741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45010</v>
      </c>
      <c r="C60" t="s">
        <v>58</v>
      </c>
      <c r="D60" t="s">
        <v>166</v>
      </c>
      <c r="E60">
        <v>48598962</v>
      </c>
      <c r="F60" t="str">
        <f t="shared" si="4"/>
        <v>Resdiential-GRID</v>
      </c>
      <c r="G60">
        <f t="shared" si="5"/>
        <v>8</v>
      </c>
    </row>
    <row r="61" spans="1:7" x14ac:dyDescent="0.3">
      <c r="A61" t="s">
        <v>54</v>
      </c>
      <c r="B61" s="153">
        <v>45010</v>
      </c>
      <c r="C61" t="s">
        <v>58</v>
      </c>
      <c r="D61" t="s">
        <v>165</v>
      </c>
      <c r="E61">
        <v>473383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45010</v>
      </c>
      <c r="C62" t="s">
        <v>59</v>
      </c>
      <c r="D62" t="s">
        <v>165</v>
      </c>
      <c r="E62">
        <v>16939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45010</v>
      </c>
      <c r="C63" t="s">
        <v>58</v>
      </c>
      <c r="D63" t="s">
        <v>167</v>
      </c>
      <c r="E63">
        <v>426084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45010</v>
      </c>
      <c r="C64" t="s">
        <v>59</v>
      </c>
      <c r="D64" t="s">
        <v>167</v>
      </c>
      <c r="E64">
        <v>23350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45010</v>
      </c>
      <c r="C65" t="s">
        <v>59</v>
      </c>
      <c r="D65" t="s">
        <v>166</v>
      </c>
      <c r="E65">
        <v>10976632</v>
      </c>
      <c r="F65" t="str">
        <f t="shared" si="4"/>
        <v>Resdiential-GRID</v>
      </c>
      <c r="G65">
        <f t="shared" si="5"/>
        <v>8</v>
      </c>
    </row>
    <row r="66" spans="1:7" x14ac:dyDescent="0.3">
      <c r="A66" t="s">
        <v>60</v>
      </c>
      <c r="B66" s="153">
        <v>45010</v>
      </c>
      <c r="C66" t="s">
        <v>58</v>
      </c>
      <c r="D66" t="s">
        <v>166</v>
      </c>
      <c r="E66">
        <v>84837692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45010</v>
      </c>
      <c r="C67" t="s">
        <v>59</v>
      </c>
      <c r="D67" t="s">
        <v>168</v>
      </c>
      <c r="E67">
        <v>8489366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45010</v>
      </c>
      <c r="C68" t="s">
        <v>58</v>
      </c>
      <c r="D68" t="s">
        <v>168</v>
      </c>
      <c r="E68">
        <v>51219364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45010</v>
      </c>
      <c r="C69" t="s">
        <v>59</v>
      </c>
      <c r="D69" t="s">
        <v>166</v>
      </c>
      <c r="E69">
        <v>18909937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45010</v>
      </c>
      <c r="C70" t="s">
        <v>58</v>
      </c>
      <c r="D70" t="s">
        <v>165</v>
      </c>
      <c r="E70">
        <v>927946</v>
      </c>
      <c r="F70" t="str">
        <f t="shared" si="4"/>
        <v>Resdiential-ESCO</v>
      </c>
      <c r="G70">
        <f t="shared" si="5"/>
        <v>9</v>
      </c>
    </row>
    <row r="71" spans="1:7" x14ac:dyDescent="0.3">
      <c r="A71" t="s">
        <v>60</v>
      </c>
      <c r="B71" s="153">
        <v>45010</v>
      </c>
      <c r="C71" t="s">
        <v>59</v>
      </c>
      <c r="D71" t="s">
        <v>165</v>
      </c>
      <c r="E71">
        <v>68991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53">
        <v>45010</v>
      </c>
      <c r="C72" t="s">
        <v>58</v>
      </c>
      <c r="D72" t="s">
        <v>167</v>
      </c>
      <c r="E72">
        <v>583795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45010</v>
      </c>
      <c r="C73" t="s">
        <v>59</v>
      </c>
      <c r="D73" t="s">
        <v>167</v>
      </c>
      <c r="E73">
        <v>37216</v>
      </c>
      <c r="F73" t="str">
        <f t="shared" si="4"/>
        <v>Low Income Resdiential-ESCO</v>
      </c>
      <c r="G73">
        <f t="shared" si="5"/>
        <v>9</v>
      </c>
    </row>
    <row r="74" spans="1:7" x14ac:dyDescent="0.3">
      <c r="A74" t="s">
        <v>85</v>
      </c>
      <c r="B74" s="153">
        <v>45010</v>
      </c>
      <c r="C74" t="s">
        <v>58</v>
      </c>
      <c r="D74" t="s">
        <v>165</v>
      </c>
      <c r="E74">
        <v>1839635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45010</v>
      </c>
      <c r="C75" t="s">
        <v>59</v>
      </c>
      <c r="D75" t="s">
        <v>165</v>
      </c>
      <c r="E75">
        <v>320219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45010</v>
      </c>
      <c r="C76" t="s">
        <v>58</v>
      </c>
      <c r="D76" t="s">
        <v>166</v>
      </c>
      <c r="E76">
        <v>149990942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45010</v>
      </c>
      <c r="C77" t="s">
        <v>59</v>
      </c>
      <c r="D77" t="s">
        <v>166</v>
      </c>
      <c r="E77">
        <v>41740529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45010</v>
      </c>
      <c r="C78" t="s">
        <v>58</v>
      </c>
      <c r="D78" t="s">
        <v>167</v>
      </c>
      <c r="E78">
        <v>290810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45010</v>
      </c>
      <c r="C79" t="s">
        <v>59</v>
      </c>
      <c r="D79" t="s">
        <v>167</v>
      </c>
      <c r="E79">
        <v>37494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45010</v>
      </c>
      <c r="C80" t="s">
        <v>58</v>
      </c>
      <c r="D80" t="s">
        <v>168</v>
      </c>
      <c r="E80">
        <v>18809286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45010</v>
      </c>
      <c r="C81" t="s">
        <v>59</v>
      </c>
      <c r="D81" t="s">
        <v>168</v>
      </c>
      <c r="E81">
        <v>4177638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45010</v>
      </c>
      <c r="C82" t="s">
        <v>59</v>
      </c>
      <c r="D82" t="s">
        <v>166</v>
      </c>
      <c r="E82">
        <v>7315</v>
      </c>
      <c r="F82" t="str">
        <f t="shared" si="4"/>
        <v>Resdiential-GRID</v>
      </c>
      <c r="G82">
        <f t="shared" si="5"/>
        <v>12</v>
      </c>
    </row>
    <row r="83" spans="1:7" x14ac:dyDescent="0.3">
      <c r="A83" t="s">
        <v>86</v>
      </c>
      <c r="B83" s="153">
        <v>45010</v>
      </c>
      <c r="C83" t="s">
        <v>58</v>
      </c>
      <c r="D83" t="s">
        <v>168</v>
      </c>
      <c r="E83">
        <v>12175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45010</v>
      </c>
      <c r="C84" t="s">
        <v>59</v>
      </c>
      <c r="D84" t="s">
        <v>168</v>
      </c>
      <c r="E84">
        <v>814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45010</v>
      </c>
      <c r="C85" t="s">
        <v>58</v>
      </c>
      <c r="D85" t="s">
        <v>166</v>
      </c>
      <c r="E85">
        <v>41261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45010</v>
      </c>
      <c r="C86" t="s">
        <v>58</v>
      </c>
      <c r="D86" t="s">
        <v>167</v>
      </c>
      <c r="E86">
        <v>259554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45010</v>
      </c>
      <c r="C87" t="s">
        <v>59</v>
      </c>
      <c r="D87" t="s">
        <v>167</v>
      </c>
      <c r="E87">
        <v>45279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45010</v>
      </c>
      <c r="C88" t="s">
        <v>58</v>
      </c>
      <c r="D88" t="s">
        <v>165</v>
      </c>
      <c r="E88">
        <v>1355552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45010</v>
      </c>
      <c r="C89" t="s">
        <v>59</v>
      </c>
      <c r="D89" t="s">
        <v>165</v>
      </c>
      <c r="E89">
        <v>329648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45010</v>
      </c>
      <c r="C90" t="s">
        <v>58</v>
      </c>
      <c r="D90" t="s">
        <v>167</v>
      </c>
      <c r="E90">
        <v>3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45010</v>
      </c>
      <c r="C91" t="s">
        <v>58</v>
      </c>
      <c r="D91" t="s">
        <v>166</v>
      </c>
      <c r="E91">
        <v>14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45010</v>
      </c>
      <c r="C92" t="s">
        <v>59</v>
      </c>
      <c r="D92" t="s">
        <v>166</v>
      </c>
      <c r="E92">
        <v>3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45010</v>
      </c>
      <c r="C93" t="s">
        <v>59</v>
      </c>
      <c r="D93" t="s">
        <v>168</v>
      </c>
      <c r="E93">
        <v>256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45010</v>
      </c>
      <c r="C94" t="s">
        <v>58</v>
      </c>
      <c r="D94" t="s">
        <v>168</v>
      </c>
      <c r="E94">
        <v>1271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209</v>
      </c>
      <c r="B95" s="153">
        <v>45010</v>
      </c>
      <c r="C95" t="s">
        <v>58</v>
      </c>
      <c r="D95" t="s">
        <v>166</v>
      </c>
      <c r="E95">
        <v>92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209</v>
      </c>
      <c r="B96" s="153">
        <v>45010</v>
      </c>
      <c r="C96" t="s">
        <v>59</v>
      </c>
      <c r="D96" t="s">
        <v>166</v>
      </c>
      <c r="E96">
        <v>18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209</v>
      </c>
      <c r="B97" s="153">
        <v>45010</v>
      </c>
      <c r="C97" t="s">
        <v>58</v>
      </c>
      <c r="D97" t="s">
        <v>168</v>
      </c>
      <c r="E97">
        <v>2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201</v>
      </c>
      <c r="B98" s="153">
        <v>45010</v>
      </c>
      <c r="C98" t="s">
        <v>58</v>
      </c>
      <c r="D98" t="s">
        <v>166</v>
      </c>
      <c r="E98">
        <v>29</v>
      </c>
      <c r="F98" t="str">
        <f t="shared" si="6"/>
        <v>Resdiential-GRID</v>
      </c>
      <c r="G98">
        <f t="shared" si="7"/>
        <v>99</v>
      </c>
    </row>
    <row r="99" spans="1:7" x14ac:dyDescent="0.3">
      <c r="A99" t="s">
        <v>201</v>
      </c>
      <c r="B99" s="153">
        <v>45010</v>
      </c>
      <c r="C99" t="s">
        <v>59</v>
      </c>
      <c r="D99" t="s">
        <v>166</v>
      </c>
      <c r="E99">
        <v>7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201</v>
      </c>
      <c r="B100" s="153">
        <v>45010</v>
      </c>
      <c r="C100" t="s">
        <v>58</v>
      </c>
      <c r="D100" t="s">
        <v>167</v>
      </c>
      <c r="E100">
        <v>1</v>
      </c>
      <c r="F100" t="str">
        <f t="shared" si="6"/>
        <v>Low Income Resdiential-ESCO</v>
      </c>
      <c r="G100">
        <f t="shared" si="7"/>
        <v>99</v>
      </c>
    </row>
    <row r="101" spans="1:7" x14ac:dyDescent="0.3">
      <c r="A101" t="s">
        <v>201</v>
      </c>
      <c r="B101" s="153">
        <v>45010</v>
      </c>
      <c r="C101" t="s">
        <v>58</v>
      </c>
      <c r="D101" t="s">
        <v>168</v>
      </c>
      <c r="E101">
        <v>1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67</v>
      </c>
      <c r="B102" s="153">
        <v>45010</v>
      </c>
      <c r="C102" t="s">
        <v>58</v>
      </c>
      <c r="D102" t="s">
        <v>168</v>
      </c>
      <c r="E102">
        <v>2492</v>
      </c>
      <c r="F102" t="str">
        <f t="shared" si="6"/>
        <v>Low Income Resdiential-GRID</v>
      </c>
      <c r="G102">
        <f t="shared" si="7"/>
        <v>19</v>
      </c>
    </row>
    <row r="103" spans="1:7" x14ac:dyDescent="0.3">
      <c r="A103" t="s">
        <v>67</v>
      </c>
      <c r="B103" s="153">
        <v>45010</v>
      </c>
      <c r="C103" t="s">
        <v>58</v>
      </c>
      <c r="D103" t="s">
        <v>165</v>
      </c>
      <c r="E103">
        <v>39</v>
      </c>
      <c r="F103" t="str">
        <f t="shared" si="6"/>
        <v>Resdiential-ESCO</v>
      </c>
      <c r="G103">
        <f t="shared" si="7"/>
        <v>19</v>
      </c>
    </row>
    <row r="104" spans="1:7" x14ac:dyDescent="0.3">
      <c r="A104" t="s">
        <v>67</v>
      </c>
      <c r="B104" s="153">
        <v>45010</v>
      </c>
      <c r="C104" t="s">
        <v>59</v>
      </c>
      <c r="D104" t="s">
        <v>165</v>
      </c>
      <c r="E104">
        <v>9</v>
      </c>
      <c r="F104" t="str">
        <f t="shared" si="6"/>
        <v>Resdiential-ESCO</v>
      </c>
      <c r="G104">
        <f t="shared" si="7"/>
        <v>19</v>
      </c>
    </row>
    <row r="105" spans="1:7" x14ac:dyDescent="0.3">
      <c r="A105" t="s">
        <v>67</v>
      </c>
      <c r="B105" s="153">
        <v>45010</v>
      </c>
      <c r="C105" t="s">
        <v>58</v>
      </c>
      <c r="D105" t="s">
        <v>166</v>
      </c>
      <c r="E105">
        <v>5736</v>
      </c>
      <c r="F105" t="str">
        <f t="shared" si="6"/>
        <v>Resdiential-GRID</v>
      </c>
      <c r="G105">
        <f t="shared" si="7"/>
        <v>19</v>
      </c>
    </row>
    <row r="106" spans="1:7" x14ac:dyDescent="0.3">
      <c r="A106" t="s">
        <v>67</v>
      </c>
      <c r="B106" s="153">
        <v>45010</v>
      </c>
      <c r="C106" t="s">
        <v>58</v>
      </c>
      <c r="D106" t="s">
        <v>167</v>
      </c>
      <c r="E106">
        <v>12</v>
      </c>
      <c r="F106" t="str">
        <f t="shared" si="6"/>
        <v>Low Income Resdiential-ESCO</v>
      </c>
      <c r="G106">
        <f t="shared" si="7"/>
        <v>19</v>
      </c>
    </row>
    <row r="107" spans="1:7" x14ac:dyDescent="0.3">
      <c r="A107" t="s">
        <v>67</v>
      </c>
      <c r="B107" s="153">
        <v>45010</v>
      </c>
      <c r="C107" t="s">
        <v>59</v>
      </c>
      <c r="D107" t="s">
        <v>168</v>
      </c>
      <c r="E107">
        <v>500</v>
      </c>
      <c r="F107" t="str">
        <f t="shared" si="6"/>
        <v>Low Income Resdiential-GRID</v>
      </c>
      <c r="G107">
        <f t="shared" si="7"/>
        <v>19</v>
      </c>
    </row>
    <row r="108" spans="1:7" x14ac:dyDescent="0.3">
      <c r="A108" t="s">
        <v>67</v>
      </c>
      <c r="B108" s="153">
        <v>45010</v>
      </c>
      <c r="C108" t="s">
        <v>59</v>
      </c>
      <c r="D108" t="s">
        <v>166</v>
      </c>
      <c r="E108">
        <v>1419</v>
      </c>
      <c r="F108" t="str">
        <f t="shared" si="6"/>
        <v>Resdiential-GRID</v>
      </c>
      <c r="G108">
        <f t="shared" si="7"/>
        <v>19</v>
      </c>
    </row>
    <row r="109" spans="1:7" x14ac:dyDescent="0.3">
      <c r="A109" t="s">
        <v>158</v>
      </c>
      <c r="B109" s="153">
        <v>45010</v>
      </c>
      <c r="C109" t="s">
        <v>58</v>
      </c>
      <c r="D109" t="s">
        <v>166</v>
      </c>
      <c r="E109">
        <v>66965968</v>
      </c>
      <c r="F109" t="str">
        <f t="shared" si="6"/>
        <v>Resdiential-GRID</v>
      </c>
      <c r="G109">
        <f t="shared" si="7"/>
        <v>20</v>
      </c>
    </row>
    <row r="110" spans="1:7" x14ac:dyDescent="0.3">
      <c r="A110" t="s">
        <v>158</v>
      </c>
      <c r="B110" s="153">
        <v>45010</v>
      </c>
      <c r="C110" t="s">
        <v>59</v>
      </c>
      <c r="D110" t="s">
        <v>166</v>
      </c>
      <c r="E110">
        <v>21015127</v>
      </c>
      <c r="F110" t="str">
        <f t="shared" ref="F110" si="8">TRIM(MID(D110,3,50))</f>
        <v>Resdiential-GRID</v>
      </c>
      <c r="G110">
        <f t="shared" ref="G110" si="9">VALUE(TRIM(MID(A110,6,2)))</f>
        <v>20</v>
      </c>
    </row>
    <row r="111" spans="1:7" x14ac:dyDescent="0.3">
      <c r="A111" t="s">
        <v>158</v>
      </c>
      <c r="B111" s="153">
        <v>45010</v>
      </c>
      <c r="C111" t="s">
        <v>58</v>
      </c>
      <c r="D111" t="s">
        <v>168</v>
      </c>
      <c r="E111">
        <v>9263177</v>
      </c>
      <c r="F111" t="str">
        <f t="shared" ref="F111" si="10">TRIM(MID(D111,3,50))</f>
        <v>Low Income Resdiential-GRID</v>
      </c>
      <c r="G111">
        <f t="shared" ref="G111" si="11">VALUE(TRIM(MID(A111,6,2)))</f>
        <v>20</v>
      </c>
    </row>
    <row r="112" spans="1:7" x14ac:dyDescent="0.3">
      <c r="A112" t="s">
        <v>158</v>
      </c>
      <c r="B112" s="153">
        <v>45010</v>
      </c>
      <c r="C112" t="s">
        <v>58</v>
      </c>
      <c r="D112" t="s">
        <v>167</v>
      </c>
      <c r="E112">
        <v>229702</v>
      </c>
      <c r="F112" t="str">
        <f t="shared" ref="F112" si="12">TRIM(MID(D112,3,50))</f>
        <v>Low Income Resdiential-ESCO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45010</v>
      </c>
      <c r="C113" t="s">
        <v>59</v>
      </c>
      <c r="D113" t="s">
        <v>167</v>
      </c>
      <c r="E113">
        <v>34091</v>
      </c>
      <c r="F113" t="str">
        <f t="shared" ref="F113:F116" si="14">TRIM(MID(D113,3,50))</f>
        <v>Low Income Resdiential-ESCO</v>
      </c>
      <c r="G113">
        <f t="shared" ref="G113:G116" si="15">VALUE(TRIM(MID(A113,6,2)))</f>
        <v>20</v>
      </c>
    </row>
    <row r="114" spans="1:7" x14ac:dyDescent="0.3">
      <c r="A114" t="s">
        <v>158</v>
      </c>
      <c r="B114" s="153">
        <v>45010</v>
      </c>
      <c r="C114" t="s">
        <v>58</v>
      </c>
      <c r="D114" t="s">
        <v>165</v>
      </c>
      <c r="E114">
        <v>1548485</v>
      </c>
      <c r="F114" t="str">
        <f t="shared" si="14"/>
        <v>Resdiential-ESCO</v>
      </c>
      <c r="G114">
        <f t="shared" si="15"/>
        <v>20</v>
      </c>
    </row>
    <row r="115" spans="1:7" x14ac:dyDescent="0.3">
      <c r="A115" t="s">
        <v>158</v>
      </c>
      <c r="B115" s="153">
        <v>45010</v>
      </c>
      <c r="C115" t="s">
        <v>59</v>
      </c>
      <c r="D115" t="s">
        <v>165</v>
      </c>
      <c r="E115">
        <v>320430</v>
      </c>
      <c r="F115" t="str">
        <f t="shared" si="14"/>
        <v>Resdiential-ESCO</v>
      </c>
      <c r="G115">
        <f t="shared" si="15"/>
        <v>20</v>
      </c>
    </row>
    <row r="116" spans="1:7" x14ac:dyDescent="0.3">
      <c r="A116" t="s">
        <v>158</v>
      </c>
      <c r="B116" s="153">
        <v>45010</v>
      </c>
      <c r="C116" t="s">
        <v>59</v>
      </c>
      <c r="D116" t="s">
        <v>168</v>
      </c>
      <c r="E116">
        <v>1879019</v>
      </c>
      <c r="F116" t="str">
        <f t="shared" si="14"/>
        <v>Low Income Resdiential-GRID</v>
      </c>
      <c r="G116">
        <f t="shared" si="15"/>
        <v>20</v>
      </c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H6" sqref="H6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30.88671875" bestFit="1" customWidth="1"/>
    <col min="10" max="10" width="15.777343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45010</v>
      </c>
      <c r="C2">
        <v>4</v>
      </c>
      <c r="D2" t="s">
        <v>171</v>
      </c>
      <c r="E2">
        <v>10288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45010</v>
      </c>
      <c r="C3">
        <v>4</v>
      </c>
      <c r="D3" t="s">
        <v>172</v>
      </c>
      <c r="E3">
        <v>1782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45010</v>
      </c>
      <c r="C4">
        <v>4</v>
      </c>
      <c r="D4" t="s">
        <v>173</v>
      </c>
      <c r="E4">
        <v>108</v>
      </c>
      <c r="F4" t="str">
        <f t="shared" si="0"/>
        <v>Low Income Residential-ESCO</v>
      </c>
      <c r="G4">
        <f t="shared" si="1"/>
        <v>1</v>
      </c>
      <c r="J4" s="153">
        <v>45010</v>
      </c>
    </row>
    <row r="5" spans="1:11" x14ac:dyDescent="0.3">
      <c r="A5" t="s">
        <v>61</v>
      </c>
      <c r="B5" s="153">
        <v>45010</v>
      </c>
      <c r="C5">
        <v>4</v>
      </c>
      <c r="D5" t="s">
        <v>174</v>
      </c>
      <c r="E5">
        <v>41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45010</v>
      </c>
      <c r="C6">
        <v>5</v>
      </c>
      <c r="D6" t="s">
        <v>171</v>
      </c>
      <c r="E6">
        <v>544288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45010</v>
      </c>
      <c r="C7">
        <v>5</v>
      </c>
      <c r="D7" t="s">
        <v>172</v>
      </c>
      <c r="E7">
        <v>457435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41</v>
      </c>
      <c r="K7" s="156">
        <v>72018</v>
      </c>
    </row>
    <row r="8" spans="1:11" x14ac:dyDescent="0.3">
      <c r="A8" t="s">
        <v>61</v>
      </c>
      <c r="B8" s="153">
        <v>45010</v>
      </c>
      <c r="C8">
        <v>5</v>
      </c>
      <c r="D8" t="s">
        <v>173</v>
      </c>
      <c r="E8">
        <v>81395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1782</v>
      </c>
      <c r="K8" s="156">
        <v>457435</v>
      </c>
    </row>
    <row r="9" spans="1:11" x14ac:dyDescent="0.3">
      <c r="A9" t="s">
        <v>61</v>
      </c>
      <c r="B9" s="153">
        <v>45010</v>
      </c>
      <c r="C9">
        <v>5</v>
      </c>
      <c r="D9" t="s">
        <v>174</v>
      </c>
      <c r="E9">
        <v>72018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45010</v>
      </c>
      <c r="C10">
        <v>4</v>
      </c>
      <c r="D10" t="s">
        <v>171</v>
      </c>
      <c r="E10">
        <v>899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8</v>
      </c>
      <c r="K10" s="156">
        <v>30791</v>
      </c>
    </row>
    <row r="11" spans="1:11" x14ac:dyDescent="0.3">
      <c r="A11" t="s">
        <v>62</v>
      </c>
      <c r="B11" s="153">
        <v>45010</v>
      </c>
      <c r="C11">
        <v>4</v>
      </c>
      <c r="D11" t="s">
        <v>172</v>
      </c>
      <c r="E11">
        <v>199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199</v>
      </c>
      <c r="K11" s="156">
        <v>86111</v>
      </c>
    </row>
    <row r="12" spans="1:11" x14ac:dyDescent="0.3">
      <c r="A12" t="s">
        <v>62</v>
      </c>
      <c r="B12" s="153">
        <v>45010</v>
      </c>
      <c r="C12">
        <v>4</v>
      </c>
      <c r="D12" t="s">
        <v>173</v>
      </c>
      <c r="E12">
        <v>30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45010</v>
      </c>
      <c r="C13">
        <v>4</v>
      </c>
      <c r="D13" t="s">
        <v>174</v>
      </c>
      <c r="E13">
        <v>8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>
        <v>3</v>
      </c>
      <c r="K13" s="156">
        <v>6500</v>
      </c>
    </row>
    <row r="14" spans="1:11" x14ac:dyDescent="0.3">
      <c r="A14" t="s">
        <v>62</v>
      </c>
      <c r="B14" s="153">
        <v>45010</v>
      </c>
      <c r="C14">
        <v>5</v>
      </c>
      <c r="D14" t="s">
        <v>171</v>
      </c>
      <c r="E14">
        <v>91762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109</v>
      </c>
      <c r="K14" s="156">
        <v>35339</v>
      </c>
    </row>
    <row r="15" spans="1:11" x14ac:dyDescent="0.3">
      <c r="A15" t="s">
        <v>62</v>
      </c>
      <c r="B15" s="153">
        <v>45010</v>
      </c>
      <c r="C15">
        <v>5</v>
      </c>
      <c r="D15" t="s">
        <v>172</v>
      </c>
      <c r="E15">
        <v>86111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45010</v>
      </c>
      <c r="C16">
        <v>5</v>
      </c>
      <c r="D16" t="s">
        <v>173</v>
      </c>
      <c r="E16">
        <v>35063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>
        <v>1</v>
      </c>
      <c r="K16" s="156">
        <v>4606</v>
      </c>
    </row>
    <row r="17" spans="1:11" x14ac:dyDescent="0.3">
      <c r="A17" t="s">
        <v>62</v>
      </c>
      <c r="B17" s="153">
        <v>45010</v>
      </c>
      <c r="C17">
        <v>5</v>
      </c>
      <c r="D17" t="s">
        <v>174</v>
      </c>
      <c r="E17">
        <v>30791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35</v>
      </c>
      <c r="K17" s="156">
        <v>14960</v>
      </c>
    </row>
    <row r="18" spans="1:11" x14ac:dyDescent="0.3">
      <c r="A18" t="s">
        <v>57</v>
      </c>
      <c r="B18" s="153">
        <v>45010</v>
      </c>
      <c r="C18">
        <v>4</v>
      </c>
      <c r="D18" t="s">
        <v>171</v>
      </c>
      <c r="E18">
        <v>516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45010</v>
      </c>
      <c r="C19">
        <v>4</v>
      </c>
      <c r="D19" t="s">
        <v>172</v>
      </c>
      <c r="E19">
        <v>109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4</v>
      </c>
      <c r="K19" s="156">
        <v>19685</v>
      </c>
    </row>
    <row r="20" spans="1:11" x14ac:dyDescent="0.3">
      <c r="A20" t="s">
        <v>57</v>
      </c>
      <c r="B20" s="153">
        <v>45010</v>
      </c>
      <c r="C20">
        <v>4</v>
      </c>
      <c r="D20" t="s">
        <v>173</v>
      </c>
      <c r="E20">
        <v>7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55</v>
      </c>
      <c r="K20" s="156">
        <v>35812</v>
      </c>
    </row>
    <row r="21" spans="1:11" x14ac:dyDescent="0.3">
      <c r="A21" t="s">
        <v>57</v>
      </c>
      <c r="B21" s="153">
        <v>45010</v>
      </c>
      <c r="C21">
        <v>4</v>
      </c>
      <c r="D21" t="s">
        <v>174</v>
      </c>
      <c r="E21">
        <v>3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45010</v>
      </c>
      <c r="C22">
        <v>5</v>
      </c>
      <c r="D22" t="s">
        <v>171</v>
      </c>
      <c r="E22">
        <v>37404</v>
      </c>
      <c r="F22" t="str">
        <f t="shared" si="0"/>
        <v>Residential-ESCO</v>
      </c>
      <c r="G22">
        <f t="shared" si="1"/>
        <v>3</v>
      </c>
      <c r="I22" s="157" t="s">
        <v>175</v>
      </c>
      <c r="J22" s="156">
        <v>4109</v>
      </c>
      <c r="K22" s="156">
        <v>7730946</v>
      </c>
    </row>
    <row r="23" spans="1:11" x14ac:dyDescent="0.3">
      <c r="A23" t="s">
        <v>57</v>
      </c>
      <c r="B23" s="153">
        <v>45010</v>
      </c>
      <c r="C23">
        <v>5</v>
      </c>
      <c r="D23" t="s">
        <v>172</v>
      </c>
      <c r="E23">
        <v>35339</v>
      </c>
      <c r="F23" t="str">
        <f t="shared" si="0"/>
        <v>Residential-GRID</v>
      </c>
      <c r="G23">
        <f t="shared" si="1"/>
        <v>3</v>
      </c>
      <c r="I23" s="157" t="s">
        <v>176</v>
      </c>
      <c r="J23" s="156">
        <v>81096</v>
      </c>
      <c r="K23" s="156">
        <v>24735400</v>
      </c>
    </row>
    <row r="24" spans="1:11" x14ac:dyDescent="0.3">
      <c r="A24" t="s">
        <v>57</v>
      </c>
      <c r="B24" s="153">
        <v>45010</v>
      </c>
      <c r="C24">
        <v>5</v>
      </c>
      <c r="D24" t="s">
        <v>173</v>
      </c>
      <c r="E24">
        <v>6209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45010</v>
      </c>
      <c r="C25">
        <v>5</v>
      </c>
      <c r="D25" t="s">
        <v>174</v>
      </c>
      <c r="E25">
        <v>6500</v>
      </c>
      <c r="F25" t="str">
        <f t="shared" si="0"/>
        <v>Low Income Residential-GRID</v>
      </c>
      <c r="G25">
        <f t="shared" si="1"/>
        <v>3</v>
      </c>
      <c r="I25" s="157" t="s">
        <v>175</v>
      </c>
      <c r="J25" s="156">
        <v>2208</v>
      </c>
      <c r="K25" s="156">
        <v>6239078</v>
      </c>
    </row>
    <row r="26" spans="1:11" x14ac:dyDescent="0.3">
      <c r="A26" t="s">
        <v>48</v>
      </c>
      <c r="B26" s="153">
        <v>45010</v>
      </c>
      <c r="C26">
        <v>4</v>
      </c>
      <c r="D26" t="s">
        <v>171</v>
      </c>
      <c r="E26">
        <v>177</v>
      </c>
      <c r="F26" t="str">
        <f t="shared" si="0"/>
        <v>Residential-ESCO</v>
      </c>
      <c r="G26">
        <f t="shared" si="1"/>
        <v>4</v>
      </c>
      <c r="I26" s="157" t="s">
        <v>176</v>
      </c>
      <c r="J26" s="156">
        <v>36589</v>
      </c>
      <c r="K26" s="156">
        <v>14536926</v>
      </c>
    </row>
    <row r="27" spans="1:11" x14ac:dyDescent="0.3">
      <c r="A27" t="s">
        <v>48</v>
      </c>
      <c r="B27" s="153">
        <v>45010</v>
      </c>
      <c r="C27">
        <v>4</v>
      </c>
      <c r="D27" t="s">
        <v>172</v>
      </c>
      <c r="E27">
        <v>35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45010</v>
      </c>
      <c r="C28">
        <v>4</v>
      </c>
      <c r="D28" t="s">
        <v>173</v>
      </c>
      <c r="E28">
        <v>8</v>
      </c>
      <c r="F28" t="str">
        <f t="shared" si="0"/>
        <v>Low Income Residential-ESCO</v>
      </c>
      <c r="G28">
        <f t="shared" si="1"/>
        <v>4</v>
      </c>
      <c r="I28" s="157" t="s">
        <v>175</v>
      </c>
      <c r="J28" s="156">
        <v>7619</v>
      </c>
      <c r="K28" s="156">
        <v>35494457</v>
      </c>
    </row>
    <row r="29" spans="1:11" x14ac:dyDescent="0.3">
      <c r="A29" t="s">
        <v>48</v>
      </c>
      <c r="B29" s="153">
        <v>45010</v>
      </c>
      <c r="C29">
        <v>4</v>
      </c>
      <c r="D29" t="s">
        <v>174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176</v>
      </c>
      <c r="J29" s="156">
        <v>61881</v>
      </c>
      <c r="K29" s="156">
        <v>64971482</v>
      </c>
    </row>
    <row r="30" spans="1:11" x14ac:dyDescent="0.3">
      <c r="A30" t="s">
        <v>48</v>
      </c>
      <c r="B30" s="153">
        <v>45010</v>
      </c>
      <c r="C30">
        <v>5</v>
      </c>
      <c r="D30" t="s">
        <v>171</v>
      </c>
      <c r="E30">
        <v>14716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45010</v>
      </c>
      <c r="C31">
        <v>5</v>
      </c>
      <c r="D31" t="s">
        <v>172</v>
      </c>
      <c r="E31">
        <v>14960</v>
      </c>
      <c r="F31" t="str">
        <f t="shared" si="0"/>
        <v>Residential-GRID</v>
      </c>
      <c r="G31">
        <f t="shared" si="1"/>
        <v>4</v>
      </c>
      <c r="I31" s="157" t="s">
        <v>175</v>
      </c>
      <c r="J31" s="156">
        <v>13936</v>
      </c>
      <c r="K31" s="156">
        <v>49464481</v>
      </c>
    </row>
    <row r="32" spans="1:11" x14ac:dyDescent="0.3">
      <c r="A32" t="s">
        <v>48</v>
      </c>
      <c r="B32" s="153">
        <v>45010</v>
      </c>
      <c r="C32">
        <v>5</v>
      </c>
      <c r="D32" t="s">
        <v>173</v>
      </c>
      <c r="E32">
        <v>3843</v>
      </c>
      <c r="F32" t="str">
        <f t="shared" si="0"/>
        <v>Low Income Residential-ESCO</v>
      </c>
      <c r="G32">
        <f t="shared" si="1"/>
        <v>4</v>
      </c>
      <c r="I32" s="157" t="s">
        <v>176</v>
      </c>
      <c r="J32" s="156">
        <v>179566</v>
      </c>
      <c r="K32" s="156">
        <v>104243808</v>
      </c>
    </row>
    <row r="33" spans="1:11" x14ac:dyDescent="0.3">
      <c r="A33" t="s">
        <v>48</v>
      </c>
      <c r="B33" s="153">
        <v>45010</v>
      </c>
      <c r="C33">
        <v>5</v>
      </c>
      <c r="D33" t="s">
        <v>174</v>
      </c>
      <c r="E33">
        <v>4606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45010</v>
      </c>
      <c r="C34">
        <v>4</v>
      </c>
      <c r="D34" t="s">
        <v>171</v>
      </c>
      <c r="E34">
        <v>206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175</v>
      </c>
      <c r="J34" s="156">
        <v>11427</v>
      </c>
      <c r="K34" s="156">
        <v>14150486</v>
      </c>
    </row>
    <row r="35" spans="1:11" x14ac:dyDescent="0.3">
      <c r="A35" t="s">
        <v>51</v>
      </c>
      <c r="B35" s="153">
        <v>45010</v>
      </c>
      <c r="C35">
        <v>4</v>
      </c>
      <c r="D35" t="s">
        <v>172</v>
      </c>
      <c r="E35">
        <v>55</v>
      </c>
      <c r="F35" t="str">
        <f t="shared" si="2"/>
        <v>Residential-GRID</v>
      </c>
      <c r="G35">
        <f t="shared" si="3"/>
        <v>5</v>
      </c>
      <c r="I35" s="157" t="s">
        <v>176</v>
      </c>
      <c r="J35" s="156">
        <v>720450</v>
      </c>
      <c r="K35" s="156">
        <v>114882963</v>
      </c>
    </row>
    <row r="36" spans="1:11" x14ac:dyDescent="0.3">
      <c r="A36" t="s">
        <v>51</v>
      </c>
      <c r="B36" s="153">
        <v>45010</v>
      </c>
      <c r="C36">
        <v>4</v>
      </c>
      <c r="D36" t="s">
        <v>173</v>
      </c>
      <c r="E36">
        <v>15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45010</v>
      </c>
      <c r="C37">
        <v>4</v>
      </c>
      <c r="D37" t="s">
        <v>174</v>
      </c>
      <c r="E37">
        <v>4</v>
      </c>
      <c r="F37" t="str">
        <f t="shared" si="2"/>
        <v>Low Income Residential-GRID</v>
      </c>
      <c r="G37">
        <f t="shared" si="3"/>
        <v>5</v>
      </c>
      <c r="I37" s="157" t="s">
        <v>175</v>
      </c>
      <c r="J37" s="156">
        <v>1</v>
      </c>
      <c r="K37" s="156">
        <v>7828</v>
      </c>
    </row>
    <row r="38" spans="1:11" x14ac:dyDescent="0.3">
      <c r="A38" t="s">
        <v>51</v>
      </c>
      <c r="B38" s="153">
        <v>45010</v>
      </c>
      <c r="C38">
        <v>5</v>
      </c>
      <c r="D38" t="s">
        <v>171</v>
      </c>
      <c r="E38">
        <v>39642</v>
      </c>
      <c r="F38" t="str">
        <f t="shared" si="2"/>
        <v>Residential-ESCO</v>
      </c>
      <c r="G38">
        <f t="shared" si="3"/>
        <v>5</v>
      </c>
      <c r="I38" s="157" t="s">
        <v>176</v>
      </c>
      <c r="J38" s="156">
        <v>1</v>
      </c>
      <c r="K38" s="156">
        <v>887</v>
      </c>
    </row>
    <row r="39" spans="1:11" x14ac:dyDescent="0.3">
      <c r="A39" t="s">
        <v>51</v>
      </c>
      <c r="B39" s="153">
        <v>45010</v>
      </c>
      <c r="C39">
        <v>5</v>
      </c>
      <c r="D39" t="s">
        <v>172</v>
      </c>
      <c r="E39">
        <v>35812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45010</v>
      </c>
      <c r="C40">
        <v>5</v>
      </c>
      <c r="D40" t="s">
        <v>173</v>
      </c>
      <c r="E40">
        <v>25011</v>
      </c>
      <c r="F40" t="str">
        <f t="shared" si="2"/>
        <v>Low Income Residential-ESCO</v>
      </c>
      <c r="G40">
        <f t="shared" si="3"/>
        <v>5</v>
      </c>
      <c r="I40" s="157" t="s">
        <v>175</v>
      </c>
      <c r="J40" s="156">
        <v>1</v>
      </c>
      <c r="K40" s="156">
        <v>3624</v>
      </c>
    </row>
    <row r="41" spans="1:11" x14ac:dyDescent="0.3">
      <c r="A41" t="s">
        <v>51</v>
      </c>
      <c r="B41" s="153">
        <v>45010</v>
      </c>
      <c r="C41">
        <v>5</v>
      </c>
      <c r="D41" t="s">
        <v>174</v>
      </c>
      <c r="E41">
        <v>19685</v>
      </c>
      <c r="F41" t="str">
        <f t="shared" si="2"/>
        <v>Low Income Residential-GRID</v>
      </c>
      <c r="G41">
        <f t="shared" si="3"/>
        <v>5</v>
      </c>
      <c r="I41" s="157" t="s">
        <v>176</v>
      </c>
      <c r="J41" s="156">
        <v>6</v>
      </c>
      <c r="K41" s="156">
        <v>12839</v>
      </c>
    </row>
    <row r="42" spans="1:11" x14ac:dyDescent="0.3">
      <c r="A42" t="s">
        <v>52</v>
      </c>
      <c r="B42" s="153">
        <v>45010</v>
      </c>
      <c r="C42">
        <v>4</v>
      </c>
      <c r="D42" t="s">
        <v>171</v>
      </c>
      <c r="E42">
        <v>182876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45010</v>
      </c>
      <c r="C43">
        <v>4</v>
      </c>
      <c r="D43" t="s">
        <v>172</v>
      </c>
      <c r="E43">
        <v>81096</v>
      </c>
      <c r="F43" t="str">
        <f t="shared" si="2"/>
        <v>Residential-GRID</v>
      </c>
      <c r="G43">
        <f t="shared" si="3"/>
        <v>6</v>
      </c>
      <c r="I43" s="157" t="s">
        <v>175</v>
      </c>
      <c r="J43" s="156">
        <v>7139</v>
      </c>
      <c r="K43" s="156">
        <v>10633546</v>
      </c>
    </row>
    <row r="44" spans="1:11" x14ac:dyDescent="0.3">
      <c r="A44" t="s">
        <v>52</v>
      </c>
      <c r="B44" s="153">
        <v>45010</v>
      </c>
      <c r="C44">
        <v>4</v>
      </c>
      <c r="D44" t="s">
        <v>173</v>
      </c>
      <c r="E44">
        <v>6100</v>
      </c>
      <c r="F44" t="str">
        <f t="shared" si="2"/>
        <v>Low Income Residential-ESCO</v>
      </c>
      <c r="G44">
        <f t="shared" si="3"/>
        <v>6</v>
      </c>
      <c r="I44" s="157" t="s">
        <v>176</v>
      </c>
      <c r="J44" s="156">
        <v>384882</v>
      </c>
      <c r="K44" s="156">
        <v>76597885</v>
      </c>
    </row>
    <row r="45" spans="1:11" x14ac:dyDescent="0.3">
      <c r="A45" t="s">
        <v>52</v>
      </c>
      <c r="B45" s="153">
        <v>45010</v>
      </c>
      <c r="C45">
        <v>4</v>
      </c>
      <c r="D45" t="s">
        <v>174</v>
      </c>
      <c r="E45">
        <v>4109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45010</v>
      </c>
      <c r="C46">
        <v>5</v>
      </c>
      <c r="D46" t="s">
        <v>171</v>
      </c>
      <c r="E46">
        <v>20608929</v>
      </c>
      <c r="F46" t="str">
        <f t="shared" si="2"/>
        <v>Residential-ESCO</v>
      </c>
      <c r="G46">
        <f t="shared" si="3"/>
        <v>6</v>
      </c>
      <c r="I46" s="157" t="s">
        <v>175</v>
      </c>
      <c r="J46" s="156"/>
      <c r="K46" s="156">
        <v>13</v>
      </c>
    </row>
    <row r="47" spans="1:11" x14ac:dyDescent="0.3">
      <c r="A47" t="s">
        <v>52</v>
      </c>
      <c r="B47" s="153">
        <v>45010</v>
      </c>
      <c r="C47">
        <v>5</v>
      </c>
      <c r="D47" t="s">
        <v>172</v>
      </c>
      <c r="E47">
        <v>24735400</v>
      </c>
      <c r="F47" t="str">
        <f t="shared" si="2"/>
        <v>Residential-GRID</v>
      </c>
      <c r="G47">
        <f t="shared" si="3"/>
        <v>6</v>
      </c>
      <c r="I47" s="157" t="s">
        <v>176</v>
      </c>
      <c r="J47" s="156"/>
      <c r="K47" s="156">
        <v>150</v>
      </c>
    </row>
    <row r="48" spans="1:11" x14ac:dyDescent="0.3">
      <c r="A48" t="s">
        <v>52</v>
      </c>
      <c r="B48" s="153">
        <v>45010</v>
      </c>
      <c r="C48">
        <v>5</v>
      </c>
      <c r="D48" t="s">
        <v>173</v>
      </c>
      <c r="E48">
        <v>6540342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45010</v>
      </c>
      <c r="C49">
        <v>5</v>
      </c>
      <c r="D49" t="s">
        <v>174</v>
      </c>
      <c r="E49">
        <v>7730946</v>
      </c>
      <c r="F49" t="str">
        <f t="shared" si="2"/>
        <v>Low Income Residential-GRID</v>
      </c>
      <c r="G49">
        <f t="shared" si="3"/>
        <v>6</v>
      </c>
      <c r="I49" s="157" t="s">
        <v>175</v>
      </c>
      <c r="J49" s="156"/>
      <c r="K49" s="156">
        <v>11</v>
      </c>
    </row>
    <row r="50" spans="1:11" x14ac:dyDescent="0.3">
      <c r="A50" t="s">
        <v>53</v>
      </c>
      <c r="B50" s="153">
        <v>45010</v>
      </c>
      <c r="C50">
        <v>4</v>
      </c>
      <c r="D50" t="s">
        <v>171</v>
      </c>
      <c r="E50">
        <v>75944</v>
      </c>
      <c r="F50" t="str">
        <f t="shared" si="2"/>
        <v>Residential-ESCO</v>
      </c>
      <c r="G50">
        <f t="shared" si="3"/>
        <v>7</v>
      </c>
      <c r="I50" s="157" t="s">
        <v>176</v>
      </c>
      <c r="J50" s="156"/>
      <c r="K50" s="156">
        <v>145</v>
      </c>
    </row>
    <row r="51" spans="1:11" x14ac:dyDescent="0.3">
      <c r="A51" t="s">
        <v>53</v>
      </c>
      <c r="B51" s="153">
        <v>45010</v>
      </c>
      <c r="C51">
        <v>4</v>
      </c>
      <c r="D51" t="s">
        <v>172</v>
      </c>
      <c r="E51">
        <v>36589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45010</v>
      </c>
      <c r="C52">
        <v>4</v>
      </c>
      <c r="D52" t="s">
        <v>173</v>
      </c>
      <c r="E52">
        <v>4747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45010</v>
      </c>
      <c r="C53">
        <v>4</v>
      </c>
      <c r="D53" t="s">
        <v>174</v>
      </c>
      <c r="E53">
        <v>2208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45010</v>
      </c>
      <c r="C54">
        <v>5</v>
      </c>
      <c r="D54" t="s">
        <v>171</v>
      </c>
      <c r="E54">
        <v>11701668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45010</v>
      </c>
      <c r="C55">
        <v>5</v>
      </c>
      <c r="D55" t="s">
        <v>172</v>
      </c>
      <c r="E55">
        <v>14536926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45010</v>
      </c>
      <c r="C56">
        <v>5</v>
      </c>
      <c r="D56" t="s">
        <v>173</v>
      </c>
      <c r="E56">
        <v>5144028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45010</v>
      </c>
      <c r="C57">
        <v>5</v>
      </c>
      <c r="D57" t="s">
        <v>174</v>
      </c>
      <c r="E57">
        <v>6239078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45010</v>
      </c>
      <c r="C58">
        <v>4</v>
      </c>
      <c r="D58" t="s">
        <v>171</v>
      </c>
      <c r="E58">
        <v>403838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45010</v>
      </c>
      <c r="C59">
        <v>4</v>
      </c>
      <c r="D59" t="s">
        <v>172</v>
      </c>
      <c r="E59">
        <v>61881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45010</v>
      </c>
      <c r="C60">
        <v>4</v>
      </c>
      <c r="D60" t="s">
        <v>173</v>
      </c>
      <c r="E60">
        <v>29137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45010</v>
      </c>
      <c r="C61">
        <v>4</v>
      </c>
      <c r="D61" t="s">
        <v>174</v>
      </c>
      <c r="E61">
        <v>7619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45010</v>
      </c>
      <c r="C62">
        <v>5</v>
      </c>
      <c r="D62" t="s">
        <v>171</v>
      </c>
      <c r="E62">
        <v>84577818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45010</v>
      </c>
      <c r="C63">
        <v>5</v>
      </c>
      <c r="D63" t="s">
        <v>172</v>
      </c>
      <c r="E63">
        <v>64971482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45010</v>
      </c>
      <c r="C64">
        <v>5</v>
      </c>
      <c r="D64" t="s">
        <v>173</v>
      </c>
      <c r="E64">
        <v>52245966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45010</v>
      </c>
      <c r="C65">
        <v>5</v>
      </c>
      <c r="D65" t="s">
        <v>174</v>
      </c>
      <c r="E65">
        <v>35494457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45010</v>
      </c>
      <c r="C66">
        <v>4</v>
      </c>
      <c r="D66" t="s">
        <v>171</v>
      </c>
      <c r="E66">
        <v>662657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45010</v>
      </c>
      <c r="C67">
        <v>4</v>
      </c>
      <c r="D67" t="s">
        <v>172</v>
      </c>
      <c r="E67">
        <v>179566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45010</v>
      </c>
      <c r="C68">
        <v>4</v>
      </c>
      <c r="D68" t="s">
        <v>173</v>
      </c>
      <c r="E68">
        <v>39985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45010</v>
      </c>
      <c r="C69">
        <v>4</v>
      </c>
      <c r="D69" t="s">
        <v>174</v>
      </c>
      <c r="E69">
        <v>13936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45010</v>
      </c>
      <c r="C70">
        <v>5</v>
      </c>
      <c r="D70" t="s">
        <v>171</v>
      </c>
      <c r="E70">
        <v>116888414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45010</v>
      </c>
      <c r="C71">
        <v>5</v>
      </c>
      <c r="D71" t="s">
        <v>172</v>
      </c>
      <c r="E71">
        <v>104243808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45010</v>
      </c>
      <c r="C72">
        <v>5</v>
      </c>
      <c r="D72" t="s">
        <v>173</v>
      </c>
      <c r="E72">
        <v>63930337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45010</v>
      </c>
      <c r="C73">
        <v>5</v>
      </c>
      <c r="D73" t="s">
        <v>174</v>
      </c>
      <c r="E73">
        <v>49464481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45010</v>
      </c>
      <c r="C74">
        <v>4</v>
      </c>
      <c r="D74" t="s">
        <v>171</v>
      </c>
      <c r="E74">
        <v>2175250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45010</v>
      </c>
      <c r="C75">
        <v>4</v>
      </c>
      <c r="D75" t="s">
        <v>172</v>
      </c>
      <c r="E75">
        <v>720450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45010</v>
      </c>
      <c r="C76">
        <v>4</v>
      </c>
      <c r="D76" t="s">
        <v>173</v>
      </c>
      <c r="E76">
        <v>19298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45010</v>
      </c>
      <c r="C77">
        <v>4</v>
      </c>
      <c r="D77" t="s">
        <v>174</v>
      </c>
      <c r="E77">
        <v>11427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45010</v>
      </c>
      <c r="C78">
        <v>5</v>
      </c>
      <c r="D78" t="s">
        <v>171</v>
      </c>
      <c r="E78">
        <v>108675963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45010</v>
      </c>
      <c r="C79">
        <v>5</v>
      </c>
      <c r="D79" t="s">
        <v>172</v>
      </c>
      <c r="E79">
        <v>114882963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45010</v>
      </c>
      <c r="C80">
        <v>5</v>
      </c>
      <c r="D80" t="s">
        <v>173</v>
      </c>
      <c r="E80">
        <v>11688732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45010</v>
      </c>
      <c r="C81">
        <v>5</v>
      </c>
      <c r="D81" t="s">
        <v>174</v>
      </c>
      <c r="E81">
        <v>14150486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45010</v>
      </c>
      <c r="C82">
        <v>4</v>
      </c>
      <c r="D82" t="s">
        <v>171</v>
      </c>
      <c r="E82">
        <v>5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45010</v>
      </c>
      <c r="C83">
        <v>4</v>
      </c>
      <c r="D83" t="s">
        <v>172</v>
      </c>
      <c r="E83">
        <v>1</v>
      </c>
      <c r="F83" t="str">
        <f t="shared" si="4"/>
        <v>Residential-GRID</v>
      </c>
      <c r="G83">
        <f t="shared" si="5"/>
        <v>17</v>
      </c>
    </row>
    <row r="84" spans="1:7" x14ac:dyDescent="0.3">
      <c r="A84" t="s">
        <v>66</v>
      </c>
      <c r="B84" s="153">
        <v>45010</v>
      </c>
      <c r="C84">
        <v>4</v>
      </c>
      <c r="D84" t="s">
        <v>173</v>
      </c>
      <c r="E84">
        <v>10</v>
      </c>
      <c r="F84" t="str">
        <f t="shared" si="4"/>
        <v>Low Income Residential-ESCO</v>
      </c>
      <c r="G84">
        <f t="shared" si="5"/>
        <v>17</v>
      </c>
    </row>
    <row r="85" spans="1:7" x14ac:dyDescent="0.3">
      <c r="A85" t="s">
        <v>66</v>
      </c>
      <c r="B85" s="153">
        <v>45010</v>
      </c>
      <c r="C85">
        <v>4</v>
      </c>
      <c r="D85" t="s">
        <v>174</v>
      </c>
      <c r="E85">
        <v>1</v>
      </c>
      <c r="F85" t="str">
        <f t="shared" si="4"/>
        <v>Low Income Residential-GRID</v>
      </c>
      <c r="G85">
        <f t="shared" si="5"/>
        <v>17</v>
      </c>
    </row>
    <row r="86" spans="1:7" x14ac:dyDescent="0.3">
      <c r="A86" t="s">
        <v>66</v>
      </c>
      <c r="B86" s="153">
        <v>45010</v>
      </c>
      <c r="C86">
        <v>5</v>
      </c>
      <c r="D86" t="s">
        <v>171</v>
      </c>
      <c r="E86">
        <v>783</v>
      </c>
      <c r="F86" t="str">
        <f t="shared" si="4"/>
        <v>Residential-ESCO</v>
      </c>
      <c r="G86">
        <f t="shared" si="5"/>
        <v>17</v>
      </c>
    </row>
    <row r="87" spans="1:7" x14ac:dyDescent="0.3">
      <c r="A87" t="s">
        <v>66</v>
      </c>
      <c r="B87" s="153">
        <v>45010</v>
      </c>
      <c r="C87">
        <v>5</v>
      </c>
      <c r="D87" t="s">
        <v>172</v>
      </c>
      <c r="E87">
        <v>887</v>
      </c>
      <c r="F87" t="str">
        <f t="shared" si="4"/>
        <v>Residential-GRID</v>
      </c>
      <c r="G87">
        <f t="shared" si="5"/>
        <v>17</v>
      </c>
    </row>
    <row r="88" spans="1:7" x14ac:dyDescent="0.3">
      <c r="A88" t="s">
        <v>66</v>
      </c>
      <c r="B88" s="153">
        <v>45010</v>
      </c>
      <c r="C88">
        <v>5</v>
      </c>
      <c r="D88" t="s">
        <v>173</v>
      </c>
      <c r="E88">
        <v>8039</v>
      </c>
      <c r="F88" t="str">
        <f t="shared" si="4"/>
        <v>Low Income Residential-ESCO</v>
      </c>
      <c r="G88">
        <f t="shared" si="5"/>
        <v>17</v>
      </c>
    </row>
    <row r="89" spans="1:7" x14ac:dyDescent="0.3">
      <c r="A89" t="s">
        <v>66</v>
      </c>
      <c r="B89" s="153">
        <v>45010</v>
      </c>
      <c r="C89">
        <v>5</v>
      </c>
      <c r="D89" t="s">
        <v>174</v>
      </c>
      <c r="E89">
        <v>7828</v>
      </c>
      <c r="F89" t="str">
        <f t="shared" si="4"/>
        <v>Low Income Residential-GRID</v>
      </c>
      <c r="G89">
        <f t="shared" si="5"/>
        <v>17</v>
      </c>
    </row>
    <row r="90" spans="1:7" x14ac:dyDescent="0.3">
      <c r="A90" t="s">
        <v>209</v>
      </c>
      <c r="B90" s="153">
        <v>45010</v>
      </c>
      <c r="C90">
        <v>5</v>
      </c>
      <c r="D90" t="s">
        <v>171</v>
      </c>
      <c r="E90">
        <v>218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209</v>
      </c>
      <c r="B91" s="153">
        <v>45010</v>
      </c>
      <c r="C91">
        <v>5</v>
      </c>
      <c r="D91" t="s">
        <v>172</v>
      </c>
      <c r="E91">
        <v>150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209</v>
      </c>
      <c r="B92" s="153">
        <v>45010</v>
      </c>
      <c r="C92">
        <v>5</v>
      </c>
      <c r="D92" t="s">
        <v>173</v>
      </c>
      <c r="E92">
        <v>11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209</v>
      </c>
      <c r="B93" s="153">
        <v>45010</v>
      </c>
      <c r="C93">
        <v>5</v>
      </c>
      <c r="D93" t="s">
        <v>174</v>
      </c>
      <c r="E93">
        <v>13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201</v>
      </c>
      <c r="B94" s="153">
        <v>45010</v>
      </c>
      <c r="C94">
        <v>5</v>
      </c>
      <c r="D94" t="s">
        <v>171</v>
      </c>
      <c r="E94">
        <v>200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201</v>
      </c>
      <c r="B95" s="153">
        <v>45010</v>
      </c>
      <c r="C95">
        <v>5</v>
      </c>
      <c r="D95" t="s">
        <v>172</v>
      </c>
      <c r="E95">
        <v>145</v>
      </c>
      <c r="F95" t="str">
        <f t="shared" si="4"/>
        <v>Residential-GRID</v>
      </c>
      <c r="G95">
        <f t="shared" si="5"/>
        <v>99</v>
      </c>
    </row>
    <row r="96" spans="1:7" x14ac:dyDescent="0.3">
      <c r="A96" t="s">
        <v>201</v>
      </c>
      <c r="B96" s="153">
        <v>45010</v>
      </c>
      <c r="C96">
        <v>5</v>
      </c>
      <c r="D96" t="s">
        <v>173</v>
      </c>
      <c r="E96">
        <v>11</v>
      </c>
      <c r="F96" t="str">
        <f t="shared" si="4"/>
        <v>Low Income Residential-ESCO</v>
      </c>
      <c r="G96">
        <f t="shared" si="5"/>
        <v>99</v>
      </c>
    </row>
    <row r="97" spans="1:7" x14ac:dyDescent="0.3">
      <c r="A97" t="s">
        <v>201</v>
      </c>
      <c r="B97" s="153">
        <v>45010</v>
      </c>
      <c r="C97">
        <v>5</v>
      </c>
      <c r="D97" t="s">
        <v>174</v>
      </c>
      <c r="E97">
        <v>11</v>
      </c>
      <c r="F97" t="str">
        <f t="shared" si="4"/>
        <v>Low Income Residential-GRID</v>
      </c>
      <c r="G97">
        <f t="shared" si="5"/>
        <v>99</v>
      </c>
    </row>
    <row r="98" spans="1:7" x14ac:dyDescent="0.3">
      <c r="A98" t="s">
        <v>67</v>
      </c>
      <c r="B98" s="153">
        <v>45010</v>
      </c>
      <c r="C98">
        <v>4</v>
      </c>
      <c r="D98" t="s">
        <v>171</v>
      </c>
      <c r="E98">
        <v>45</v>
      </c>
      <c r="F98" t="str">
        <f t="shared" ref="F98:F104" si="6">TRIM(MID(D98,3,50))</f>
        <v>Residential-ESCO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45010</v>
      </c>
      <c r="C99">
        <v>4</v>
      </c>
      <c r="D99" t="s">
        <v>172</v>
      </c>
      <c r="E99">
        <v>6</v>
      </c>
      <c r="F99" t="str">
        <f t="shared" si="6"/>
        <v>Residential-GRID</v>
      </c>
      <c r="G99">
        <f t="shared" si="7"/>
        <v>19</v>
      </c>
    </row>
    <row r="100" spans="1:7" x14ac:dyDescent="0.3">
      <c r="A100" t="s">
        <v>67</v>
      </c>
      <c r="B100" s="153">
        <v>45010</v>
      </c>
      <c r="C100">
        <v>4</v>
      </c>
      <c r="D100" t="s">
        <v>173</v>
      </c>
      <c r="E100">
        <v>4</v>
      </c>
      <c r="F100" t="str">
        <f t="shared" si="6"/>
        <v>Low Income Residential-ESCO</v>
      </c>
      <c r="G100">
        <f t="shared" si="7"/>
        <v>19</v>
      </c>
    </row>
    <row r="101" spans="1:7" x14ac:dyDescent="0.3">
      <c r="A101" t="s">
        <v>67</v>
      </c>
      <c r="B101" s="153">
        <v>45010</v>
      </c>
      <c r="C101">
        <v>4</v>
      </c>
      <c r="D101" t="s">
        <v>174</v>
      </c>
      <c r="E101">
        <v>1</v>
      </c>
      <c r="F101" t="str">
        <f t="shared" si="6"/>
        <v>Low Income Residential-GRID</v>
      </c>
      <c r="G101">
        <f t="shared" si="7"/>
        <v>19</v>
      </c>
    </row>
    <row r="102" spans="1:7" x14ac:dyDescent="0.3">
      <c r="A102" t="s">
        <v>67</v>
      </c>
      <c r="B102" s="153">
        <v>45010</v>
      </c>
      <c r="C102">
        <v>5</v>
      </c>
      <c r="D102" t="s">
        <v>171</v>
      </c>
      <c r="E102">
        <v>13525</v>
      </c>
      <c r="F102" t="str">
        <f t="shared" si="6"/>
        <v>Residential-ESCO</v>
      </c>
      <c r="G102">
        <f t="shared" si="7"/>
        <v>19</v>
      </c>
    </row>
    <row r="103" spans="1:7" x14ac:dyDescent="0.3">
      <c r="A103" t="s">
        <v>67</v>
      </c>
      <c r="B103" s="153">
        <v>45010</v>
      </c>
      <c r="C103">
        <v>5</v>
      </c>
      <c r="D103" t="s">
        <v>172</v>
      </c>
      <c r="E103">
        <v>12839</v>
      </c>
      <c r="F103" t="str">
        <f t="shared" si="6"/>
        <v>Residential-GRID</v>
      </c>
      <c r="G103">
        <f t="shared" si="7"/>
        <v>19</v>
      </c>
    </row>
    <row r="104" spans="1:7" x14ac:dyDescent="0.3">
      <c r="A104" t="s">
        <v>67</v>
      </c>
      <c r="B104" s="153">
        <v>45010</v>
      </c>
      <c r="C104">
        <v>5</v>
      </c>
      <c r="D104" t="s">
        <v>173</v>
      </c>
      <c r="E104">
        <v>3791</v>
      </c>
      <c r="F104" t="str">
        <f t="shared" si="6"/>
        <v>Low Income Residential-ESCO</v>
      </c>
      <c r="G104">
        <f t="shared" si="7"/>
        <v>19</v>
      </c>
    </row>
    <row r="105" spans="1:7" x14ac:dyDescent="0.3">
      <c r="A105" t="s">
        <v>67</v>
      </c>
      <c r="B105" s="153">
        <v>45010</v>
      </c>
      <c r="C105">
        <v>5</v>
      </c>
      <c r="D105" t="s">
        <v>174</v>
      </c>
      <c r="E105">
        <v>3624</v>
      </c>
      <c r="F105" t="str">
        <f t="shared" ref="F105:F108" si="8">TRIM(MID(D105,3,50))</f>
        <v>Low Income Residential-GRID</v>
      </c>
      <c r="G105">
        <f t="shared" ref="G105:G108" si="9">VALUE(TRIM(MID(A105,6,2)))</f>
        <v>19</v>
      </c>
    </row>
    <row r="106" spans="1:7" x14ac:dyDescent="0.3">
      <c r="A106" t="s">
        <v>158</v>
      </c>
      <c r="B106" s="153">
        <v>45010</v>
      </c>
      <c r="C106">
        <v>4</v>
      </c>
      <c r="D106" t="s">
        <v>171</v>
      </c>
      <c r="E106">
        <v>1115206</v>
      </c>
      <c r="F106" t="str">
        <f t="shared" si="8"/>
        <v>Residential-ESCO</v>
      </c>
      <c r="G106">
        <f t="shared" si="9"/>
        <v>20</v>
      </c>
    </row>
    <row r="107" spans="1:7" x14ac:dyDescent="0.3">
      <c r="A107" t="s">
        <v>158</v>
      </c>
      <c r="B107" s="153">
        <v>45010</v>
      </c>
      <c r="C107">
        <v>4</v>
      </c>
      <c r="D107" t="s">
        <v>172</v>
      </c>
      <c r="E107">
        <v>384882</v>
      </c>
      <c r="F107" t="str">
        <f t="shared" si="8"/>
        <v>Residential-GRID</v>
      </c>
      <c r="G107">
        <f t="shared" si="9"/>
        <v>20</v>
      </c>
    </row>
    <row r="108" spans="1:7" x14ac:dyDescent="0.3">
      <c r="A108" t="s">
        <v>158</v>
      </c>
      <c r="B108" s="153">
        <v>45010</v>
      </c>
      <c r="C108">
        <v>4</v>
      </c>
      <c r="D108" t="s">
        <v>173</v>
      </c>
      <c r="E108">
        <v>13621</v>
      </c>
      <c r="F108" t="str">
        <f t="shared" si="8"/>
        <v>Low Income Residential-ESCO</v>
      </c>
      <c r="G108">
        <f t="shared" si="9"/>
        <v>20</v>
      </c>
    </row>
    <row r="109" spans="1:7" x14ac:dyDescent="0.3">
      <c r="A109" t="s">
        <v>158</v>
      </c>
      <c r="B109" s="153">
        <v>45010</v>
      </c>
      <c r="C109">
        <v>4</v>
      </c>
      <c r="D109" t="s">
        <v>174</v>
      </c>
      <c r="E109">
        <v>7139</v>
      </c>
      <c r="F109" t="str">
        <f t="shared" ref="F109:F111" si="10">TRIM(MID(D109,3,50))</f>
        <v>Low Income Residential-GRID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45010</v>
      </c>
      <c r="C110">
        <v>5</v>
      </c>
      <c r="D110" t="s">
        <v>171</v>
      </c>
      <c r="E110">
        <v>71648433</v>
      </c>
      <c r="F110" t="str">
        <f t="shared" si="10"/>
        <v>Residential-ESCO</v>
      </c>
      <c r="G110">
        <f t="shared" si="11"/>
        <v>20</v>
      </c>
    </row>
    <row r="111" spans="1:7" x14ac:dyDescent="0.3">
      <c r="A111" t="s">
        <v>158</v>
      </c>
      <c r="B111" s="153">
        <v>45010</v>
      </c>
      <c r="C111">
        <v>5</v>
      </c>
      <c r="D111" t="s">
        <v>172</v>
      </c>
      <c r="E111">
        <v>76597885</v>
      </c>
      <c r="F111" t="str">
        <f t="shared" si="10"/>
        <v>Residential-GRID</v>
      </c>
      <c r="G111">
        <f t="shared" si="11"/>
        <v>20</v>
      </c>
    </row>
    <row r="112" spans="1:7" x14ac:dyDescent="0.3">
      <c r="A112" t="s">
        <v>158</v>
      </c>
      <c r="B112" s="153">
        <v>45010</v>
      </c>
      <c r="C112">
        <v>5</v>
      </c>
      <c r="D112" t="s">
        <v>173</v>
      </c>
      <c r="E112">
        <v>8934122</v>
      </c>
      <c r="F112" t="str">
        <f t="shared" ref="F112" si="12">TRIM(MID(D112,3,50))</f>
        <v>Low Income Residential-ESCO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45010</v>
      </c>
      <c r="C113">
        <v>5</v>
      </c>
      <c r="D113" t="s">
        <v>174</v>
      </c>
      <c r="E113">
        <v>10633546</v>
      </c>
      <c r="F113" t="str">
        <f t="shared" ref="F113" si="14">TRIM(MID(D113,3,50))</f>
        <v>Low Income Residential-GRID</v>
      </c>
      <c r="G113">
        <f t="shared" ref="G113" si="15">VALUE(TRIM(MID(A113,6,2)))</f>
        <v>20</v>
      </c>
    </row>
    <row r="114" spans="1:7" x14ac:dyDescent="0.3">
      <c r="B114" s="153"/>
      <c r="F114"/>
    </row>
    <row r="115" spans="1:7" x14ac:dyDescent="0.3">
      <c r="B115" s="153"/>
      <c r="F115"/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B4" sqref="B4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 t="s">
        <v>222</v>
      </c>
      <c r="E8" s="257"/>
      <c r="F8" s="31" t="s">
        <v>222</v>
      </c>
      <c r="G8" s="257"/>
      <c r="H8" s="31" t="s">
        <v>222</v>
      </c>
      <c r="I8" s="257"/>
      <c r="J8" s="31" t="s">
        <v>222</v>
      </c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1002383</v>
      </c>
      <c r="E10" s="257"/>
      <c r="F10" s="202">
        <v>12076</v>
      </c>
      <c r="G10" s="257"/>
      <c r="H10" s="189">
        <v>614209</v>
      </c>
      <c r="I10" s="257"/>
      <c r="J10" s="189">
        <v>184990</v>
      </c>
    </row>
    <row r="11" spans="1:10" customFormat="1" x14ac:dyDescent="0.3">
      <c r="A11" s="150"/>
      <c r="B11" s="63" t="s">
        <v>38</v>
      </c>
      <c r="C11" s="257"/>
      <c r="D11" s="202">
        <v>153463</v>
      </c>
      <c r="E11" s="257"/>
      <c r="F11" s="202">
        <v>149</v>
      </c>
      <c r="G11" s="257"/>
      <c r="H11" s="189">
        <v>71323</v>
      </c>
      <c r="I11" s="257"/>
      <c r="J11" s="189">
        <v>15898</v>
      </c>
    </row>
    <row r="12" spans="1:10" customFormat="1" x14ac:dyDescent="0.3">
      <c r="A12" s="150"/>
      <c r="B12" s="63" t="s">
        <v>39</v>
      </c>
      <c r="C12" s="257"/>
      <c r="D12" s="202">
        <v>155116</v>
      </c>
      <c r="E12" s="257"/>
      <c r="F12" s="202">
        <v>1602</v>
      </c>
      <c r="G12" s="257"/>
      <c r="H12" s="189">
        <v>37390</v>
      </c>
      <c r="I12" s="257"/>
      <c r="J12" s="189">
        <v>18703</v>
      </c>
    </row>
    <row r="13" spans="1:10" customFormat="1" x14ac:dyDescent="0.3">
      <c r="A13" s="150"/>
      <c r="B13" s="63" t="s">
        <v>40</v>
      </c>
      <c r="C13" s="257"/>
      <c r="D13" s="202">
        <v>11410</v>
      </c>
      <c r="E13" s="257"/>
      <c r="F13" s="202">
        <v>77</v>
      </c>
      <c r="G13" s="257"/>
      <c r="H13" s="189">
        <v>12835</v>
      </c>
      <c r="I13" s="257"/>
      <c r="J13" s="189">
        <v>602</v>
      </c>
    </row>
    <row r="14" spans="1:10" customFormat="1" x14ac:dyDescent="0.3">
      <c r="A14" s="150"/>
      <c r="B14" s="63" t="s">
        <v>41</v>
      </c>
      <c r="C14" s="257"/>
      <c r="D14" s="202">
        <v>2960</v>
      </c>
      <c r="E14" s="257"/>
      <c r="F14" s="202">
        <v>11</v>
      </c>
      <c r="G14" s="257"/>
      <c r="H14" s="189">
        <v>9569</v>
      </c>
      <c r="I14" s="257"/>
      <c r="J14" s="189">
        <v>127</v>
      </c>
    </row>
    <row r="15" spans="1:10" customFormat="1" ht="15" thickBot="1" x14ac:dyDescent="0.35">
      <c r="A15" s="151"/>
      <c r="B15" s="70" t="s">
        <v>42</v>
      </c>
      <c r="C15" s="257"/>
      <c r="D15" s="291">
        <v>1325332</v>
      </c>
      <c r="E15" s="257"/>
      <c r="F15" s="291">
        <v>13915</v>
      </c>
      <c r="G15" s="257"/>
      <c r="H15" s="190">
        <v>745326</v>
      </c>
      <c r="I15" s="257"/>
      <c r="J15" s="190">
        <v>220320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178985</v>
      </c>
      <c r="E17" s="257"/>
      <c r="F17" s="293">
        <v>1103</v>
      </c>
      <c r="G17" s="257"/>
      <c r="H17" s="192">
        <v>100960</v>
      </c>
      <c r="I17" s="257"/>
      <c r="J17" s="192">
        <v>23819</v>
      </c>
    </row>
    <row r="18" spans="1:10" customFormat="1" x14ac:dyDescent="0.3">
      <c r="A18" s="150"/>
      <c r="B18" s="63" t="s">
        <v>38</v>
      </c>
      <c r="C18" s="257"/>
      <c r="D18" s="293">
        <v>65927</v>
      </c>
      <c r="E18" s="257"/>
      <c r="F18" s="293">
        <v>38</v>
      </c>
      <c r="G18" s="257"/>
      <c r="H18" s="192">
        <v>32421</v>
      </c>
      <c r="I18" s="257"/>
      <c r="J18" s="192">
        <v>6159</v>
      </c>
    </row>
    <row r="19" spans="1:10" customFormat="1" x14ac:dyDescent="0.3">
      <c r="A19" s="150"/>
      <c r="B19" s="63" t="s">
        <v>39</v>
      </c>
      <c r="C19" s="257"/>
      <c r="D19" s="293">
        <v>30147</v>
      </c>
      <c r="E19" s="257"/>
      <c r="F19" s="293">
        <v>234</v>
      </c>
      <c r="G19" s="257"/>
      <c r="H19" s="192">
        <v>6468</v>
      </c>
      <c r="I19" s="257"/>
      <c r="J19" s="192">
        <v>3054</v>
      </c>
    </row>
    <row r="20" spans="1:10" customFormat="1" x14ac:dyDescent="0.3">
      <c r="A20" s="150"/>
      <c r="B20" s="63" t="s">
        <v>40</v>
      </c>
      <c r="C20" s="257"/>
      <c r="D20" s="293">
        <v>1719</v>
      </c>
      <c r="E20" s="257"/>
      <c r="F20" s="293">
        <v>12</v>
      </c>
      <c r="G20" s="257"/>
      <c r="H20" s="192">
        <v>2193</v>
      </c>
      <c r="I20" s="257"/>
      <c r="J20" s="192">
        <v>107</v>
      </c>
    </row>
    <row r="21" spans="1:10" customFormat="1" x14ac:dyDescent="0.3">
      <c r="A21" s="150"/>
      <c r="B21" s="63" t="s">
        <v>41</v>
      </c>
      <c r="C21" s="257"/>
      <c r="D21" s="293">
        <v>473</v>
      </c>
      <c r="E21" s="257"/>
      <c r="F21" s="293">
        <v>4</v>
      </c>
      <c r="G21" s="257"/>
      <c r="H21" s="192">
        <v>1970</v>
      </c>
      <c r="I21" s="257"/>
      <c r="J21" s="192">
        <v>18</v>
      </c>
    </row>
    <row r="22" spans="1:10" customFormat="1" x14ac:dyDescent="0.3">
      <c r="A22" s="152"/>
      <c r="B22" s="63" t="s">
        <v>42</v>
      </c>
      <c r="C22" s="257"/>
      <c r="D22" s="294">
        <v>277251</v>
      </c>
      <c r="E22" s="257"/>
      <c r="F22" s="294">
        <v>1391</v>
      </c>
      <c r="G22" s="257"/>
      <c r="H22" s="193">
        <v>144012</v>
      </c>
      <c r="I22" s="257"/>
      <c r="J22" s="193">
        <v>33157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73069</v>
      </c>
      <c r="E24" s="257"/>
      <c r="F24" s="293">
        <v>628</v>
      </c>
      <c r="G24" s="257"/>
      <c r="H24" s="192">
        <v>41311</v>
      </c>
      <c r="I24" s="257"/>
      <c r="J24" s="192">
        <v>10487</v>
      </c>
    </row>
    <row r="25" spans="1:10" customFormat="1" x14ac:dyDescent="0.3">
      <c r="A25" s="148"/>
      <c r="B25" s="63" t="s">
        <v>38</v>
      </c>
      <c r="C25" s="257"/>
      <c r="D25" s="293">
        <v>12696</v>
      </c>
      <c r="E25" s="257"/>
      <c r="F25" s="293">
        <v>10</v>
      </c>
      <c r="G25" s="257"/>
      <c r="H25" s="192">
        <v>6305</v>
      </c>
      <c r="I25" s="257"/>
      <c r="J25" s="192">
        <v>1275</v>
      </c>
    </row>
    <row r="26" spans="1:10" customFormat="1" x14ac:dyDescent="0.3">
      <c r="A26" s="148"/>
      <c r="B26" s="63" t="s">
        <v>39</v>
      </c>
      <c r="C26" s="257"/>
      <c r="D26" s="293">
        <v>14889</v>
      </c>
      <c r="E26" s="257"/>
      <c r="F26" s="293">
        <v>187</v>
      </c>
      <c r="G26" s="257"/>
      <c r="H26" s="192">
        <v>3217</v>
      </c>
      <c r="I26" s="257"/>
      <c r="J26" s="192">
        <v>1689</v>
      </c>
    </row>
    <row r="27" spans="1:10" customFormat="1" x14ac:dyDescent="0.3">
      <c r="A27" s="148"/>
      <c r="B27" s="63" t="s">
        <v>40</v>
      </c>
      <c r="C27" s="257"/>
      <c r="D27" s="293">
        <v>991</v>
      </c>
      <c r="E27" s="257"/>
      <c r="F27" s="293">
        <v>10</v>
      </c>
      <c r="G27" s="257"/>
      <c r="H27" s="192">
        <v>1259</v>
      </c>
      <c r="I27" s="257"/>
      <c r="J27" s="192">
        <v>71</v>
      </c>
    </row>
    <row r="28" spans="1:10" customFormat="1" x14ac:dyDescent="0.3">
      <c r="A28" s="148"/>
      <c r="B28" s="63" t="s">
        <v>41</v>
      </c>
      <c r="C28" s="257"/>
      <c r="D28" s="293">
        <v>235</v>
      </c>
      <c r="E28" s="257"/>
      <c r="F28" s="293">
        <v>1</v>
      </c>
      <c r="G28" s="257"/>
      <c r="H28" s="192">
        <v>1280</v>
      </c>
      <c r="I28" s="257"/>
      <c r="J28" s="192">
        <v>12</v>
      </c>
    </row>
    <row r="29" spans="1:10" customFormat="1" x14ac:dyDescent="0.3">
      <c r="A29" s="152"/>
      <c r="B29" s="63" t="s">
        <v>42</v>
      </c>
      <c r="C29" s="257"/>
      <c r="D29" s="294">
        <v>101880</v>
      </c>
      <c r="E29" s="257"/>
      <c r="F29" s="294">
        <v>836</v>
      </c>
      <c r="G29" s="257"/>
      <c r="H29" s="193">
        <v>53372</v>
      </c>
      <c r="I29" s="257"/>
      <c r="J29" s="193">
        <v>13534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29861</v>
      </c>
      <c r="E31" s="257"/>
      <c r="F31" s="293">
        <v>212</v>
      </c>
      <c r="G31" s="257"/>
      <c r="H31" s="192">
        <v>17403</v>
      </c>
      <c r="I31" s="257"/>
      <c r="J31" s="192">
        <v>4340</v>
      </c>
    </row>
    <row r="32" spans="1:10" customFormat="1" x14ac:dyDescent="0.3">
      <c r="A32" s="150"/>
      <c r="B32" s="63" t="s">
        <v>38</v>
      </c>
      <c r="C32" s="257"/>
      <c r="D32" s="293">
        <v>8438</v>
      </c>
      <c r="E32" s="257"/>
      <c r="F32" s="293">
        <v>9</v>
      </c>
      <c r="G32" s="257"/>
      <c r="H32" s="192">
        <v>4027</v>
      </c>
      <c r="I32" s="257"/>
      <c r="J32" s="192">
        <v>763</v>
      </c>
    </row>
    <row r="33" spans="1:10" customFormat="1" x14ac:dyDescent="0.3">
      <c r="A33" s="150"/>
      <c r="B33" s="63" t="s">
        <v>39</v>
      </c>
      <c r="C33" s="257"/>
      <c r="D33" s="293">
        <v>6110</v>
      </c>
      <c r="E33" s="257"/>
      <c r="F33" s="293">
        <v>13</v>
      </c>
      <c r="G33" s="257"/>
      <c r="H33" s="192">
        <v>1189</v>
      </c>
      <c r="I33" s="257"/>
      <c r="J33" s="192">
        <v>578</v>
      </c>
    </row>
    <row r="34" spans="1:10" customFormat="1" x14ac:dyDescent="0.3">
      <c r="A34" s="150"/>
      <c r="B34" s="63" t="s">
        <v>40</v>
      </c>
      <c r="C34" s="257"/>
      <c r="D34" s="293">
        <v>310</v>
      </c>
      <c r="E34" s="257"/>
      <c r="F34" s="293">
        <v>0</v>
      </c>
      <c r="G34" s="257"/>
      <c r="H34" s="192">
        <v>449</v>
      </c>
      <c r="I34" s="257"/>
      <c r="J34" s="192">
        <v>25</v>
      </c>
    </row>
    <row r="35" spans="1:10" customFormat="1" x14ac:dyDescent="0.3">
      <c r="A35" s="150"/>
      <c r="B35" s="63" t="s">
        <v>41</v>
      </c>
      <c r="C35" s="257"/>
      <c r="D35" s="293">
        <v>86</v>
      </c>
      <c r="E35" s="257"/>
      <c r="F35" s="293">
        <v>2</v>
      </c>
      <c r="G35" s="257"/>
      <c r="H35" s="192">
        <v>382</v>
      </c>
      <c r="I35" s="257"/>
      <c r="J35" s="192">
        <v>3</v>
      </c>
    </row>
    <row r="36" spans="1:10" customFormat="1" x14ac:dyDescent="0.3">
      <c r="A36" s="151"/>
      <c r="B36" s="63" t="s">
        <v>42</v>
      </c>
      <c r="C36" s="257"/>
      <c r="D36" s="294">
        <v>44805</v>
      </c>
      <c r="E36" s="257"/>
      <c r="F36" s="294">
        <v>236</v>
      </c>
      <c r="G36" s="257"/>
      <c r="H36" s="193">
        <v>23450</v>
      </c>
      <c r="I36" s="257"/>
      <c r="J36" s="193">
        <v>5709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76055</v>
      </c>
      <c r="E38" s="257"/>
      <c r="F38" s="293">
        <v>263</v>
      </c>
      <c r="G38" s="257"/>
      <c r="H38" s="192">
        <v>42246</v>
      </c>
      <c r="I38" s="257"/>
      <c r="J38" s="192">
        <v>8992</v>
      </c>
    </row>
    <row r="39" spans="1:10" customFormat="1" x14ac:dyDescent="0.3">
      <c r="A39" s="150"/>
      <c r="B39" s="63" t="s">
        <v>38</v>
      </c>
      <c r="C39" s="257"/>
      <c r="D39" s="293">
        <v>44793</v>
      </c>
      <c r="E39" s="257"/>
      <c r="F39" s="293">
        <v>19</v>
      </c>
      <c r="G39" s="257"/>
      <c r="H39" s="192">
        <v>22089</v>
      </c>
      <c r="I39" s="257"/>
      <c r="J39" s="192">
        <v>4121</v>
      </c>
    </row>
    <row r="40" spans="1:10" customFormat="1" x14ac:dyDescent="0.3">
      <c r="A40" s="150"/>
      <c r="B40" s="63" t="s">
        <v>39</v>
      </c>
      <c r="C40" s="257"/>
      <c r="D40" s="293">
        <v>9148</v>
      </c>
      <c r="E40" s="257"/>
      <c r="F40" s="293">
        <v>34</v>
      </c>
      <c r="G40" s="257"/>
      <c r="H40" s="192">
        <v>2062</v>
      </c>
      <c r="I40" s="257"/>
      <c r="J40" s="192">
        <v>787</v>
      </c>
    </row>
    <row r="41" spans="1:10" customFormat="1" x14ac:dyDescent="0.3">
      <c r="A41" s="150"/>
      <c r="B41" s="63" t="s">
        <v>40</v>
      </c>
      <c r="C41" s="257"/>
      <c r="D41" s="293">
        <v>418</v>
      </c>
      <c r="E41" s="257"/>
      <c r="F41" s="293">
        <v>2</v>
      </c>
      <c r="G41" s="257"/>
      <c r="H41" s="192">
        <v>485</v>
      </c>
      <c r="I41" s="257"/>
      <c r="J41" s="192">
        <v>11</v>
      </c>
    </row>
    <row r="42" spans="1:10" customFormat="1" x14ac:dyDescent="0.3">
      <c r="A42" s="150"/>
      <c r="B42" s="63" t="s">
        <v>41</v>
      </c>
      <c r="C42" s="257"/>
      <c r="D42" s="293">
        <v>152</v>
      </c>
      <c r="E42" s="257"/>
      <c r="F42" s="293">
        <v>1</v>
      </c>
      <c r="G42" s="257"/>
      <c r="H42" s="192">
        <v>308</v>
      </c>
      <c r="I42" s="257"/>
      <c r="J42" s="192">
        <v>3</v>
      </c>
    </row>
    <row r="43" spans="1:10" customFormat="1" ht="15" thickBot="1" x14ac:dyDescent="0.35">
      <c r="A43" s="151"/>
      <c r="B43" s="70" t="s">
        <v>42</v>
      </c>
      <c r="C43" s="257"/>
      <c r="D43" s="291">
        <v>130566</v>
      </c>
      <c r="E43" s="257"/>
      <c r="F43" s="291">
        <v>319</v>
      </c>
      <c r="G43" s="257"/>
      <c r="H43" s="190">
        <v>67190</v>
      </c>
      <c r="I43" s="257"/>
      <c r="J43" s="190">
        <v>13914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45651102</v>
      </c>
      <c r="E45" s="257"/>
      <c r="F45" s="297">
        <v>265474</v>
      </c>
      <c r="G45" s="257"/>
      <c r="H45" s="196">
        <v>24206520</v>
      </c>
      <c r="I45" s="257"/>
      <c r="J45" s="196">
        <v>5291666</v>
      </c>
    </row>
    <row r="46" spans="1:10" customFormat="1" x14ac:dyDescent="0.3">
      <c r="A46" s="150"/>
      <c r="B46" s="41" t="s">
        <v>38</v>
      </c>
      <c r="C46" s="257"/>
      <c r="D46" s="297">
        <v>14252339</v>
      </c>
      <c r="E46" s="257"/>
      <c r="F46" s="297">
        <v>10208</v>
      </c>
      <c r="G46" s="257"/>
      <c r="H46" s="196">
        <v>7243832</v>
      </c>
      <c r="I46" s="257"/>
      <c r="J46" s="196">
        <v>1200716</v>
      </c>
    </row>
    <row r="47" spans="1:10" customFormat="1" x14ac:dyDescent="0.3">
      <c r="A47" s="150"/>
      <c r="B47" s="41" t="s">
        <v>39</v>
      </c>
      <c r="C47" s="257"/>
      <c r="D47" s="297">
        <v>8843750</v>
      </c>
      <c r="E47" s="257"/>
      <c r="F47" s="297">
        <v>26908</v>
      </c>
      <c r="G47" s="257"/>
      <c r="H47" s="196">
        <v>2595061</v>
      </c>
      <c r="I47" s="257"/>
      <c r="J47" s="196">
        <v>1292670</v>
      </c>
    </row>
    <row r="48" spans="1:10" customFormat="1" x14ac:dyDescent="0.3">
      <c r="A48" s="150"/>
      <c r="B48" s="41" t="s">
        <v>40</v>
      </c>
      <c r="C48" s="257"/>
      <c r="D48" s="297">
        <v>6405088</v>
      </c>
      <c r="E48" s="257"/>
      <c r="F48" s="297">
        <v>3602</v>
      </c>
      <c r="G48" s="257"/>
      <c r="H48" s="196">
        <v>2566769</v>
      </c>
      <c r="I48" s="257"/>
      <c r="J48" s="196">
        <v>469234</v>
      </c>
    </row>
    <row r="49" spans="1:10" customFormat="1" x14ac:dyDescent="0.3">
      <c r="A49" s="150"/>
      <c r="B49" s="41" t="s">
        <v>41</v>
      </c>
      <c r="C49" s="257"/>
      <c r="D49" s="297">
        <v>10018127</v>
      </c>
      <c r="E49" s="257"/>
      <c r="F49" s="297">
        <v>9496</v>
      </c>
      <c r="G49" s="257"/>
      <c r="H49" s="196">
        <v>8435200</v>
      </c>
      <c r="I49" s="257"/>
      <c r="J49" s="196">
        <v>263405</v>
      </c>
    </row>
    <row r="50" spans="1:10" customFormat="1" x14ac:dyDescent="0.3">
      <c r="A50" s="151"/>
      <c r="B50" s="41" t="s">
        <v>42</v>
      </c>
      <c r="C50" s="257"/>
      <c r="D50" s="298">
        <v>85170406</v>
      </c>
      <c r="E50" s="257"/>
      <c r="F50" s="298">
        <v>315688</v>
      </c>
      <c r="G50" s="257"/>
      <c r="H50" s="197">
        <v>45047382</v>
      </c>
      <c r="I50" s="257"/>
      <c r="J50" s="197">
        <v>8517691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26447427</v>
      </c>
      <c r="E52" s="257"/>
      <c r="F52" s="297">
        <v>113145</v>
      </c>
      <c r="G52" s="257"/>
      <c r="H52" s="196">
        <v>12509124</v>
      </c>
      <c r="I52" s="257"/>
      <c r="J52" s="196">
        <v>2697362</v>
      </c>
    </row>
    <row r="53" spans="1:10" customFormat="1" x14ac:dyDescent="0.3">
      <c r="A53" s="150"/>
      <c r="B53" s="41" t="s">
        <v>38</v>
      </c>
      <c r="C53" s="257"/>
      <c r="D53" s="297">
        <v>11379228</v>
      </c>
      <c r="E53" s="257"/>
      <c r="F53" s="297">
        <v>6955</v>
      </c>
      <c r="G53" s="257"/>
      <c r="H53" s="196">
        <v>5466460</v>
      </c>
      <c r="I53" s="257"/>
      <c r="J53" s="196">
        <v>883488</v>
      </c>
    </row>
    <row r="54" spans="1:10" customFormat="1" x14ac:dyDescent="0.3">
      <c r="A54" s="150"/>
      <c r="B54" s="41" t="s">
        <v>39</v>
      </c>
      <c r="C54" s="257"/>
      <c r="D54" s="297">
        <v>3812911</v>
      </c>
      <c r="E54" s="257"/>
      <c r="F54" s="297">
        <v>7193</v>
      </c>
      <c r="G54" s="257"/>
      <c r="H54" s="196">
        <v>1039457</v>
      </c>
      <c r="I54" s="257"/>
      <c r="J54" s="196">
        <v>471278</v>
      </c>
    </row>
    <row r="55" spans="1:10" customFormat="1" x14ac:dyDescent="0.3">
      <c r="A55" s="150"/>
      <c r="B55" s="41" t="s">
        <v>40</v>
      </c>
      <c r="C55" s="257"/>
      <c r="D55" s="297">
        <v>2191721</v>
      </c>
      <c r="E55" s="257"/>
      <c r="F55" s="297">
        <v>838</v>
      </c>
      <c r="G55" s="257"/>
      <c r="H55" s="196">
        <v>773802</v>
      </c>
      <c r="I55" s="257"/>
      <c r="J55" s="196">
        <v>146854</v>
      </c>
    </row>
    <row r="56" spans="1:10" customFormat="1" x14ac:dyDescent="0.3">
      <c r="A56" s="150"/>
      <c r="B56" s="41" t="s">
        <v>41</v>
      </c>
      <c r="C56" s="257"/>
      <c r="D56" s="297">
        <v>5118967</v>
      </c>
      <c r="E56" s="257"/>
      <c r="F56" s="297">
        <v>11364</v>
      </c>
      <c r="G56" s="257"/>
      <c r="H56" s="196">
        <v>2086503</v>
      </c>
      <c r="I56" s="257"/>
      <c r="J56" s="196">
        <v>112031</v>
      </c>
    </row>
    <row r="57" spans="1:10" customFormat="1" x14ac:dyDescent="0.3">
      <c r="A57" s="151"/>
      <c r="B57" s="41" t="s">
        <v>42</v>
      </c>
      <c r="C57" s="257"/>
      <c r="D57" s="298">
        <v>48950254</v>
      </c>
      <c r="E57" s="257"/>
      <c r="F57" s="298">
        <v>139495</v>
      </c>
      <c r="G57" s="257"/>
      <c r="H57" s="197">
        <v>21875346</v>
      </c>
      <c r="I57" s="257"/>
      <c r="J57" s="197">
        <v>4311013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150413879</v>
      </c>
      <c r="E59" s="257"/>
      <c r="F59" s="297">
        <v>470871</v>
      </c>
      <c r="G59" s="257"/>
      <c r="H59" s="196">
        <v>49032308</v>
      </c>
      <c r="I59" s="257"/>
      <c r="J59" s="196">
        <v>10992036</v>
      </c>
    </row>
    <row r="60" spans="1:10" customFormat="1" x14ac:dyDescent="0.3">
      <c r="A60" s="150"/>
      <c r="B60" s="41" t="s">
        <v>38</v>
      </c>
      <c r="C60" s="257"/>
      <c r="D60" s="297">
        <v>87984146</v>
      </c>
      <c r="E60" s="257"/>
      <c r="F60" s="297">
        <v>36757</v>
      </c>
      <c r="G60" s="257"/>
      <c r="H60" s="196">
        <v>39141434</v>
      </c>
      <c r="I60" s="257"/>
      <c r="J60" s="196">
        <v>6443620</v>
      </c>
    </row>
    <row r="61" spans="1:10" customFormat="1" x14ac:dyDescent="0.3">
      <c r="A61" s="150"/>
      <c r="B61" s="41" t="s">
        <v>39</v>
      </c>
      <c r="C61" s="257"/>
      <c r="D61" s="297">
        <v>11353799</v>
      </c>
      <c r="E61" s="257"/>
      <c r="F61" s="297">
        <v>11497</v>
      </c>
      <c r="G61" s="257"/>
      <c r="H61" s="196">
        <v>1988755</v>
      </c>
      <c r="I61" s="257"/>
      <c r="J61" s="196">
        <v>685540</v>
      </c>
    </row>
    <row r="62" spans="1:10" customFormat="1" x14ac:dyDescent="0.3">
      <c r="A62" s="150"/>
      <c r="B62" s="41" t="s">
        <v>40</v>
      </c>
      <c r="C62" s="257"/>
      <c r="D62" s="297">
        <v>8929399</v>
      </c>
      <c r="E62" s="257"/>
      <c r="F62" s="297">
        <v>930</v>
      </c>
      <c r="G62" s="257"/>
      <c r="H62" s="196">
        <v>1535096</v>
      </c>
      <c r="I62" s="257"/>
      <c r="J62" s="196">
        <v>307019</v>
      </c>
    </row>
    <row r="63" spans="1:10" customFormat="1" x14ac:dyDescent="0.3">
      <c r="A63" s="150"/>
      <c r="B63" s="41" t="s">
        <v>41</v>
      </c>
      <c r="C63" s="257"/>
      <c r="D63" s="297">
        <v>14045986</v>
      </c>
      <c r="E63" s="257"/>
      <c r="F63" s="297">
        <v>18997</v>
      </c>
      <c r="G63" s="257"/>
      <c r="H63" s="196">
        <v>3619234</v>
      </c>
      <c r="I63" s="257"/>
      <c r="J63" s="196">
        <v>85066</v>
      </c>
    </row>
    <row r="64" spans="1:10" customFormat="1" x14ac:dyDescent="0.3">
      <c r="A64" s="151"/>
      <c r="B64" s="41" t="s">
        <v>42</v>
      </c>
      <c r="C64" s="257"/>
      <c r="D64" s="298">
        <v>272727209</v>
      </c>
      <c r="E64" s="257"/>
      <c r="F64" s="298">
        <v>539052</v>
      </c>
      <c r="G64" s="257"/>
      <c r="H64" s="197">
        <v>95316827</v>
      </c>
      <c r="I64" s="257"/>
      <c r="J64" s="197">
        <v>18513281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222512409</v>
      </c>
      <c r="E66" s="257"/>
      <c r="F66" s="297">
        <v>849490</v>
      </c>
      <c r="G66" s="257"/>
      <c r="H66" s="196">
        <v>85747953</v>
      </c>
      <c r="I66" s="257"/>
      <c r="J66" s="196">
        <v>18981066</v>
      </c>
    </row>
    <row r="67" spans="1:10" customFormat="1" x14ac:dyDescent="0.3">
      <c r="A67" s="150"/>
      <c r="B67" s="41" t="s">
        <v>38</v>
      </c>
      <c r="C67" s="257"/>
      <c r="D67" s="297">
        <v>113615713</v>
      </c>
      <c r="E67" s="257"/>
      <c r="F67" s="297">
        <v>53920</v>
      </c>
      <c r="G67" s="257"/>
      <c r="H67" s="196">
        <v>51851726</v>
      </c>
      <c r="I67" s="257"/>
      <c r="J67" s="196">
        <v>8527824</v>
      </c>
    </row>
    <row r="68" spans="1:10" customFormat="1" x14ac:dyDescent="0.3">
      <c r="A68" s="150"/>
      <c r="B68" s="41" t="s">
        <v>39</v>
      </c>
      <c r="C68" s="257"/>
      <c r="D68" s="297">
        <v>24010460</v>
      </c>
      <c r="E68" s="257"/>
      <c r="F68" s="297">
        <v>45598</v>
      </c>
      <c r="G68" s="257"/>
      <c r="H68" s="196">
        <v>5623273</v>
      </c>
      <c r="I68" s="257"/>
      <c r="J68" s="196">
        <v>2449488</v>
      </c>
    </row>
    <row r="69" spans="1:10" customFormat="1" x14ac:dyDescent="0.3">
      <c r="A69" s="150"/>
      <c r="B69" s="41" t="s">
        <v>40</v>
      </c>
      <c r="C69" s="257"/>
      <c r="D69" s="297">
        <v>17526208</v>
      </c>
      <c r="E69" s="257"/>
      <c r="F69" s="297">
        <v>5371</v>
      </c>
      <c r="G69" s="257"/>
      <c r="H69" s="196">
        <v>4875668</v>
      </c>
      <c r="I69" s="257"/>
      <c r="J69" s="196">
        <v>923108</v>
      </c>
    </row>
    <row r="70" spans="1:10" customFormat="1" x14ac:dyDescent="0.3">
      <c r="A70" s="150"/>
      <c r="B70" s="41" t="s">
        <v>41</v>
      </c>
      <c r="C70" s="257"/>
      <c r="D70" s="297">
        <v>29183080</v>
      </c>
      <c r="E70" s="257"/>
      <c r="F70" s="297">
        <v>39856</v>
      </c>
      <c r="G70" s="257"/>
      <c r="H70" s="196">
        <v>14140937</v>
      </c>
      <c r="I70" s="257"/>
      <c r="J70" s="196">
        <v>460503</v>
      </c>
    </row>
    <row r="71" spans="1:10" customFormat="1" ht="15" thickBot="1" x14ac:dyDescent="0.35">
      <c r="A71" s="151"/>
      <c r="B71" s="54" t="s">
        <v>42</v>
      </c>
      <c r="C71" s="257"/>
      <c r="D71" s="252">
        <v>406847870</v>
      </c>
      <c r="E71" s="257"/>
      <c r="F71" s="252">
        <v>994235</v>
      </c>
      <c r="G71" s="257"/>
      <c r="H71" s="199">
        <v>162239557</v>
      </c>
      <c r="I71" s="257"/>
      <c r="J71" s="199">
        <v>31341989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573539006</v>
      </c>
      <c r="E73" s="257"/>
      <c r="F73" s="293">
        <v>8515108</v>
      </c>
      <c r="G73" s="257"/>
      <c r="H73" s="192">
        <v>70786773</v>
      </c>
      <c r="I73" s="257"/>
      <c r="J73" s="192">
        <v>21111286</v>
      </c>
    </row>
    <row r="74" spans="1:10" customFormat="1" x14ac:dyDescent="0.3">
      <c r="A74" s="150"/>
      <c r="B74" s="63" t="s">
        <v>38</v>
      </c>
      <c r="C74" s="257"/>
      <c r="D74" s="293">
        <v>92582905</v>
      </c>
      <c r="E74" s="257"/>
      <c r="F74" s="293">
        <v>131643</v>
      </c>
      <c r="G74" s="257"/>
      <c r="H74" s="192">
        <v>8841196</v>
      </c>
      <c r="I74" s="257"/>
      <c r="J74" s="192">
        <v>2095763</v>
      </c>
    </row>
    <row r="75" spans="1:10" customFormat="1" x14ac:dyDescent="0.3">
      <c r="A75" s="150"/>
      <c r="B75" s="63" t="s">
        <v>39</v>
      </c>
      <c r="C75" s="257"/>
      <c r="D75" s="293">
        <v>174356920</v>
      </c>
      <c r="E75" s="257"/>
      <c r="F75" s="293">
        <v>1802326</v>
      </c>
      <c r="G75" s="257"/>
      <c r="H75" s="192">
        <v>9896872</v>
      </c>
      <c r="I75" s="257"/>
      <c r="J75" s="192">
        <v>6360058</v>
      </c>
    </row>
    <row r="76" spans="1:10" customFormat="1" x14ac:dyDescent="0.3">
      <c r="A76" s="150"/>
      <c r="B76" s="63" t="s">
        <v>40</v>
      </c>
      <c r="C76" s="257"/>
      <c r="D76" s="293">
        <v>218236020</v>
      </c>
      <c r="E76" s="257"/>
      <c r="F76" s="293">
        <v>1318579</v>
      </c>
      <c r="G76" s="257"/>
      <c r="H76" s="192">
        <v>11581528</v>
      </c>
      <c r="I76" s="257"/>
      <c r="J76" s="192">
        <v>3566128</v>
      </c>
    </row>
    <row r="77" spans="1:10" customFormat="1" x14ac:dyDescent="0.3">
      <c r="A77" s="150"/>
      <c r="B77" s="63" t="s">
        <v>41</v>
      </c>
      <c r="C77" s="257"/>
      <c r="D77" s="293">
        <v>517244401</v>
      </c>
      <c r="E77" s="257"/>
      <c r="F77" s="293">
        <v>1063155</v>
      </c>
      <c r="G77" s="257"/>
      <c r="H77" s="192">
        <v>51520163</v>
      </c>
      <c r="I77" s="257"/>
      <c r="J77" s="192">
        <v>3926699</v>
      </c>
    </row>
    <row r="78" spans="1:10" customFormat="1" x14ac:dyDescent="0.3">
      <c r="A78" s="151"/>
      <c r="B78" s="63" t="s">
        <v>42</v>
      </c>
      <c r="C78" s="257"/>
      <c r="D78" s="359">
        <v>1575959252</v>
      </c>
      <c r="E78" s="257"/>
      <c r="F78" s="88">
        <v>12830811</v>
      </c>
      <c r="G78" s="257"/>
      <c r="H78" s="141">
        <v>152626532</v>
      </c>
      <c r="I78" s="257"/>
      <c r="J78" s="141">
        <v>37059934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168372455.94999999</v>
      </c>
      <c r="E80" s="257"/>
      <c r="F80" s="303">
        <v>1956686.98</v>
      </c>
      <c r="G80" s="257"/>
      <c r="H80" s="249">
        <v>152231894</v>
      </c>
      <c r="I80" s="257"/>
      <c r="J80" s="249">
        <v>42140998</v>
      </c>
    </row>
    <row r="81" spans="1:10" customFormat="1" x14ac:dyDescent="0.3">
      <c r="A81" s="150"/>
      <c r="B81" s="41" t="s">
        <v>38</v>
      </c>
      <c r="C81" s="257"/>
      <c r="D81" s="303">
        <v>15847612.630000001</v>
      </c>
      <c r="E81" s="257"/>
      <c r="F81" s="303">
        <v>19449.419999999998</v>
      </c>
      <c r="G81" s="257"/>
      <c r="H81" s="249">
        <v>19103190</v>
      </c>
      <c r="I81" s="257"/>
      <c r="J81" s="249">
        <v>4216543</v>
      </c>
    </row>
    <row r="82" spans="1:10" customFormat="1" x14ac:dyDescent="0.3">
      <c r="A82" s="150"/>
      <c r="B82" s="41" t="s">
        <v>39</v>
      </c>
      <c r="C82" s="257"/>
      <c r="D82" s="303">
        <v>56444402.850000001</v>
      </c>
      <c r="E82" s="257"/>
      <c r="F82" s="303">
        <v>437559.5</v>
      </c>
      <c r="G82" s="257"/>
      <c r="H82" s="249">
        <v>16087108</v>
      </c>
      <c r="I82" s="257"/>
      <c r="J82" s="249">
        <v>9052168</v>
      </c>
    </row>
    <row r="83" spans="1:10" customFormat="1" x14ac:dyDescent="0.3">
      <c r="A83" s="150"/>
      <c r="B83" s="41" t="s">
        <v>40</v>
      </c>
      <c r="C83" s="257"/>
      <c r="D83" s="303">
        <v>39441976.829999998</v>
      </c>
      <c r="E83" s="257"/>
      <c r="F83" s="303">
        <v>254129.87</v>
      </c>
      <c r="G83" s="257"/>
      <c r="H83" s="249">
        <v>16144006</v>
      </c>
      <c r="I83" s="257"/>
      <c r="J83" s="249">
        <v>3562095</v>
      </c>
    </row>
    <row r="84" spans="1:10" customFormat="1" x14ac:dyDescent="0.3">
      <c r="A84" s="150"/>
      <c r="B84" s="41" t="s">
        <v>41</v>
      </c>
      <c r="C84" s="257"/>
      <c r="D84" s="303">
        <v>47379974.219999999</v>
      </c>
      <c r="E84" s="257"/>
      <c r="F84" s="303">
        <v>140139.52000000002</v>
      </c>
      <c r="G84" s="257"/>
      <c r="H84" s="249">
        <v>50461158</v>
      </c>
      <c r="I84" s="257"/>
      <c r="J84" s="249">
        <v>2857328</v>
      </c>
    </row>
    <row r="85" spans="1:10" customFormat="1" x14ac:dyDescent="0.3">
      <c r="A85" s="151"/>
      <c r="B85" s="41" t="s">
        <v>42</v>
      </c>
      <c r="C85" s="257"/>
      <c r="D85" s="302">
        <v>327486422.48000002</v>
      </c>
      <c r="E85" s="257"/>
      <c r="F85" s="302">
        <v>2807965.29</v>
      </c>
      <c r="G85" s="257"/>
      <c r="H85" s="145">
        <v>254027356</v>
      </c>
      <c r="I85" s="257"/>
      <c r="J85" s="145">
        <v>61829132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55874851.049999997</v>
      </c>
      <c r="E87" s="257"/>
      <c r="F87" s="200">
        <v>944714.02</v>
      </c>
      <c r="G87" s="257"/>
      <c r="H87" s="200">
        <v>1397963</v>
      </c>
      <c r="I87" s="257"/>
      <c r="J87" s="200">
        <v>338133</v>
      </c>
    </row>
    <row r="88" spans="1:10" customFormat="1" x14ac:dyDescent="0.3">
      <c r="A88" s="150"/>
      <c r="B88" s="41" t="s">
        <v>38</v>
      </c>
      <c r="C88" s="257"/>
      <c r="D88" s="200">
        <v>9923809.3699999992</v>
      </c>
      <c r="E88" s="257"/>
      <c r="F88" s="200">
        <v>11164.58</v>
      </c>
      <c r="G88" s="257"/>
      <c r="H88" s="200">
        <v>272403</v>
      </c>
      <c r="I88" s="257"/>
      <c r="J88" s="200">
        <v>46093</v>
      </c>
    </row>
    <row r="89" spans="1:10" customFormat="1" x14ac:dyDescent="0.3">
      <c r="A89" s="150"/>
      <c r="B89" s="41" t="s">
        <v>39</v>
      </c>
      <c r="C89" s="257"/>
      <c r="D89" s="200">
        <v>15241933.15</v>
      </c>
      <c r="E89" s="257"/>
      <c r="F89" s="200">
        <v>219089.5</v>
      </c>
      <c r="G89" s="257"/>
      <c r="H89" s="200">
        <v>604611</v>
      </c>
      <c r="I89" s="257"/>
      <c r="J89" s="200">
        <v>269544</v>
      </c>
    </row>
    <row r="90" spans="1:10" customFormat="1" x14ac:dyDescent="0.3">
      <c r="A90" s="150"/>
      <c r="B90" s="41" t="s">
        <v>40</v>
      </c>
      <c r="C90" s="257"/>
      <c r="D90" s="200">
        <v>17882710.169999998</v>
      </c>
      <c r="E90" s="257"/>
      <c r="F90" s="200">
        <v>167344.13</v>
      </c>
      <c r="G90" s="257"/>
      <c r="H90" s="200">
        <v>812532</v>
      </c>
      <c r="I90" s="257"/>
      <c r="J90" s="200">
        <v>131385</v>
      </c>
    </row>
    <row r="91" spans="1:10" customFormat="1" x14ac:dyDescent="0.3">
      <c r="A91" s="150"/>
      <c r="B91" s="41" t="s">
        <v>41</v>
      </c>
      <c r="C91" s="257"/>
      <c r="D91" s="200">
        <v>28876934.779999997</v>
      </c>
      <c r="E91" s="257"/>
      <c r="F91" s="200">
        <v>110339.48</v>
      </c>
      <c r="G91" s="257"/>
      <c r="H91" s="200">
        <v>1765917</v>
      </c>
      <c r="I91" s="257"/>
      <c r="J91" s="200">
        <v>72035</v>
      </c>
    </row>
    <row r="92" spans="1:10" customFormat="1" x14ac:dyDescent="0.3">
      <c r="A92" s="151"/>
      <c r="B92" s="41" t="s">
        <v>42</v>
      </c>
      <c r="C92" s="257"/>
      <c r="D92" s="184">
        <v>127800238.52</v>
      </c>
      <c r="E92" s="257"/>
      <c r="F92" s="302">
        <v>1452651.71</v>
      </c>
      <c r="G92" s="257"/>
      <c r="H92" s="145">
        <v>4853426</v>
      </c>
      <c r="I92" s="257"/>
      <c r="J92" s="145">
        <v>857190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224247307</v>
      </c>
      <c r="E94" s="257"/>
      <c r="F94" s="303">
        <v>2901401</v>
      </c>
      <c r="G94" s="257"/>
      <c r="H94" s="101">
        <v>153629857</v>
      </c>
      <c r="I94" s="257"/>
      <c r="J94" s="101">
        <v>42479131</v>
      </c>
    </row>
    <row r="95" spans="1:10" customFormat="1" x14ac:dyDescent="0.3">
      <c r="A95" s="150"/>
      <c r="B95" s="41" t="s">
        <v>38</v>
      </c>
      <c r="C95" s="257"/>
      <c r="D95" s="303">
        <v>25771422</v>
      </c>
      <c r="E95" s="257"/>
      <c r="F95" s="303">
        <v>30614</v>
      </c>
      <c r="G95" s="257"/>
      <c r="H95" s="101">
        <v>19375593</v>
      </c>
      <c r="I95" s="257"/>
      <c r="J95" s="101">
        <v>4262636</v>
      </c>
    </row>
    <row r="96" spans="1:10" customFormat="1" x14ac:dyDescent="0.3">
      <c r="A96" s="150"/>
      <c r="B96" s="41" t="s">
        <v>39</v>
      </c>
      <c r="C96" s="257"/>
      <c r="D96" s="303">
        <v>71686336</v>
      </c>
      <c r="E96" s="257"/>
      <c r="F96" s="303">
        <v>656649</v>
      </c>
      <c r="G96" s="257"/>
      <c r="H96" s="101">
        <v>16691719</v>
      </c>
      <c r="I96" s="257"/>
      <c r="J96" s="101">
        <v>9321712</v>
      </c>
    </row>
    <row r="97" spans="1:10" customFormat="1" x14ac:dyDescent="0.3">
      <c r="A97" s="150"/>
      <c r="B97" s="41" t="s">
        <v>40</v>
      </c>
      <c r="C97" s="257"/>
      <c r="D97" s="303">
        <v>57324687</v>
      </c>
      <c r="E97" s="257"/>
      <c r="F97" s="303">
        <v>421474</v>
      </c>
      <c r="G97" s="257"/>
      <c r="H97" s="101">
        <v>16956538</v>
      </c>
      <c r="I97" s="257"/>
      <c r="J97" s="101">
        <v>3693480</v>
      </c>
    </row>
    <row r="98" spans="1:10" customFormat="1" x14ac:dyDescent="0.3">
      <c r="A98" s="150"/>
      <c r="B98" s="41" t="s">
        <v>41</v>
      </c>
      <c r="C98" s="257"/>
      <c r="D98" s="303">
        <v>76256909</v>
      </c>
      <c r="E98" s="257"/>
      <c r="F98" s="303">
        <v>250479</v>
      </c>
      <c r="G98" s="257"/>
      <c r="H98" s="101">
        <v>52227075</v>
      </c>
      <c r="I98" s="257"/>
      <c r="J98" s="101">
        <v>2929363</v>
      </c>
    </row>
    <row r="99" spans="1:10" customFormat="1" ht="15" thickBot="1" x14ac:dyDescent="0.35">
      <c r="A99" s="151"/>
      <c r="B99" s="54" t="s">
        <v>42</v>
      </c>
      <c r="C99" s="257"/>
      <c r="D99" s="252">
        <v>455286661</v>
      </c>
      <c r="E99" s="257"/>
      <c r="F99" s="252">
        <v>4260617</v>
      </c>
      <c r="G99" s="257"/>
      <c r="H99" s="131">
        <v>258880782</v>
      </c>
      <c r="I99" s="257"/>
      <c r="J99" s="131">
        <v>62686322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213809127</v>
      </c>
      <c r="E101" s="257"/>
      <c r="F101" s="303">
        <v>2729541</v>
      </c>
      <c r="G101" s="257"/>
      <c r="H101" s="200">
        <v>140325540</v>
      </c>
      <c r="I101" s="257"/>
      <c r="J101" s="200">
        <v>39136656</v>
      </c>
    </row>
    <row r="102" spans="1:10" customFormat="1" x14ac:dyDescent="0.3">
      <c r="A102" s="150"/>
      <c r="B102" s="41" t="s">
        <v>38</v>
      </c>
      <c r="C102" s="257"/>
      <c r="D102" s="303">
        <v>18066402</v>
      </c>
      <c r="E102" s="257"/>
      <c r="F102" s="303">
        <v>32162</v>
      </c>
      <c r="G102" s="257"/>
      <c r="H102" s="200">
        <v>9701610</v>
      </c>
      <c r="I102" s="257"/>
      <c r="J102" s="200">
        <v>2216355</v>
      </c>
    </row>
    <row r="103" spans="1:10" customFormat="1" x14ac:dyDescent="0.3">
      <c r="A103" s="150"/>
      <c r="B103" s="41" t="s">
        <v>39</v>
      </c>
      <c r="C103" s="257"/>
      <c r="D103" s="303">
        <v>58648829</v>
      </c>
      <c r="E103" s="257"/>
      <c r="F103" s="303">
        <v>525506</v>
      </c>
      <c r="G103" s="257"/>
      <c r="H103" s="200">
        <v>18003165</v>
      </c>
      <c r="I103" s="257"/>
      <c r="J103" s="200">
        <v>10197031</v>
      </c>
    </row>
    <row r="104" spans="1:10" customFormat="1" x14ac:dyDescent="0.3">
      <c r="A104" s="150"/>
      <c r="B104" s="41" t="s">
        <v>40</v>
      </c>
      <c r="C104" s="257"/>
      <c r="D104" s="303">
        <v>46325350</v>
      </c>
      <c r="E104" s="257"/>
      <c r="F104" s="303">
        <v>292479</v>
      </c>
      <c r="G104" s="257"/>
      <c r="H104" s="200">
        <v>18556859</v>
      </c>
      <c r="I104" s="257"/>
      <c r="J104" s="200">
        <v>4045680</v>
      </c>
    </row>
    <row r="105" spans="1:10" customFormat="1" x14ac:dyDescent="0.3">
      <c r="A105" s="150"/>
      <c r="B105" s="41" t="s">
        <v>41</v>
      </c>
      <c r="C105" s="257"/>
      <c r="D105" s="303">
        <v>68510376</v>
      </c>
      <c r="E105" s="257"/>
      <c r="F105" s="303">
        <v>223349</v>
      </c>
      <c r="G105" s="257"/>
      <c r="H105" s="200">
        <v>60372540</v>
      </c>
      <c r="I105" s="257"/>
      <c r="J105" s="200">
        <v>2581184</v>
      </c>
    </row>
    <row r="106" spans="1:10" customFormat="1" x14ac:dyDescent="0.3">
      <c r="A106" s="151"/>
      <c r="B106" s="41" t="s">
        <v>42</v>
      </c>
      <c r="C106" s="257"/>
      <c r="D106" s="302">
        <v>405360084</v>
      </c>
      <c r="E106" s="257"/>
      <c r="F106" s="302">
        <v>3803037</v>
      </c>
      <c r="G106" s="257"/>
      <c r="H106" s="136">
        <v>246959714</v>
      </c>
      <c r="I106" s="257"/>
      <c r="J106" s="136">
        <v>58176906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1037385</v>
      </c>
      <c r="E108" s="257"/>
      <c r="F108" s="304">
        <v>13111</v>
      </c>
      <c r="G108" s="257"/>
      <c r="H108" s="201">
        <v>562350</v>
      </c>
      <c r="I108" s="257"/>
      <c r="J108" s="201">
        <v>177124</v>
      </c>
    </row>
    <row r="109" spans="1:10" customFormat="1" x14ac:dyDescent="0.3">
      <c r="A109" s="150"/>
      <c r="B109" s="63" t="s">
        <v>38</v>
      </c>
      <c r="C109" s="257"/>
      <c r="D109" s="304">
        <v>166266</v>
      </c>
      <c r="E109" s="257"/>
      <c r="F109" s="304">
        <v>170</v>
      </c>
      <c r="G109" s="257"/>
      <c r="H109" s="201">
        <v>49785</v>
      </c>
      <c r="I109" s="257"/>
      <c r="J109" s="201">
        <v>11954</v>
      </c>
    </row>
    <row r="110" spans="1:10" customFormat="1" x14ac:dyDescent="0.3">
      <c r="A110" s="150"/>
      <c r="B110" s="63" t="s">
        <v>39</v>
      </c>
      <c r="C110" s="257"/>
      <c r="D110" s="304">
        <v>187173</v>
      </c>
      <c r="E110" s="257"/>
      <c r="F110" s="304">
        <v>2158</v>
      </c>
      <c r="G110" s="257"/>
      <c r="H110" s="201">
        <v>35876</v>
      </c>
      <c r="I110" s="257"/>
      <c r="J110" s="201">
        <v>18401</v>
      </c>
    </row>
    <row r="111" spans="1:10" customFormat="1" x14ac:dyDescent="0.3">
      <c r="A111" s="150"/>
      <c r="B111" s="63" t="s">
        <v>40</v>
      </c>
      <c r="C111" s="257"/>
      <c r="D111" s="304">
        <v>24260</v>
      </c>
      <c r="E111" s="257"/>
      <c r="F111" s="304">
        <v>182</v>
      </c>
      <c r="G111" s="257"/>
      <c r="H111" s="201">
        <v>13642</v>
      </c>
      <c r="I111" s="257"/>
      <c r="J111" s="201">
        <v>684</v>
      </c>
    </row>
    <row r="112" spans="1:10" customFormat="1" x14ac:dyDescent="0.3">
      <c r="A112" s="150"/>
      <c r="B112" s="63" t="s">
        <v>41</v>
      </c>
      <c r="C112" s="257"/>
      <c r="D112" s="304">
        <v>9208</v>
      </c>
      <c r="E112" s="257"/>
      <c r="F112" s="304">
        <v>14</v>
      </c>
      <c r="G112" s="257"/>
      <c r="H112" s="201">
        <v>10639</v>
      </c>
      <c r="I112" s="257"/>
      <c r="J112" s="201">
        <v>132</v>
      </c>
    </row>
    <row r="113" spans="1:10" customFormat="1" ht="15" thickBot="1" x14ac:dyDescent="0.35">
      <c r="A113" s="151"/>
      <c r="B113" s="70" t="s">
        <v>42</v>
      </c>
      <c r="C113" s="257"/>
      <c r="D113" s="291">
        <v>1424292</v>
      </c>
      <c r="E113" s="257"/>
      <c r="F113" s="291">
        <v>15635</v>
      </c>
      <c r="G113" s="257"/>
      <c r="H113" s="72">
        <v>672292</v>
      </c>
      <c r="I113" s="257"/>
      <c r="J113" s="72">
        <v>208295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10438180</v>
      </c>
      <c r="E115" s="257"/>
      <c r="F115" s="303">
        <v>171860</v>
      </c>
      <c r="G115" s="257"/>
      <c r="H115" s="101">
        <v>13304317</v>
      </c>
      <c r="I115" s="257"/>
      <c r="J115" s="101">
        <v>3342475</v>
      </c>
    </row>
    <row r="116" spans="1:10" customFormat="1" x14ac:dyDescent="0.3">
      <c r="A116" s="150"/>
      <c r="B116" s="41" t="s">
        <v>38</v>
      </c>
      <c r="C116" s="257"/>
      <c r="D116" s="303">
        <v>7705020</v>
      </c>
      <c r="E116" s="257"/>
      <c r="F116" s="303">
        <v>-1548</v>
      </c>
      <c r="G116" s="257"/>
      <c r="H116" s="101">
        <v>9673983</v>
      </c>
      <c r="I116" s="257"/>
      <c r="J116" s="101">
        <v>2046281</v>
      </c>
    </row>
    <row r="117" spans="1:10" customFormat="1" x14ac:dyDescent="0.3">
      <c r="A117" s="150"/>
      <c r="B117" s="41" t="s">
        <v>39</v>
      </c>
      <c r="C117" s="257"/>
      <c r="D117" s="303">
        <v>13037507</v>
      </c>
      <c r="E117" s="257"/>
      <c r="F117" s="303">
        <v>131143</v>
      </c>
      <c r="G117" s="257"/>
      <c r="H117" s="101">
        <v>-1311446</v>
      </c>
      <c r="I117" s="257"/>
      <c r="J117" s="101">
        <v>-875319</v>
      </c>
    </row>
    <row r="118" spans="1:10" customFormat="1" x14ac:dyDescent="0.3">
      <c r="A118" s="150"/>
      <c r="B118" s="41" t="s">
        <v>40</v>
      </c>
      <c r="C118" s="257"/>
      <c r="D118" s="303">
        <v>10999337</v>
      </c>
      <c r="E118" s="257"/>
      <c r="F118" s="303">
        <v>128995</v>
      </c>
      <c r="G118" s="257"/>
      <c r="H118" s="101">
        <v>-1600321</v>
      </c>
      <c r="I118" s="257"/>
      <c r="J118" s="101">
        <v>-352200</v>
      </c>
    </row>
    <row r="119" spans="1:10" customFormat="1" x14ac:dyDescent="0.3">
      <c r="A119" s="150"/>
      <c r="B119" s="41" t="s">
        <v>41</v>
      </c>
      <c r="C119" s="257"/>
      <c r="D119" s="303">
        <v>7746533</v>
      </c>
      <c r="E119" s="257"/>
      <c r="F119" s="303">
        <v>27130</v>
      </c>
      <c r="G119" s="257"/>
      <c r="H119" s="101">
        <v>-8145465</v>
      </c>
      <c r="I119" s="257"/>
      <c r="J119" s="101">
        <v>348179</v>
      </c>
    </row>
    <row r="120" spans="1:10" customFormat="1" ht="15" thickBot="1" x14ac:dyDescent="0.35">
      <c r="A120" s="151"/>
      <c r="B120" s="54" t="s">
        <v>42</v>
      </c>
      <c r="C120" s="257"/>
      <c r="D120" s="252">
        <v>49926577</v>
      </c>
      <c r="E120" s="257"/>
      <c r="F120" s="252">
        <v>457580</v>
      </c>
      <c r="G120" s="257"/>
      <c r="H120" s="131">
        <v>11921068</v>
      </c>
      <c r="I120" s="257"/>
      <c r="J120" s="131">
        <v>4509416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1640</v>
      </c>
      <c r="E122" s="257"/>
      <c r="F122" s="202">
        <v>6</v>
      </c>
      <c r="G122" s="257"/>
      <c r="H122" s="202">
        <v>13</v>
      </c>
      <c r="I122" s="257"/>
      <c r="J122" s="202">
        <v>3</v>
      </c>
    </row>
    <row r="123" spans="1:10" customFormat="1" x14ac:dyDescent="0.3">
      <c r="A123" s="150"/>
      <c r="B123" s="63" t="s">
        <v>38</v>
      </c>
      <c r="C123" s="257"/>
      <c r="D123" s="202">
        <v>15937</v>
      </c>
      <c r="E123" s="257"/>
      <c r="F123" s="202">
        <v>11</v>
      </c>
      <c r="G123" s="257"/>
      <c r="H123" s="202">
        <v>1275</v>
      </c>
      <c r="I123" s="257"/>
      <c r="J123" s="202">
        <v>256</v>
      </c>
    </row>
    <row r="124" spans="1:10" customFormat="1" x14ac:dyDescent="0.3">
      <c r="A124" s="150"/>
      <c r="B124" s="63" t="s">
        <v>39</v>
      </c>
      <c r="C124" s="257"/>
      <c r="D124" s="202">
        <v>1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17578</v>
      </c>
      <c r="E127" s="257"/>
      <c r="F127" s="203">
        <v>17</v>
      </c>
      <c r="G127" s="257"/>
      <c r="H127" s="203">
        <v>1288</v>
      </c>
      <c r="I127" s="257"/>
      <c r="J127" s="203">
        <v>259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373</v>
      </c>
      <c r="E129" s="257"/>
      <c r="F129" s="287">
        <v>0</v>
      </c>
      <c r="G129" s="257"/>
      <c r="H129" s="204">
        <v>111</v>
      </c>
      <c r="I129" s="257"/>
      <c r="J129" s="204">
        <v>19</v>
      </c>
    </row>
    <row r="130" spans="1:10" customFormat="1" x14ac:dyDescent="0.3">
      <c r="A130" s="150"/>
      <c r="B130" s="63" t="s">
        <v>38</v>
      </c>
      <c r="C130" s="257"/>
      <c r="D130" s="287">
        <v>23</v>
      </c>
      <c r="E130" s="257"/>
      <c r="F130" s="287">
        <v>0</v>
      </c>
      <c r="G130" s="257"/>
      <c r="H130" s="204">
        <v>2</v>
      </c>
      <c r="I130" s="257"/>
      <c r="J130" s="204">
        <v>0</v>
      </c>
    </row>
    <row r="131" spans="1:10" customFormat="1" x14ac:dyDescent="0.3">
      <c r="A131" s="150"/>
      <c r="B131" s="63" t="s">
        <v>39</v>
      </c>
      <c r="C131" s="257"/>
      <c r="D131" s="287">
        <v>72</v>
      </c>
      <c r="E131" s="257"/>
      <c r="F131" s="287">
        <v>0</v>
      </c>
      <c r="G131" s="257"/>
      <c r="H131" s="204">
        <v>69</v>
      </c>
      <c r="I131" s="257"/>
      <c r="J131" s="204">
        <v>43</v>
      </c>
    </row>
    <row r="132" spans="1:10" customFormat="1" x14ac:dyDescent="0.3">
      <c r="A132" s="150"/>
      <c r="B132" s="63" t="s">
        <v>40</v>
      </c>
      <c r="C132" s="257"/>
      <c r="D132" s="287">
        <v>0</v>
      </c>
      <c r="E132" s="257"/>
      <c r="F132" s="287">
        <v>0</v>
      </c>
      <c r="G132" s="257"/>
      <c r="H132" s="204">
        <v>21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0</v>
      </c>
      <c r="E133" s="257"/>
      <c r="F133" s="287">
        <v>0</v>
      </c>
      <c r="G133" s="257"/>
      <c r="H133" s="204">
        <v>11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468</v>
      </c>
      <c r="E134" s="257"/>
      <c r="F134" s="205">
        <v>0</v>
      </c>
      <c r="G134" s="257"/>
      <c r="H134" s="205">
        <v>214</v>
      </c>
      <c r="I134" s="257"/>
      <c r="J134" s="127">
        <v>62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516</v>
      </c>
      <c r="E136" s="257"/>
      <c r="F136" s="205">
        <v>0</v>
      </c>
      <c r="G136" s="257"/>
      <c r="H136" s="204">
        <v>29</v>
      </c>
      <c r="I136" s="257"/>
      <c r="J136" s="202">
        <v>7</v>
      </c>
    </row>
    <row r="137" spans="1:10" customFormat="1" x14ac:dyDescent="0.3">
      <c r="A137" s="151"/>
      <c r="B137" s="63" t="s">
        <v>38</v>
      </c>
      <c r="C137" s="257"/>
      <c r="D137" s="205">
        <v>26</v>
      </c>
      <c r="E137" s="257"/>
      <c r="F137" s="205">
        <v>0</v>
      </c>
      <c r="G137" s="257"/>
      <c r="H137" s="204">
        <v>2</v>
      </c>
      <c r="I137" s="257"/>
      <c r="J137" s="202">
        <v>0</v>
      </c>
    </row>
    <row r="138" spans="1:10" customFormat="1" x14ac:dyDescent="0.3">
      <c r="A138" s="151"/>
      <c r="B138" s="63" t="s">
        <v>39</v>
      </c>
      <c r="C138" s="257"/>
      <c r="D138" s="205">
        <v>70</v>
      </c>
      <c r="E138" s="257"/>
      <c r="F138" s="205">
        <v>0</v>
      </c>
      <c r="G138" s="257"/>
      <c r="H138" s="204">
        <v>21</v>
      </c>
      <c r="I138" s="257"/>
      <c r="J138" s="202">
        <v>10</v>
      </c>
    </row>
    <row r="139" spans="1:10" customFormat="1" x14ac:dyDescent="0.3">
      <c r="A139" s="151"/>
      <c r="B139" s="63" t="s">
        <v>40</v>
      </c>
      <c r="C139" s="257"/>
      <c r="D139" s="205">
        <v>0</v>
      </c>
      <c r="E139" s="257"/>
      <c r="F139" s="205">
        <v>0</v>
      </c>
      <c r="G139" s="257"/>
      <c r="H139" s="204">
        <v>4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0</v>
      </c>
      <c r="E140" s="257"/>
      <c r="F140" s="205">
        <v>0</v>
      </c>
      <c r="G140" s="257"/>
      <c r="H140" s="204">
        <v>4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612</v>
      </c>
      <c r="E141" s="257"/>
      <c r="F141" s="205">
        <v>0</v>
      </c>
      <c r="G141" s="257"/>
      <c r="H141" s="205">
        <v>60</v>
      </c>
      <c r="I141" s="257"/>
      <c r="J141" s="127">
        <v>17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26192</v>
      </c>
      <c r="E143" s="257"/>
      <c r="F143" s="287">
        <v>49</v>
      </c>
      <c r="G143" s="257"/>
      <c r="H143" s="204">
        <v>5734</v>
      </c>
      <c r="I143" s="257"/>
      <c r="J143" s="204">
        <v>1413</v>
      </c>
    </row>
    <row r="144" spans="1:10" customFormat="1" x14ac:dyDescent="0.3">
      <c r="A144" s="150"/>
      <c r="B144" s="63" t="s">
        <v>38</v>
      </c>
      <c r="C144" s="257"/>
      <c r="D144" s="287">
        <v>7283</v>
      </c>
      <c r="E144" s="257"/>
      <c r="F144" s="287">
        <v>5</v>
      </c>
      <c r="G144" s="257"/>
      <c r="H144" s="204">
        <v>2482</v>
      </c>
      <c r="I144" s="257"/>
      <c r="J144" s="204">
        <v>496</v>
      </c>
    </row>
    <row r="145" spans="1:10" customFormat="1" x14ac:dyDescent="0.3">
      <c r="A145" s="150"/>
      <c r="B145" s="63" t="s">
        <v>39</v>
      </c>
      <c r="C145" s="257"/>
      <c r="D145" s="287">
        <v>956</v>
      </c>
      <c r="E145" s="257"/>
      <c r="F145" s="287">
        <v>0</v>
      </c>
      <c r="G145" s="257"/>
      <c r="H145" s="204">
        <v>193</v>
      </c>
      <c r="I145" s="257"/>
      <c r="J145" s="204">
        <v>90</v>
      </c>
    </row>
    <row r="146" spans="1:10" customFormat="1" x14ac:dyDescent="0.3">
      <c r="A146" s="150"/>
      <c r="B146" s="63" t="s">
        <v>40</v>
      </c>
      <c r="C146" s="257"/>
      <c r="D146" s="287">
        <v>75</v>
      </c>
      <c r="E146" s="257"/>
      <c r="F146" s="287">
        <v>1</v>
      </c>
      <c r="G146" s="257"/>
      <c r="H146" s="204">
        <v>57</v>
      </c>
      <c r="I146" s="257"/>
      <c r="J146" s="204">
        <v>0</v>
      </c>
    </row>
    <row r="147" spans="1:10" customFormat="1" x14ac:dyDescent="0.3">
      <c r="A147" s="150"/>
      <c r="B147" s="63" t="s">
        <v>41</v>
      </c>
      <c r="C147" s="257"/>
      <c r="D147" s="287">
        <v>26</v>
      </c>
      <c r="E147" s="257"/>
      <c r="F147" s="287">
        <v>1</v>
      </c>
      <c r="G147" s="257"/>
      <c r="H147" s="204">
        <v>19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34532</v>
      </c>
      <c r="E148" s="257"/>
      <c r="F148" s="206">
        <v>56</v>
      </c>
      <c r="G148" s="257"/>
      <c r="H148" s="206">
        <v>8485</v>
      </c>
      <c r="I148" s="257"/>
      <c r="J148" s="206">
        <v>1999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148740623</v>
      </c>
      <c r="E150" s="257"/>
      <c r="F150" s="360">
        <v>1503523</v>
      </c>
      <c r="G150" s="257"/>
      <c r="H150" s="224">
        <v>68542668</v>
      </c>
      <c r="I150" s="257"/>
      <c r="J150" s="224">
        <v>0</v>
      </c>
    </row>
    <row r="151" spans="1:10" customFormat="1" x14ac:dyDescent="0.3">
      <c r="A151" s="150"/>
      <c r="B151" s="63" t="s">
        <v>38</v>
      </c>
      <c r="C151" s="257"/>
      <c r="D151" s="360">
        <v>19516022</v>
      </c>
      <c r="E151" s="257"/>
      <c r="F151" s="360">
        <v>20899</v>
      </c>
      <c r="G151" s="257"/>
      <c r="H151" s="224">
        <v>0</v>
      </c>
      <c r="I151" s="257"/>
      <c r="J151" s="224">
        <v>0</v>
      </c>
    </row>
    <row r="152" spans="1:10" customFormat="1" x14ac:dyDescent="0.3">
      <c r="A152" s="150"/>
      <c r="B152" s="63" t="s">
        <v>39</v>
      </c>
      <c r="C152" s="257"/>
      <c r="D152" s="360">
        <v>38806867</v>
      </c>
      <c r="E152" s="257"/>
      <c r="F152" s="360">
        <v>285183</v>
      </c>
      <c r="G152" s="257"/>
      <c r="H152" s="224">
        <v>0</v>
      </c>
      <c r="I152" s="257"/>
      <c r="J152" s="224">
        <v>5965188</v>
      </c>
    </row>
    <row r="153" spans="1:10" customFormat="1" x14ac:dyDescent="0.3">
      <c r="A153" s="150"/>
      <c r="B153" s="63" t="s">
        <v>40</v>
      </c>
      <c r="C153" s="257"/>
      <c r="D153" s="360">
        <v>30454048</v>
      </c>
      <c r="E153" s="257"/>
      <c r="F153" s="360">
        <v>152481</v>
      </c>
      <c r="G153" s="257"/>
      <c r="H153" s="224">
        <v>9194292</v>
      </c>
      <c r="I153" s="257"/>
      <c r="J153" s="224">
        <v>2703542</v>
      </c>
    </row>
    <row r="154" spans="1:10" customFormat="1" x14ac:dyDescent="0.3">
      <c r="A154" s="150"/>
      <c r="B154" s="63" t="s">
        <v>41</v>
      </c>
      <c r="C154" s="257"/>
      <c r="D154" s="360">
        <v>42885612</v>
      </c>
      <c r="E154" s="257"/>
      <c r="F154" s="360">
        <v>193511</v>
      </c>
      <c r="G154" s="257"/>
      <c r="H154" s="224">
        <v>0</v>
      </c>
      <c r="I154" s="257"/>
      <c r="J154" s="224">
        <v>1154094</v>
      </c>
    </row>
    <row r="155" spans="1:10" customFormat="1" x14ac:dyDescent="0.3">
      <c r="A155" s="151"/>
      <c r="B155" s="63" t="s">
        <v>42</v>
      </c>
      <c r="C155" s="257"/>
      <c r="D155" s="361">
        <v>280403172</v>
      </c>
      <c r="E155" s="257"/>
      <c r="F155" s="361">
        <v>2155597</v>
      </c>
      <c r="G155" s="257"/>
      <c r="H155" s="230">
        <v>77736960</v>
      </c>
      <c r="I155" s="257"/>
      <c r="J155" s="230">
        <v>9822824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/>
      <c r="E157" s="257"/>
      <c r="G157" s="257"/>
      <c r="I157" s="257"/>
    </row>
    <row r="158" spans="1:10" customFormat="1" x14ac:dyDescent="0.3">
      <c r="C158" s="257"/>
      <c r="D158" s="289"/>
      <c r="E158" s="257"/>
      <c r="G158" s="257"/>
      <c r="I158" s="257"/>
    </row>
    <row r="159" spans="1:10" customFormat="1" x14ac:dyDescent="0.3">
      <c r="C159" s="257"/>
      <c r="D159" s="289"/>
      <c r="E159" s="257"/>
      <c r="G159" s="257"/>
      <c r="I159" s="257"/>
    </row>
    <row r="160" spans="1:10" customFormat="1" x14ac:dyDescent="0.3">
      <c r="C160" s="257"/>
      <c r="D160" s="289"/>
      <c r="E160" s="257"/>
      <c r="G160" s="257"/>
      <c r="I160" s="257"/>
    </row>
    <row r="161" spans="3:9" customFormat="1" x14ac:dyDescent="0.3">
      <c r="C161" s="257"/>
      <c r="D161" s="289"/>
      <c r="E161" s="257"/>
      <c r="G161" s="257"/>
      <c r="I161" s="257"/>
    </row>
    <row r="162" spans="3:9" customFormat="1" ht="15" thickBot="1" x14ac:dyDescent="0.35">
      <c r="C162" s="257"/>
      <c r="D162" s="181"/>
      <c r="E162" s="257"/>
      <c r="G162" s="257"/>
      <c r="I162" s="257"/>
    </row>
    <row r="163" spans="3:9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2023-04-10T15:03:27Z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