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Regulatory\DPU Files\2023 - DPU\Arrearage Spreadsheet\"/>
    </mc:Choice>
  </mc:AlternateContent>
  <xr:revisionPtr revIDLastSave="0" documentId="13_ncr:1_{08E2AFA6-F435-4ACB-822B-75165EFB445A}" xr6:coauthVersionLast="47" xr6:coauthVersionMax="47" xr10:uidLastSave="{00000000-0000-0000-0000-000000000000}"/>
  <bookViews>
    <workbookView xWindow="3945" yWindow="1395" windowWidth="22170" windowHeight="14085" tabRatio="599" activeTab="1"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141" i="2" l="1"/>
  <c r="BQ141" i="2"/>
  <c r="BP141" i="2"/>
  <c r="BR140" i="2"/>
  <c r="BQ140" i="2"/>
  <c r="BP140" i="2"/>
  <c r="BR139" i="2"/>
  <c r="BQ139" i="2"/>
  <c r="BP139" i="2"/>
  <c r="BR138" i="2"/>
  <c r="BQ138" i="2"/>
  <c r="BP138" i="2"/>
  <c r="BR137" i="2"/>
  <c r="BQ137" i="2"/>
  <c r="BP137" i="2"/>
  <c r="BR136" i="2"/>
  <c r="BQ136" i="2"/>
  <c r="BP136" i="2"/>
  <c r="BR134" i="2"/>
  <c r="BQ134" i="2"/>
  <c r="BP134" i="2"/>
  <c r="BR133" i="2"/>
  <c r="BQ133" i="2"/>
  <c r="BP133" i="2"/>
  <c r="BR132" i="2"/>
  <c r="BQ132" i="2"/>
  <c r="BP132" i="2"/>
  <c r="BR131" i="2"/>
  <c r="BQ131" i="2"/>
  <c r="BP131" i="2"/>
  <c r="BR130" i="2"/>
  <c r="BQ130" i="2"/>
  <c r="BP130" i="2"/>
  <c r="BR129" i="2"/>
  <c r="BQ129" i="2"/>
  <c r="BP129" i="2"/>
  <c r="BR127" i="2"/>
  <c r="BQ127" i="2"/>
  <c r="BP127" i="2"/>
  <c r="BR126" i="2"/>
  <c r="BQ126" i="2"/>
  <c r="BP126" i="2"/>
  <c r="BR125" i="2"/>
  <c r="BQ125" i="2"/>
  <c r="BP125" i="2"/>
  <c r="BR124" i="2"/>
  <c r="BQ124" i="2"/>
  <c r="BP124" i="2"/>
  <c r="BR123" i="2"/>
  <c r="BQ123" i="2"/>
  <c r="BP123" i="2"/>
  <c r="BR122" i="2"/>
  <c r="BQ122" i="2"/>
  <c r="BP122" i="2"/>
  <c r="BR120" i="2"/>
  <c r="BQ120" i="2"/>
  <c r="BP120" i="2"/>
  <c r="BR119" i="2"/>
  <c r="BQ119" i="2"/>
  <c r="BP119" i="2"/>
  <c r="BR118" i="2"/>
  <c r="BQ118" i="2"/>
  <c r="BP118" i="2"/>
  <c r="BR117" i="2"/>
  <c r="BQ117" i="2"/>
  <c r="BP117" i="2"/>
  <c r="BR116" i="2"/>
  <c r="BQ116" i="2"/>
  <c r="BP116" i="2"/>
  <c r="BR115" i="2"/>
  <c r="BQ115" i="2"/>
  <c r="BP115" i="2"/>
  <c r="BR113" i="2"/>
  <c r="BQ113" i="2"/>
  <c r="BP113" i="2"/>
  <c r="BR108" i="2"/>
  <c r="BQ108" i="2"/>
  <c r="BP108" i="2"/>
  <c r="BR106" i="2"/>
  <c r="BQ106" i="2"/>
  <c r="BP106" i="2"/>
  <c r="BR101" i="2"/>
  <c r="BQ101" i="2"/>
  <c r="BP101" i="2"/>
  <c r="BR99" i="2"/>
  <c r="BQ99" i="2"/>
  <c r="BP99" i="2"/>
  <c r="BR98" i="2"/>
  <c r="BQ98" i="2"/>
  <c r="BP98" i="2"/>
  <c r="BR97" i="2"/>
  <c r="BQ97" i="2"/>
  <c r="BP97" i="2"/>
  <c r="BR96" i="2"/>
  <c r="BQ96" i="2"/>
  <c r="BP96" i="2"/>
  <c r="BR95" i="2"/>
  <c r="BQ95" i="2"/>
  <c r="BP95" i="2"/>
  <c r="BR94" i="2"/>
  <c r="BQ94" i="2"/>
  <c r="BP94" i="2"/>
  <c r="BR85" i="2"/>
  <c r="BQ85" i="2"/>
  <c r="BP85" i="2"/>
  <c r="BR84" i="2"/>
  <c r="BQ84" i="2"/>
  <c r="BP84" i="2"/>
  <c r="BR83" i="2"/>
  <c r="BQ83" i="2"/>
  <c r="BP83" i="2"/>
  <c r="BR82" i="2"/>
  <c r="BQ82" i="2"/>
  <c r="BP82" i="2"/>
  <c r="BR81" i="2"/>
  <c r="BQ81" i="2"/>
  <c r="BP81" i="2"/>
  <c r="BR80" i="2"/>
  <c r="BQ80" i="2"/>
  <c r="BP80" i="2"/>
  <c r="BR78" i="2"/>
  <c r="BQ78" i="2"/>
  <c r="BP78" i="2"/>
  <c r="BR77" i="2"/>
  <c r="BQ77" i="2"/>
  <c r="BP77" i="2"/>
  <c r="BR76" i="2"/>
  <c r="BQ76" i="2"/>
  <c r="BP76" i="2"/>
  <c r="BR75" i="2"/>
  <c r="BQ75" i="2"/>
  <c r="BP75" i="2"/>
  <c r="BR74" i="2"/>
  <c r="BQ74" i="2"/>
  <c r="BP74" i="2"/>
  <c r="BR73" i="2"/>
  <c r="BQ73" i="2"/>
  <c r="BP73" i="2"/>
  <c r="BP70" i="2"/>
  <c r="BR67" i="2"/>
  <c r="BQ67" i="2"/>
  <c r="BR64" i="2"/>
  <c r="BQ64" i="2"/>
  <c r="BP64" i="2"/>
  <c r="BR63" i="2"/>
  <c r="BQ63" i="2"/>
  <c r="BP63" i="2"/>
  <c r="BR62" i="2"/>
  <c r="BQ62" i="2"/>
  <c r="BP62" i="2"/>
  <c r="BR61" i="2"/>
  <c r="BQ61" i="2"/>
  <c r="BP61" i="2"/>
  <c r="BR60" i="2"/>
  <c r="BQ60" i="2"/>
  <c r="BP60" i="2"/>
  <c r="BR59" i="2"/>
  <c r="BQ59" i="2"/>
  <c r="BP59" i="2"/>
  <c r="BR57" i="2"/>
  <c r="BQ57" i="2"/>
  <c r="BP57" i="2"/>
  <c r="BR56" i="2"/>
  <c r="BR70" i="2" s="1"/>
  <c r="BQ56" i="2"/>
  <c r="BP56" i="2"/>
  <c r="BR55" i="2"/>
  <c r="BQ55" i="2"/>
  <c r="BP55" i="2"/>
  <c r="BR54" i="2"/>
  <c r="BQ54" i="2"/>
  <c r="BQ68" i="2" s="1"/>
  <c r="BP54" i="2"/>
  <c r="BP68" i="2" s="1"/>
  <c r="BR53" i="2"/>
  <c r="BQ53" i="2"/>
  <c r="BP53" i="2"/>
  <c r="BR52" i="2"/>
  <c r="BQ52" i="2"/>
  <c r="BP52" i="2"/>
  <c r="BR50" i="2"/>
  <c r="BQ50" i="2"/>
  <c r="BP50" i="2"/>
  <c r="BR49" i="2"/>
  <c r="BQ49" i="2"/>
  <c r="BQ70" i="2" s="1"/>
  <c r="BP49" i="2"/>
  <c r="BR48" i="2"/>
  <c r="BR69" i="2" s="1"/>
  <c r="BQ48" i="2"/>
  <c r="BQ69" i="2" s="1"/>
  <c r="BP48" i="2"/>
  <c r="BP69" i="2" s="1"/>
  <c r="BR47" i="2"/>
  <c r="BR68" i="2" s="1"/>
  <c r="BQ47" i="2"/>
  <c r="BP47" i="2"/>
  <c r="BR46" i="2"/>
  <c r="BQ46" i="2"/>
  <c r="BP46" i="2"/>
  <c r="BP67" i="2" s="1"/>
  <c r="BR45" i="2"/>
  <c r="BR66" i="2" s="1"/>
  <c r="BQ45" i="2"/>
  <c r="BQ66" i="2" s="1"/>
  <c r="BQ71" i="2" s="1"/>
  <c r="BP45" i="2"/>
  <c r="BP66" i="2" s="1"/>
  <c r="BP71" i="2" s="1"/>
  <c r="BR43" i="2"/>
  <c r="BQ43" i="2"/>
  <c r="BP43" i="2"/>
  <c r="BR42" i="2"/>
  <c r="BQ42" i="2"/>
  <c r="BP42" i="2"/>
  <c r="BR41" i="2"/>
  <c r="BQ41" i="2"/>
  <c r="BP41" i="2"/>
  <c r="BR40" i="2"/>
  <c r="BQ40" i="2"/>
  <c r="BP40" i="2"/>
  <c r="BR39" i="2"/>
  <c r="BQ39" i="2"/>
  <c r="BP39" i="2"/>
  <c r="BR38" i="2"/>
  <c r="BQ38" i="2"/>
  <c r="BP38" i="2"/>
  <c r="BR36" i="2"/>
  <c r="BQ36" i="2"/>
  <c r="BP36" i="2"/>
  <c r="BR35" i="2"/>
  <c r="BQ35" i="2"/>
  <c r="BP35" i="2"/>
  <c r="BR34" i="2"/>
  <c r="BQ34" i="2"/>
  <c r="BP34" i="2"/>
  <c r="BR33" i="2"/>
  <c r="BQ33" i="2"/>
  <c r="BP33" i="2"/>
  <c r="BR32" i="2"/>
  <c r="BQ32" i="2"/>
  <c r="BP32" i="2"/>
  <c r="BR31" i="2"/>
  <c r="BQ31" i="2"/>
  <c r="BP31" i="2"/>
  <c r="BR29" i="2"/>
  <c r="BQ29" i="2"/>
  <c r="BP29" i="2"/>
  <c r="BR28" i="2"/>
  <c r="BQ28" i="2"/>
  <c r="BP28" i="2"/>
  <c r="BR27" i="2"/>
  <c r="BQ27" i="2"/>
  <c r="BP27" i="2"/>
  <c r="BR26" i="2"/>
  <c r="BQ26" i="2"/>
  <c r="BP26" i="2"/>
  <c r="BR25" i="2"/>
  <c r="BQ25" i="2"/>
  <c r="BP25" i="2"/>
  <c r="BR24" i="2"/>
  <c r="BQ24" i="2"/>
  <c r="BP24" i="2"/>
  <c r="BR22" i="2"/>
  <c r="BQ22" i="2"/>
  <c r="BP22" i="2"/>
  <c r="BR21" i="2"/>
  <c r="BQ21" i="2"/>
  <c r="BP21" i="2"/>
  <c r="BR20" i="2"/>
  <c r="BQ20" i="2"/>
  <c r="BP20" i="2"/>
  <c r="BR19" i="2"/>
  <c r="BQ19" i="2"/>
  <c r="BP19" i="2"/>
  <c r="BR18" i="2"/>
  <c r="BQ18" i="2"/>
  <c r="BP18" i="2"/>
  <c r="BR17" i="2"/>
  <c r="BQ17" i="2"/>
  <c r="BP17" i="2"/>
  <c r="BR15" i="2"/>
  <c r="BQ15" i="2"/>
  <c r="BP15" i="2"/>
  <c r="BR14" i="2"/>
  <c r="BQ14" i="2"/>
  <c r="BP14" i="2"/>
  <c r="BR13" i="2"/>
  <c r="BQ13" i="2"/>
  <c r="BP13" i="2"/>
  <c r="BR12" i="2"/>
  <c r="BQ12" i="2"/>
  <c r="BP12" i="2"/>
  <c r="BR11" i="2"/>
  <c r="BQ11" i="2"/>
  <c r="BP11" i="2"/>
  <c r="BR10" i="2"/>
  <c r="BQ10" i="2"/>
  <c r="BP10" i="2"/>
  <c r="CA106" i="6"/>
  <c r="BZ106" i="6"/>
  <c r="BY106" i="6"/>
  <c r="CA103" i="6"/>
  <c r="BZ103" i="6"/>
  <c r="BY103" i="6"/>
  <c r="CA102" i="6"/>
  <c r="BZ102" i="6"/>
  <c r="BY102" i="6"/>
  <c r="CA101" i="6"/>
  <c r="BZ101" i="6"/>
  <c r="BY101" i="6"/>
  <c r="CA99" i="6"/>
  <c r="BZ99" i="6"/>
  <c r="BY99" i="6"/>
  <c r="CA98" i="6"/>
  <c r="BZ98" i="6"/>
  <c r="BY98" i="6"/>
  <c r="CA97" i="6"/>
  <c r="BZ97" i="6"/>
  <c r="BY97" i="6"/>
  <c r="CA96" i="6"/>
  <c r="BZ96" i="6"/>
  <c r="BY96" i="6"/>
  <c r="CA95" i="6"/>
  <c r="BZ95" i="6"/>
  <c r="BY95" i="6"/>
  <c r="CA94" i="6"/>
  <c r="BZ94" i="6"/>
  <c r="BY94" i="6"/>
  <c r="CA85" i="6"/>
  <c r="BZ85" i="6"/>
  <c r="BY85" i="6"/>
  <c r="CA84" i="6"/>
  <c r="BZ84" i="6"/>
  <c r="BY84" i="6"/>
  <c r="CA83" i="6"/>
  <c r="BZ83" i="6"/>
  <c r="BY83" i="6"/>
  <c r="CA82" i="6"/>
  <c r="BZ82" i="6"/>
  <c r="BY82" i="6"/>
  <c r="CA81" i="6"/>
  <c r="BZ81" i="6"/>
  <c r="BY81" i="6"/>
  <c r="CA80" i="6"/>
  <c r="BZ80" i="6"/>
  <c r="BY80" i="6"/>
  <c r="CA78" i="6"/>
  <c r="BZ78" i="6"/>
  <c r="BY78" i="6"/>
  <c r="CA77" i="6"/>
  <c r="BZ77" i="6"/>
  <c r="BY77" i="6"/>
  <c r="CA76" i="6"/>
  <c r="BZ76" i="6"/>
  <c r="BY76" i="6"/>
  <c r="CA75" i="6"/>
  <c r="BZ75" i="6"/>
  <c r="BY75" i="6"/>
  <c r="CA74" i="6"/>
  <c r="BZ74" i="6"/>
  <c r="BY74" i="6"/>
  <c r="CA73" i="6"/>
  <c r="BZ73" i="6"/>
  <c r="BY73" i="6"/>
  <c r="CA71" i="6"/>
  <c r="BZ71" i="6"/>
  <c r="BY71" i="6"/>
  <c r="CA70" i="6"/>
  <c r="BZ70" i="6"/>
  <c r="BY70" i="6"/>
  <c r="CA69" i="6"/>
  <c r="BZ69" i="6"/>
  <c r="BY69" i="6"/>
  <c r="CA68" i="6"/>
  <c r="BZ68" i="6"/>
  <c r="BY68" i="6"/>
  <c r="CA67" i="6"/>
  <c r="BZ67" i="6"/>
  <c r="BY67" i="6"/>
  <c r="CA66" i="6"/>
  <c r="BZ66" i="6"/>
  <c r="BY66" i="6"/>
  <c r="CA64" i="6"/>
  <c r="BZ64" i="6"/>
  <c r="BY64" i="6"/>
  <c r="CA63" i="6"/>
  <c r="BZ63" i="6"/>
  <c r="BY63" i="6"/>
  <c r="CA62" i="6"/>
  <c r="BZ62" i="6"/>
  <c r="BY62" i="6"/>
  <c r="CA61" i="6"/>
  <c r="BZ61" i="6"/>
  <c r="BY61" i="6"/>
  <c r="CA60" i="6"/>
  <c r="BZ60" i="6"/>
  <c r="BY60" i="6"/>
  <c r="CA59" i="6"/>
  <c r="BZ59" i="6"/>
  <c r="BY59" i="6"/>
  <c r="CA57" i="6"/>
  <c r="BZ57" i="6"/>
  <c r="BY57" i="6"/>
  <c r="CA56" i="6"/>
  <c r="BZ56" i="6"/>
  <c r="BY56" i="6"/>
  <c r="CA55" i="6"/>
  <c r="BZ55" i="6"/>
  <c r="BY55" i="6"/>
  <c r="CA54" i="6"/>
  <c r="BZ54" i="6"/>
  <c r="BY54" i="6"/>
  <c r="CA53" i="6"/>
  <c r="BZ53" i="6"/>
  <c r="BY53" i="6"/>
  <c r="CA52" i="6"/>
  <c r="BZ52" i="6"/>
  <c r="BY52" i="6"/>
  <c r="CA50" i="6"/>
  <c r="BZ50" i="6"/>
  <c r="BY50" i="6"/>
  <c r="CA49" i="6"/>
  <c r="BZ49" i="6"/>
  <c r="BY49" i="6"/>
  <c r="CA48" i="6"/>
  <c r="BZ48" i="6"/>
  <c r="BY48" i="6"/>
  <c r="CA47" i="6"/>
  <c r="BZ47" i="6"/>
  <c r="BY47" i="6"/>
  <c r="CA46" i="6"/>
  <c r="BZ46" i="6"/>
  <c r="BY46" i="6"/>
  <c r="CA45" i="6"/>
  <c r="BZ45" i="6"/>
  <c r="BY45" i="6"/>
  <c r="CA43" i="6"/>
  <c r="BZ43" i="6"/>
  <c r="BY43" i="6"/>
  <c r="CA42" i="6"/>
  <c r="BZ42" i="6"/>
  <c r="BY42" i="6"/>
  <c r="CA41" i="6"/>
  <c r="BZ41" i="6"/>
  <c r="BY41" i="6"/>
  <c r="CA40" i="6"/>
  <c r="BZ40" i="6"/>
  <c r="BY40" i="6"/>
  <c r="CA39" i="6"/>
  <c r="BZ39" i="6"/>
  <c r="BY39" i="6"/>
  <c r="CA38" i="6"/>
  <c r="BZ38" i="6"/>
  <c r="BY38" i="6"/>
  <c r="CA36" i="6"/>
  <c r="BZ36" i="6"/>
  <c r="BY36" i="6"/>
  <c r="CA35" i="6"/>
  <c r="BZ35" i="6"/>
  <c r="BY35" i="6"/>
  <c r="CA34" i="6"/>
  <c r="BZ34" i="6"/>
  <c r="BY34" i="6"/>
  <c r="CA33" i="6"/>
  <c r="BZ33" i="6"/>
  <c r="BY33" i="6"/>
  <c r="CA32" i="6"/>
  <c r="BZ32" i="6"/>
  <c r="BY32" i="6"/>
  <c r="CA31" i="6"/>
  <c r="BZ31" i="6"/>
  <c r="BY31" i="6"/>
  <c r="CA29" i="6"/>
  <c r="BZ29" i="6"/>
  <c r="BY29" i="6"/>
  <c r="CA28" i="6"/>
  <c r="BZ28" i="6"/>
  <c r="BY28" i="6"/>
  <c r="CA27" i="6"/>
  <c r="BZ27" i="6"/>
  <c r="BY27" i="6"/>
  <c r="CA26" i="6"/>
  <c r="BZ26" i="6"/>
  <c r="BY26" i="6"/>
  <c r="CA25" i="6"/>
  <c r="BZ25" i="6"/>
  <c r="BY25" i="6"/>
  <c r="CA24" i="6"/>
  <c r="BZ24" i="6"/>
  <c r="BY24" i="6"/>
  <c r="CA22" i="6"/>
  <c r="BZ22" i="6"/>
  <c r="BY22" i="6"/>
  <c r="CA21" i="6"/>
  <c r="BZ21" i="6"/>
  <c r="BY21" i="6"/>
  <c r="CA20" i="6"/>
  <c r="BZ20" i="6"/>
  <c r="BY20" i="6"/>
  <c r="CA19" i="6"/>
  <c r="BZ19" i="6"/>
  <c r="BY19" i="6"/>
  <c r="CA18" i="6"/>
  <c r="BZ18" i="6"/>
  <c r="BY18" i="6"/>
  <c r="CA17" i="6"/>
  <c r="BZ17" i="6"/>
  <c r="BY17" i="6"/>
  <c r="CA15" i="6"/>
  <c r="BZ15" i="6"/>
  <c r="BY15" i="6"/>
  <c r="CA14" i="6"/>
  <c r="BZ14" i="6"/>
  <c r="BY14" i="6"/>
  <c r="CA13" i="6"/>
  <c r="BZ13" i="6"/>
  <c r="BY13" i="6"/>
  <c r="CA12" i="6"/>
  <c r="BZ12" i="6"/>
  <c r="BY12" i="6"/>
  <c r="CA11" i="6"/>
  <c r="BZ11" i="6"/>
  <c r="BY11" i="6"/>
  <c r="CA10" i="6"/>
  <c r="BZ10" i="6"/>
  <c r="BY10" i="6"/>
  <c r="BR71" i="2" l="1"/>
  <c r="BO106" i="6"/>
  <c r="BN106" i="6"/>
  <c r="BM106" i="6"/>
  <c r="BO99" i="6"/>
  <c r="BN99" i="6"/>
  <c r="BM99" i="6"/>
  <c r="BL99" i="6"/>
  <c r="BO98" i="6"/>
  <c r="BO97" i="6"/>
  <c r="BO96" i="6"/>
  <c r="BN96" i="6"/>
  <c r="BM96" i="6"/>
  <c r="BO95" i="6"/>
  <c r="BN95" i="6"/>
  <c r="BM95" i="6"/>
  <c r="BO94" i="6"/>
  <c r="BN94" i="6"/>
  <c r="BM94" i="6"/>
  <c r="BO85" i="6"/>
  <c r="BN85" i="6"/>
  <c r="BM85" i="6"/>
  <c r="BO15" i="6"/>
  <c r="BN15" i="6"/>
  <c r="BM15" i="6"/>
  <c r="BL15" i="6"/>
  <c r="BF113" i="2"/>
  <c r="BE113" i="2"/>
  <c r="BD113" i="2"/>
  <c r="BF99" i="2"/>
  <c r="BE99" i="2"/>
  <c r="BD99" i="2"/>
  <c r="BC99" i="2"/>
  <c r="BF98" i="2"/>
  <c r="BE98" i="2"/>
  <c r="BD98" i="2"/>
  <c r="BC98" i="2"/>
  <c r="BF97" i="2"/>
  <c r="BE97" i="2"/>
  <c r="BD97" i="2"/>
  <c r="BC97" i="2"/>
  <c r="BF96" i="2"/>
  <c r="BE96" i="2"/>
  <c r="BD96" i="2"/>
  <c r="BC96" i="2"/>
  <c r="BF95" i="2"/>
  <c r="BE95" i="2"/>
  <c r="BD95" i="2"/>
  <c r="BC95" i="2"/>
  <c r="BF94" i="2"/>
  <c r="BE94" i="2"/>
  <c r="BD94" i="2"/>
  <c r="BC94" i="2"/>
  <c r="BO83" i="6"/>
  <c r="BO82" i="6"/>
  <c r="BO81" i="6"/>
  <c r="BO80" i="6"/>
  <c r="BO78" i="6"/>
  <c r="BO76" i="6"/>
  <c r="BO75" i="6"/>
  <c r="BO74" i="6"/>
  <c r="BO73" i="6"/>
  <c r="BO13" i="6"/>
  <c r="BO12" i="6"/>
  <c r="BO11" i="6"/>
  <c r="BO10" i="6"/>
  <c r="BF141" i="2" l="1"/>
  <c r="BF134" i="2"/>
  <c r="BF127" i="2"/>
  <c r="BF116" i="2" l="1"/>
  <c r="BF117" i="2"/>
  <c r="BF118" i="2"/>
  <c r="BF119" i="2"/>
  <c r="BF115" i="2"/>
  <c r="BF85" i="2"/>
  <c r="BF84" i="2"/>
  <c r="BF83" i="2"/>
  <c r="BF82" i="2"/>
  <c r="BF81" i="2"/>
  <c r="BF80" i="2"/>
  <c r="BF77" i="2"/>
  <c r="BF76" i="2"/>
  <c r="BF78" i="2"/>
  <c r="BF75" i="2"/>
  <c r="BF74" i="2"/>
  <c r="BF73" i="2"/>
  <c r="BF120" i="2" l="1"/>
  <c r="BF71" i="2"/>
  <c r="BF70" i="2"/>
  <c r="BF69" i="2"/>
  <c r="BF68" i="2"/>
  <c r="BF67" i="2"/>
  <c r="BF66" i="2"/>
  <c r="BF64" i="2"/>
  <c r="BF62" i="2"/>
  <c r="BF61" i="2"/>
  <c r="BF60" i="2"/>
  <c r="BF59" i="2"/>
  <c r="BF57" i="2"/>
  <c r="BF55" i="2"/>
  <c r="BF54" i="2"/>
  <c r="BF53" i="2"/>
  <c r="BF52" i="2"/>
  <c r="BF50" i="2"/>
  <c r="BF48" i="2"/>
  <c r="BF47" i="2"/>
  <c r="BF46" i="2"/>
  <c r="BF45" i="2"/>
  <c r="BF43" i="2"/>
  <c r="BF41" i="2"/>
  <c r="BF40" i="2"/>
  <c r="BF39" i="2"/>
  <c r="BF38" i="2"/>
  <c r="BF36" i="2"/>
  <c r="BF34" i="2"/>
  <c r="BF33" i="2"/>
  <c r="BF32" i="2"/>
  <c r="BF31" i="2"/>
  <c r="BF22" i="2"/>
  <c r="BF21" i="2"/>
  <c r="BF20" i="2"/>
  <c r="BF19" i="2"/>
  <c r="BF18" i="2"/>
  <c r="BF17" i="2"/>
  <c r="BF27" i="2"/>
  <c r="BF29" i="2" s="1"/>
  <c r="BF26" i="2"/>
  <c r="BF25" i="2"/>
  <c r="BF24" i="2"/>
  <c r="BF15" i="2" l="1"/>
  <c r="BF14" i="2"/>
  <c r="BF13" i="2"/>
  <c r="BF12" i="2"/>
  <c r="BF11" i="2"/>
  <c r="BF10" i="2"/>
  <c r="BE141" i="2" l="1"/>
  <c r="BE136" i="2"/>
  <c r="BE134" i="2"/>
  <c r="BE127" i="2" l="1"/>
  <c r="AZ115" i="2"/>
  <c r="BA115" i="2"/>
  <c r="BB115" i="2"/>
  <c r="BC115" i="2"/>
  <c r="AZ116" i="2"/>
  <c r="BA116" i="2"/>
  <c r="BB116" i="2"/>
  <c r="BC116" i="2"/>
  <c r="BD116" i="2"/>
  <c r="BE116" i="2"/>
  <c r="AZ117" i="2"/>
  <c r="BA117" i="2"/>
  <c r="BB117" i="2"/>
  <c r="BC117" i="2"/>
  <c r="BD117" i="2"/>
  <c r="BE117" i="2"/>
  <c r="AZ118" i="2"/>
  <c r="BA118" i="2"/>
  <c r="BB118" i="2"/>
  <c r="BC118" i="2"/>
  <c r="BD118" i="2"/>
  <c r="BE118" i="2"/>
  <c r="AZ119" i="2"/>
  <c r="BA119" i="2"/>
  <c r="BB119" i="2"/>
  <c r="BC119" i="2"/>
  <c r="BD119" i="2"/>
  <c r="BE119" i="2"/>
  <c r="AZ120" i="2"/>
  <c r="BA120" i="2"/>
  <c r="BB120" i="2"/>
  <c r="BC120" i="2"/>
  <c r="BE115" i="2"/>
  <c r="BE84" i="2"/>
  <c r="BE85" i="2"/>
  <c r="BE83" i="2"/>
  <c r="BE82" i="2"/>
  <c r="BE81" i="2"/>
  <c r="BE80" i="2"/>
  <c r="BE76" i="2"/>
  <c r="BE78" i="2"/>
  <c r="BE77" i="2"/>
  <c r="BE73" i="2"/>
  <c r="BE75" i="2"/>
  <c r="BE74" i="2"/>
  <c r="BE71" i="2"/>
  <c r="BE69" i="2"/>
  <c r="BE68" i="2"/>
  <c r="BE67" i="2"/>
  <c r="BE66" i="2"/>
  <c r="BE64" i="2"/>
  <c r="BE62" i="2"/>
  <c r="BE61" i="2"/>
  <c r="BE60" i="2"/>
  <c r="BE59" i="2"/>
  <c r="BE57" i="2"/>
  <c r="BE55" i="2"/>
  <c r="BE54" i="2"/>
  <c r="BE53" i="2"/>
  <c r="BE52" i="2"/>
  <c r="BE50" i="2"/>
  <c r="BE48" i="2"/>
  <c r="BE47" i="2"/>
  <c r="BE46" i="2"/>
  <c r="BE45" i="2"/>
  <c r="BE43" i="2"/>
  <c r="BE41" i="2"/>
  <c r="BE40" i="2"/>
  <c r="BE39" i="2"/>
  <c r="BE38" i="2"/>
  <c r="BE36" i="2"/>
  <c r="BE34" i="2"/>
  <c r="BE33" i="2"/>
  <c r="BE32" i="2"/>
  <c r="BE31" i="2"/>
  <c r="BE29" i="2"/>
  <c r="BE27" i="2"/>
  <c r="BE26" i="2"/>
  <c r="BE25" i="2"/>
  <c r="BE24" i="2"/>
  <c r="BE22" i="2"/>
  <c r="BE21" i="2"/>
  <c r="BE20" i="2"/>
  <c r="BE19" i="2"/>
  <c r="BE18" i="2"/>
  <c r="BE15" i="2"/>
  <c r="BE14" i="2"/>
  <c r="BE13" i="2"/>
  <c r="BE12" i="2"/>
  <c r="BE11" i="2"/>
  <c r="BE10" i="2"/>
  <c r="BE120" i="2" l="1"/>
  <c r="BD134" i="2"/>
  <c r="BD127" i="2"/>
  <c r="BD141" i="2"/>
  <c r="BD85" i="2"/>
  <c r="BD84" i="2"/>
  <c r="BD83" i="2"/>
  <c r="BD82" i="2"/>
  <c r="BD81" i="2"/>
  <c r="BD80" i="2"/>
  <c r="BD78" i="2"/>
  <c r="BD77" i="2"/>
  <c r="BD76" i="2"/>
  <c r="BD75" i="2"/>
  <c r="BD74" i="2"/>
  <c r="BD73" i="2"/>
  <c r="BD71" i="2"/>
  <c r="BD64" i="2"/>
  <c r="BD62" i="2"/>
  <c r="BD61" i="2"/>
  <c r="BD60" i="2"/>
  <c r="BD59" i="2"/>
  <c r="BD57" i="2"/>
  <c r="BD55" i="2"/>
  <c r="BD54" i="2"/>
  <c r="BD53" i="2"/>
  <c r="BD52" i="2"/>
  <c r="BD50" i="2"/>
  <c r="BD49" i="2"/>
  <c r="BD48" i="2"/>
  <c r="BD47" i="2"/>
  <c r="BD46" i="2"/>
  <c r="BD45" i="2"/>
  <c r="BD43" i="2"/>
  <c r="BD36" i="2"/>
  <c r="BD34" i="2"/>
  <c r="BD33" i="2"/>
  <c r="BD32" i="2"/>
  <c r="BD31" i="2"/>
  <c r="BD29" i="2"/>
  <c r="BD28" i="2"/>
  <c r="BD27" i="2"/>
  <c r="BD26" i="2"/>
  <c r="BD25" i="2"/>
  <c r="BD24" i="2"/>
  <c r="BD22" i="2"/>
  <c r="BD21" i="2"/>
  <c r="BD20" i="2"/>
  <c r="BD19" i="2"/>
  <c r="BD18" i="2"/>
  <c r="BD15" i="2"/>
  <c r="BD14" i="2"/>
  <c r="BD13" i="2"/>
  <c r="BD12" i="2"/>
  <c r="BD11" i="2"/>
  <c r="BD10" i="2"/>
  <c r="BO70" i="2"/>
  <c r="BN70" i="2"/>
  <c r="BM70" i="2"/>
  <c r="BL70" i="2"/>
  <c r="BO69" i="2"/>
  <c r="BN69" i="2"/>
  <c r="BM69" i="2"/>
  <c r="BL69" i="2"/>
  <c r="BO68" i="2"/>
  <c r="BN68" i="2"/>
  <c r="BM68" i="2"/>
  <c r="BL68" i="2"/>
  <c r="BO67" i="2"/>
  <c r="BN67" i="2"/>
  <c r="BN71" i="2" s="1"/>
  <c r="BM67" i="2"/>
  <c r="BL67" i="2"/>
  <c r="BO66" i="2"/>
  <c r="BO71" i="2" s="1"/>
  <c r="BN66" i="2"/>
  <c r="BM66" i="2"/>
  <c r="BM71" i="2" s="1"/>
  <c r="BL66" i="2"/>
  <c r="BL71" i="2" s="1"/>
  <c r="BD115" i="2" l="1"/>
  <c r="BD120" i="2"/>
  <c r="BL106" i="6"/>
  <c r="BL96" i="6"/>
  <c r="BL95" i="6"/>
  <c r="BL94" i="6"/>
  <c r="BL85" i="6"/>
  <c r="BX106" i="6" l="1"/>
  <c r="BX103" i="6"/>
  <c r="BX102" i="6"/>
  <c r="BX101" i="6"/>
  <c r="BX99" i="6"/>
  <c r="BX98" i="6"/>
  <c r="BX97" i="6"/>
  <c r="BX96" i="6"/>
  <c r="BX95" i="6"/>
  <c r="BX94" i="6"/>
  <c r="BX85" i="6"/>
  <c r="BX84" i="6"/>
  <c r="BX83" i="6"/>
  <c r="BX82" i="6"/>
  <c r="BX81" i="6"/>
  <c r="BX80" i="6"/>
  <c r="BX78" i="6"/>
  <c r="BX77" i="6"/>
  <c r="BX76" i="6"/>
  <c r="BX75" i="6"/>
  <c r="BX74" i="6"/>
  <c r="BX73" i="6"/>
  <c r="BX71" i="6"/>
  <c r="BX70" i="6"/>
  <c r="BX69" i="6"/>
  <c r="BX68" i="6"/>
  <c r="BX67" i="6"/>
  <c r="BX66" i="6"/>
  <c r="BX64" i="6"/>
  <c r="BX63" i="6"/>
  <c r="BX62" i="6"/>
  <c r="BX61" i="6"/>
  <c r="BX60" i="6"/>
  <c r="BX59" i="6"/>
  <c r="BX57" i="6"/>
  <c r="BX56" i="6"/>
  <c r="BX55" i="6"/>
  <c r="BX54" i="6"/>
  <c r="BX53" i="6"/>
  <c r="BX52" i="6"/>
  <c r="BX50" i="6"/>
  <c r="BX49" i="6"/>
  <c r="BX48" i="6"/>
  <c r="BX47" i="6"/>
  <c r="BX46" i="6"/>
  <c r="BX45" i="6"/>
  <c r="BX43" i="6"/>
  <c r="BX42" i="6"/>
  <c r="BX41" i="6"/>
  <c r="BX40" i="6"/>
  <c r="BX39" i="6"/>
  <c r="BX38" i="6"/>
  <c r="BX36" i="6"/>
  <c r="BX35" i="6"/>
  <c r="BX34" i="6"/>
  <c r="BX33" i="6"/>
  <c r="BX32" i="6"/>
  <c r="BX31" i="6"/>
  <c r="BX29" i="6"/>
  <c r="BX28" i="6"/>
  <c r="BX27" i="6"/>
  <c r="BX26" i="6"/>
  <c r="BX25" i="6"/>
  <c r="BX24" i="6"/>
  <c r="BX22" i="6"/>
  <c r="BX21" i="6"/>
  <c r="BX20" i="6"/>
  <c r="BX19" i="6"/>
  <c r="BX18" i="6"/>
  <c r="BX17" i="6"/>
  <c r="BX15" i="6"/>
  <c r="BX14" i="6"/>
  <c r="BX13" i="6"/>
  <c r="BX12" i="6"/>
  <c r="BX11" i="6"/>
  <c r="BX10" i="6"/>
  <c r="BW106" i="6"/>
  <c r="BW103" i="6"/>
  <c r="BW102" i="6"/>
  <c r="BW101" i="6"/>
  <c r="BW99" i="6"/>
  <c r="BW98" i="6"/>
  <c r="BW97" i="6"/>
  <c r="BW96" i="6"/>
  <c r="BW95" i="6"/>
  <c r="BW94" i="6"/>
  <c r="BW85" i="6"/>
  <c r="BW84" i="6"/>
  <c r="BW83" i="6"/>
  <c r="BW82" i="6"/>
  <c r="BW81" i="6"/>
  <c r="BW80" i="6"/>
  <c r="BW78" i="6"/>
  <c r="BW77" i="6"/>
  <c r="BW76" i="6"/>
  <c r="BW75" i="6"/>
  <c r="BW74" i="6"/>
  <c r="BW73" i="6"/>
  <c r="BW71" i="6"/>
  <c r="BW70" i="6"/>
  <c r="BW69" i="6"/>
  <c r="BW68" i="6"/>
  <c r="BW67" i="6"/>
  <c r="BW66" i="6"/>
  <c r="BW64" i="6"/>
  <c r="BW63" i="6"/>
  <c r="BW62" i="6"/>
  <c r="BW61" i="6"/>
  <c r="BW60" i="6"/>
  <c r="BW59" i="6"/>
  <c r="BW57" i="6"/>
  <c r="BW56" i="6"/>
  <c r="BW55" i="6"/>
  <c r="BW54" i="6"/>
  <c r="BW53" i="6"/>
  <c r="BW52" i="6"/>
  <c r="BW50" i="6"/>
  <c r="BW49" i="6"/>
  <c r="BW48" i="6"/>
  <c r="BW47" i="6"/>
  <c r="BW46" i="6"/>
  <c r="BW45" i="6"/>
  <c r="BW43" i="6"/>
  <c r="BW42" i="6"/>
  <c r="BW41" i="6"/>
  <c r="BW40" i="6"/>
  <c r="BW39" i="6"/>
  <c r="BW38" i="6"/>
  <c r="BW36" i="6"/>
  <c r="BW35" i="6"/>
  <c r="BW34" i="6"/>
  <c r="BW33" i="6"/>
  <c r="BW32" i="6"/>
  <c r="BW31" i="6"/>
  <c r="BW29" i="6"/>
  <c r="BW28" i="6"/>
  <c r="BW27" i="6"/>
  <c r="BW26" i="6"/>
  <c r="BW25" i="6"/>
  <c r="BW24" i="6"/>
  <c r="BW22" i="6"/>
  <c r="BW21" i="6"/>
  <c r="BW20" i="6"/>
  <c r="BW19" i="6"/>
  <c r="BW18" i="6"/>
  <c r="BW17" i="6"/>
  <c r="BW15" i="6"/>
  <c r="BW14" i="6"/>
  <c r="BW13" i="6"/>
  <c r="BW12" i="6"/>
  <c r="BW11" i="6"/>
  <c r="BW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BC127" i="2" l="1"/>
  <c r="BC70" i="2"/>
  <c r="BC69" i="2"/>
  <c r="BC68" i="2"/>
  <c r="BC67" i="2"/>
  <c r="BC66" i="2"/>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71" i="2" l="1"/>
  <c r="BC64" i="2"/>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95" i="2"/>
  <c r="BB94" i="2"/>
  <c r="BA70" i="2"/>
  <c r="AZ70" i="2"/>
  <c r="BA69" i="2"/>
  <c r="AZ69" i="2"/>
  <c r="BA68" i="2"/>
  <c r="AZ68" i="2"/>
  <c r="BB67" i="2"/>
  <c r="AZ67" i="2"/>
  <c r="BA66" i="2"/>
  <c r="AZ66" i="2"/>
  <c r="BB50" i="2"/>
  <c r="BB43" i="2"/>
  <c r="BB36" i="2"/>
  <c r="BB29" i="2"/>
  <c r="BB15" i="2"/>
  <c r="BB97" i="2" l="1"/>
  <c r="BB99" i="2"/>
  <c r="BB70" i="2"/>
  <c r="BB71" i="2" s="1"/>
  <c r="BK96" i="6" l="1"/>
  <c r="BK95" i="6"/>
  <c r="BK94" i="6"/>
  <c r="BK106" i="6"/>
  <c r="BK99" i="6"/>
  <c r="BK85" i="6"/>
  <c r="BK78" i="6"/>
  <c r="BK71" i="6"/>
  <c r="BK64" i="6"/>
  <c r="BK57" i="6"/>
  <c r="BK50" i="6"/>
  <c r="BK15" i="6"/>
  <c r="BJ15" i="6"/>
  <c r="BV15" i="6" s="1"/>
  <c r="BJ106" i="6"/>
  <c r="BV106" i="6" s="1"/>
  <c r="BJ96" i="6"/>
  <c r="BV96" i="6" s="1"/>
  <c r="BJ95" i="6"/>
  <c r="BV95" i="6" s="1"/>
  <c r="BJ94" i="6"/>
  <c r="BJ99" i="6" s="1"/>
  <c r="BV99" i="6" s="1"/>
  <c r="BJ85" i="6"/>
  <c r="BJ78" i="6"/>
  <c r="BV78" i="6" s="1"/>
  <c r="BJ71" i="6"/>
  <c r="BV71" i="6" s="1"/>
  <c r="BJ64" i="6"/>
  <c r="BV64" i="6" s="1"/>
  <c r="BJ57" i="6"/>
  <c r="BV57" i="6" s="1"/>
  <c r="BJ50" i="6"/>
  <c r="BI15" i="6"/>
  <c r="BH15" i="6"/>
  <c r="BT15" i="6" s="1"/>
  <c r="BG15" i="6"/>
  <c r="BF15" i="6"/>
  <c r="BV103" i="6"/>
  <c r="BV102" i="6"/>
  <c r="BV101" i="6"/>
  <c r="BV98" i="6"/>
  <c r="BV97" i="6"/>
  <c r="BV94" i="6"/>
  <c r="BV85" i="6"/>
  <c r="BV84" i="6"/>
  <c r="BV83" i="6"/>
  <c r="BV82" i="6"/>
  <c r="BV81" i="6"/>
  <c r="BV80" i="6"/>
  <c r="BV77" i="6"/>
  <c r="BV76" i="6"/>
  <c r="BV75" i="6"/>
  <c r="BV74" i="6"/>
  <c r="BV73" i="6"/>
  <c r="BV70" i="6"/>
  <c r="BV69" i="6"/>
  <c r="BV68" i="6"/>
  <c r="BV67" i="6"/>
  <c r="BV66" i="6"/>
  <c r="BV63" i="6"/>
  <c r="BV62" i="6"/>
  <c r="BV61" i="6"/>
  <c r="BV60" i="6"/>
  <c r="BV59" i="6"/>
  <c r="BV56" i="6"/>
  <c r="BV55" i="6"/>
  <c r="BV54" i="6"/>
  <c r="BV53" i="6"/>
  <c r="BV52" i="6"/>
  <c r="BV50" i="6"/>
  <c r="BV49" i="6"/>
  <c r="BV48" i="6"/>
  <c r="BV47" i="6"/>
  <c r="BV46" i="6"/>
  <c r="BV45" i="6"/>
  <c r="BV43" i="6"/>
  <c r="BV42" i="6"/>
  <c r="BV41" i="6"/>
  <c r="BV40" i="6"/>
  <c r="BV39" i="6"/>
  <c r="BV38" i="6"/>
  <c r="BV36" i="6"/>
  <c r="BV35" i="6"/>
  <c r="BV34" i="6"/>
  <c r="BV33" i="6"/>
  <c r="BV32" i="6"/>
  <c r="BV31" i="6"/>
  <c r="BV29" i="6"/>
  <c r="BV28" i="6"/>
  <c r="BV27" i="6"/>
  <c r="BV26" i="6"/>
  <c r="BV25" i="6"/>
  <c r="BV24" i="6"/>
  <c r="BV22" i="6"/>
  <c r="BV21" i="6"/>
  <c r="BV20" i="6"/>
  <c r="BV19" i="6"/>
  <c r="BV18" i="6"/>
  <c r="BV17" i="6"/>
  <c r="BV14" i="6"/>
  <c r="BV13" i="6"/>
  <c r="BV12" i="6"/>
  <c r="BV11" i="6"/>
  <c r="BV10" i="6"/>
  <c r="BA141" i="2"/>
  <c r="BM141" i="2" s="1"/>
  <c r="AZ141" i="2"/>
  <c r="BL141" i="2" s="1"/>
  <c r="BA134" i="2"/>
  <c r="BM134" i="2" s="1"/>
  <c r="AZ134" i="2"/>
  <c r="BA127" i="2"/>
  <c r="BM127" i="2" s="1"/>
  <c r="BM120" i="2"/>
  <c r="BM119" i="2"/>
  <c r="BM118" i="2"/>
  <c r="BM115" i="2"/>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BU103" i="6"/>
  <c r="BT103" i="6"/>
  <c r="BS103" i="6"/>
  <c r="BR103" i="6"/>
  <c r="BU102" i="6"/>
  <c r="BT102" i="6"/>
  <c r="BS102" i="6"/>
  <c r="BR102" i="6"/>
  <c r="BU106" i="6"/>
  <c r="BT106" i="6"/>
  <c r="BS106" i="6"/>
  <c r="BR106" i="6"/>
  <c r="BU101" i="6"/>
  <c r="BT101" i="6"/>
  <c r="BS101" i="6"/>
  <c r="BR101" i="6"/>
  <c r="AU96" i="6"/>
  <c r="AU99" i="6" s="1"/>
  <c r="AT96" i="6"/>
  <c r="AS96" i="6"/>
  <c r="AR96" i="6"/>
  <c r="AR99" i="6" s="1"/>
  <c r="AQ96" i="6"/>
  <c r="AP96" i="6"/>
  <c r="AO96" i="6"/>
  <c r="AN96" i="6"/>
  <c r="AN99" i="6" s="1"/>
  <c r="AM96" i="6"/>
  <c r="AU95" i="6"/>
  <c r="AT95" i="6"/>
  <c r="AS95" i="6"/>
  <c r="AR95" i="6"/>
  <c r="AQ95" i="6"/>
  <c r="AP95" i="6"/>
  <c r="AO95" i="6"/>
  <c r="AN95" i="6"/>
  <c r="AM95" i="6"/>
  <c r="AU94" i="6"/>
  <c r="AT94" i="6"/>
  <c r="AT99" i="6" s="1"/>
  <c r="AS94" i="6"/>
  <c r="AR94" i="6"/>
  <c r="AQ94" i="6"/>
  <c r="AQ99" i="6" s="1"/>
  <c r="AP94" i="6"/>
  <c r="AP99" i="6" s="1"/>
  <c r="AO94" i="6"/>
  <c r="AN94" i="6"/>
  <c r="AM94" i="6"/>
  <c r="AL96" i="6"/>
  <c r="AL95" i="6"/>
  <c r="AL94" i="6"/>
  <c r="AK96" i="6"/>
  <c r="AK95" i="6"/>
  <c r="AK94" i="6"/>
  <c r="BS94" i="6" s="1"/>
  <c r="AS99" i="6"/>
  <c r="AO99" i="6"/>
  <c r="BR99" i="6"/>
  <c r="BU98" i="6"/>
  <c r="BT98" i="6"/>
  <c r="BS98" i="6"/>
  <c r="BR98" i="6"/>
  <c r="BU97" i="6"/>
  <c r="BT97" i="6"/>
  <c r="BS97" i="6"/>
  <c r="BR97" i="6"/>
  <c r="BU96" i="6"/>
  <c r="BT96" i="6"/>
  <c r="BS96" i="6"/>
  <c r="BR96" i="6"/>
  <c r="BU95" i="6"/>
  <c r="BT95" i="6"/>
  <c r="BS95" i="6"/>
  <c r="BR95" i="6"/>
  <c r="BU94" i="6"/>
  <c r="BT94" i="6"/>
  <c r="BR94" i="6"/>
  <c r="BU85" i="6"/>
  <c r="BT85" i="6"/>
  <c r="BS85" i="6"/>
  <c r="BR85" i="6"/>
  <c r="BU84" i="6"/>
  <c r="BT84" i="6"/>
  <c r="BS84" i="6"/>
  <c r="BR84" i="6"/>
  <c r="BU83" i="6"/>
  <c r="BT83" i="6"/>
  <c r="BS83" i="6"/>
  <c r="BR83" i="6"/>
  <c r="BU82" i="6"/>
  <c r="BT82" i="6"/>
  <c r="BS82" i="6"/>
  <c r="BR82" i="6"/>
  <c r="BU81" i="6"/>
  <c r="BT81" i="6"/>
  <c r="BS81" i="6"/>
  <c r="BR81" i="6"/>
  <c r="BU80" i="6"/>
  <c r="BT80" i="6"/>
  <c r="BS80" i="6"/>
  <c r="BR80" i="6"/>
  <c r="BU78" i="6"/>
  <c r="BT78" i="6"/>
  <c r="BS78" i="6"/>
  <c r="BR78" i="6"/>
  <c r="BU77" i="6"/>
  <c r="BT77" i="6"/>
  <c r="BS77" i="6"/>
  <c r="BR77" i="6"/>
  <c r="BU76" i="6"/>
  <c r="BT76" i="6"/>
  <c r="BS76" i="6"/>
  <c r="BR76" i="6"/>
  <c r="BU75" i="6"/>
  <c r="BT75" i="6"/>
  <c r="BS75" i="6"/>
  <c r="BR75" i="6"/>
  <c r="BU74" i="6"/>
  <c r="BT74" i="6"/>
  <c r="BS74" i="6"/>
  <c r="BR74" i="6"/>
  <c r="BU73" i="6"/>
  <c r="BT73" i="6"/>
  <c r="BS73" i="6"/>
  <c r="BR73" i="6"/>
  <c r="BU71" i="6"/>
  <c r="BT71" i="6"/>
  <c r="BS71" i="6"/>
  <c r="BR71" i="6"/>
  <c r="BU70" i="6"/>
  <c r="BT70" i="6"/>
  <c r="BS70" i="6"/>
  <c r="BR70" i="6"/>
  <c r="BU69" i="6"/>
  <c r="BT69" i="6"/>
  <c r="BS69" i="6"/>
  <c r="BR69" i="6"/>
  <c r="BU68" i="6"/>
  <c r="BT68" i="6"/>
  <c r="BS68" i="6"/>
  <c r="BR68" i="6"/>
  <c r="BU67" i="6"/>
  <c r="BT67" i="6"/>
  <c r="BS67" i="6"/>
  <c r="BR67" i="6"/>
  <c r="BU66" i="6"/>
  <c r="BT66" i="6"/>
  <c r="BS66" i="6"/>
  <c r="BR66" i="6"/>
  <c r="BU64" i="6"/>
  <c r="BT64" i="6"/>
  <c r="BS64" i="6"/>
  <c r="BR64" i="6"/>
  <c r="BU63" i="6"/>
  <c r="BT63" i="6"/>
  <c r="BS63" i="6"/>
  <c r="BR63" i="6"/>
  <c r="BU62" i="6"/>
  <c r="BT62" i="6"/>
  <c r="BS62" i="6"/>
  <c r="BR62" i="6"/>
  <c r="BU61" i="6"/>
  <c r="BT61" i="6"/>
  <c r="BS61" i="6"/>
  <c r="BR61" i="6"/>
  <c r="BU60" i="6"/>
  <c r="BT60" i="6"/>
  <c r="BS60" i="6"/>
  <c r="BR60" i="6"/>
  <c r="BU59" i="6"/>
  <c r="BT59" i="6"/>
  <c r="BS59" i="6"/>
  <c r="BR59" i="6"/>
  <c r="BU57" i="6"/>
  <c r="BT57" i="6"/>
  <c r="BS57" i="6"/>
  <c r="BR57" i="6"/>
  <c r="BU56" i="6"/>
  <c r="BT56" i="6"/>
  <c r="BS56" i="6"/>
  <c r="BR56" i="6"/>
  <c r="BU55" i="6"/>
  <c r="BT55" i="6"/>
  <c r="BS55" i="6"/>
  <c r="BR55" i="6"/>
  <c r="BU54" i="6"/>
  <c r="BT54" i="6"/>
  <c r="BS54" i="6"/>
  <c r="BR54" i="6"/>
  <c r="BU53" i="6"/>
  <c r="BT53" i="6"/>
  <c r="BS53" i="6"/>
  <c r="BR53" i="6"/>
  <c r="BU52" i="6"/>
  <c r="BT52" i="6"/>
  <c r="BS52" i="6"/>
  <c r="BR52" i="6"/>
  <c r="BU50" i="6"/>
  <c r="BT50" i="6"/>
  <c r="BS50" i="6"/>
  <c r="BR50" i="6"/>
  <c r="BU49" i="6"/>
  <c r="BT49" i="6"/>
  <c r="BS49" i="6"/>
  <c r="BR49" i="6"/>
  <c r="BU48" i="6"/>
  <c r="BT48" i="6"/>
  <c r="BS48" i="6"/>
  <c r="BR48" i="6"/>
  <c r="BU47" i="6"/>
  <c r="BT47" i="6"/>
  <c r="BS47" i="6"/>
  <c r="BR47" i="6"/>
  <c r="BU46" i="6"/>
  <c r="BT46" i="6"/>
  <c r="BS46" i="6"/>
  <c r="BR46" i="6"/>
  <c r="BU45" i="6"/>
  <c r="BT45" i="6"/>
  <c r="BS45" i="6"/>
  <c r="BR45" i="6"/>
  <c r="BU43" i="6"/>
  <c r="BT43" i="6"/>
  <c r="BS43" i="6"/>
  <c r="BR43" i="6"/>
  <c r="BU42" i="6"/>
  <c r="BT42" i="6"/>
  <c r="BS42" i="6"/>
  <c r="BR42" i="6"/>
  <c r="BU41" i="6"/>
  <c r="BT41" i="6"/>
  <c r="BS41" i="6"/>
  <c r="BR41" i="6"/>
  <c r="BU40" i="6"/>
  <c r="BT40" i="6"/>
  <c r="BS40" i="6"/>
  <c r="BR40" i="6"/>
  <c r="BU39" i="6"/>
  <c r="BT39" i="6"/>
  <c r="BS39" i="6"/>
  <c r="BR39" i="6"/>
  <c r="BU38" i="6"/>
  <c r="BT38" i="6"/>
  <c r="BS38" i="6"/>
  <c r="BR38" i="6"/>
  <c r="BU36" i="6"/>
  <c r="BT36" i="6"/>
  <c r="BS36" i="6"/>
  <c r="BR36" i="6"/>
  <c r="BU35" i="6"/>
  <c r="BT35" i="6"/>
  <c r="BS35" i="6"/>
  <c r="BR35" i="6"/>
  <c r="BU34" i="6"/>
  <c r="BT34" i="6"/>
  <c r="BS34" i="6"/>
  <c r="BR34" i="6"/>
  <c r="BU33" i="6"/>
  <c r="BT33" i="6"/>
  <c r="BS33" i="6"/>
  <c r="BR33" i="6"/>
  <c r="BU32" i="6"/>
  <c r="BT32" i="6"/>
  <c r="BS32" i="6"/>
  <c r="BR32" i="6"/>
  <c r="BU31" i="6"/>
  <c r="BT31" i="6"/>
  <c r="BS31" i="6"/>
  <c r="BR31" i="6"/>
  <c r="BU29" i="6"/>
  <c r="BT29" i="6"/>
  <c r="BS29" i="6"/>
  <c r="BR29" i="6"/>
  <c r="BU28" i="6"/>
  <c r="BT28" i="6"/>
  <c r="BS28" i="6"/>
  <c r="BR28" i="6"/>
  <c r="BU27" i="6"/>
  <c r="BT27" i="6"/>
  <c r="BS27" i="6"/>
  <c r="BR27" i="6"/>
  <c r="BU26" i="6"/>
  <c r="BT26" i="6"/>
  <c r="BS26" i="6"/>
  <c r="BR26" i="6"/>
  <c r="BU25" i="6"/>
  <c r="BT25" i="6"/>
  <c r="BS25" i="6"/>
  <c r="BR25" i="6"/>
  <c r="BU24" i="6"/>
  <c r="BT24" i="6"/>
  <c r="BS24" i="6"/>
  <c r="BR24" i="6"/>
  <c r="BU22" i="6"/>
  <c r="BT22" i="6"/>
  <c r="BS22" i="6"/>
  <c r="BR22" i="6"/>
  <c r="BU21" i="6"/>
  <c r="BT21" i="6"/>
  <c r="BS21" i="6"/>
  <c r="BR21" i="6"/>
  <c r="BU20" i="6"/>
  <c r="BT20" i="6"/>
  <c r="BS20" i="6"/>
  <c r="BR20" i="6"/>
  <c r="BU19" i="6"/>
  <c r="BT19" i="6"/>
  <c r="BS19" i="6"/>
  <c r="BR19" i="6"/>
  <c r="BU18" i="6"/>
  <c r="BT18" i="6"/>
  <c r="BS18" i="6"/>
  <c r="BR18" i="6"/>
  <c r="BU17" i="6"/>
  <c r="BT17" i="6"/>
  <c r="BS17" i="6"/>
  <c r="BR17" i="6"/>
  <c r="BU15" i="6"/>
  <c r="BS15" i="6"/>
  <c r="BU14" i="6"/>
  <c r="BT14" i="6"/>
  <c r="BS14" i="6"/>
  <c r="BU13" i="6"/>
  <c r="BT13" i="6"/>
  <c r="BS13" i="6"/>
  <c r="BU12" i="6"/>
  <c r="BT12" i="6"/>
  <c r="BS12" i="6"/>
  <c r="BU11" i="6"/>
  <c r="BT11" i="6"/>
  <c r="BS11" i="6"/>
  <c r="BU10" i="6"/>
  <c r="BT10" i="6"/>
  <c r="BS10" i="6"/>
  <c r="BR15" i="6"/>
  <c r="BR14" i="6"/>
  <c r="BR13" i="6"/>
  <c r="BR12" i="6"/>
  <c r="BR11" i="6"/>
  <c r="BR10"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BJ70" i="2" l="1"/>
  <c r="BM38" i="2"/>
  <c r="BK68" i="2"/>
  <c r="BJ67" i="2"/>
  <c r="BK69" i="2"/>
  <c r="BI66" i="2"/>
  <c r="BI71" i="2" s="1"/>
  <c r="BJ66" i="2"/>
  <c r="BJ71" i="2" s="1"/>
  <c r="BK71" i="2" l="1"/>
  <c r="BI96" i="6"/>
  <c r="BH96" i="6"/>
  <c r="BG96" i="6"/>
  <c r="BI95" i="6"/>
  <c r="BH95" i="6"/>
  <c r="BG95" i="6"/>
  <c r="BI94" i="6"/>
  <c r="BH94" i="6"/>
  <c r="BG94" i="6"/>
  <c r="BF96" i="6"/>
  <c r="BF95" i="6"/>
  <c r="BF94" i="6"/>
  <c r="BI85" i="6"/>
  <c r="BH85" i="6"/>
  <c r="BG85" i="6"/>
  <c r="BF85" i="6"/>
  <c r="BI78" i="6"/>
  <c r="BH78" i="6"/>
  <c r="BG78" i="6"/>
  <c r="BF78" i="6"/>
  <c r="BI68" i="6"/>
  <c r="BI67" i="6"/>
  <c r="BI66" i="6"/>
  <c r="BH66" i="6"/>
  <c r="BH67" i="6"/>
  <c r="BH68" i="6"/>
  <c r="BG68" i="6"/>
  <c r="BG67" i="6"/>
  <c r="BG66" i="6"/>
  <c r="BF68" i="6"/>
  <c r="BF67" i="6"/>
  <c r="BF66" i="6"/>
  <c r="BI64" i="6"/>
  <c r="BH64" i="6"/>
  <c r="BG64" i="6"/>
  <c r="BF64" i="6"/>
  <c r="BI57" i="6"/>
  <c r="BH57" i="6"/>
  <c r="BG57" i="6"/>
  <c r="BI50" i="6"/>
  <c r="BH50" i="6"/>
  <c r="BF50" i="6"/>
  <c r="BF4" i="6"/>
  <c r="BI106" i="6"/>
  <c r="BI99" i="6"/>
  <c r="BI81" i="6"/>
  <c r="AZ99" i="2"/>
  <c r="BL99" i="2" s="1"/>
  <c r="BL118" i="2"/>
  <c r="BL116" i="2"/>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BL115" i="2"/>
  <c r="BL117" i="2"/>
  <c r="BL119" i="2"/>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BL120" i="2" l="1"/>
  <c r="BI71" i="6"/>
  <c r="BH71" i="6"/>
  <c r="BF71" i="6"/>
  <c r="BH106" i="6"/>
  <c r="BH99" i="6"/>
  <c r="BH81" i="6"/>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AY120" i="2" l="1"/>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AY57" i="2" l="1"/>
  <c r="BG106" i="6"/>
  <c r="BG99" i="6"/>
  <c r="BG71" i="6"/>
  <c r="BG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BF106" i="6" l="1"/>
  <c r="BF99" i="6"/>
  <c r="BF57"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AU106" i="6"/>
  <c r="AU85" i="6"/>
  <c r="AU78" i="6"/>
  <c r="AU50" i="6"/>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106" i="6" l="1"/>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C71" i="6" s="1"/>
  <c r="AJ66" i="6"/>
  <c r="AK66" i="6"/>
  <c r="AC67" i="6"/>
  <c r="AJ67" i="6"/>
  <c r="AK67" i="6"/>
  <c r="AC68" i="6"/>
  <c r="AJ68" i="6"/>
  <c r="AK68" i="6"/>
  <c r="T71" i="6"/>
  <c r="U71" i="6"/>
  <c r="V71" i="6"/>
  <c r="W71" i="6"/>
  <c r="X71" i="6"/>
  <c r="Y71" i="6"/>
  <c r="Z71" i="6"/>
  <c r="AA71" i="6"/>
  <c r="AB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BS99" i="6" s="1"/>
  <c r="T106" i="6"/>
  <c r="U106" i="6"/>
  <c r="V106" i="6"/>
  <c r="W106" i="6"/>
  <c r="X106" i="6"/>
  <c r="Y106" i="6"/>
  <c r="Z106" i="6"/>
  <c r="AA106" i="6"/>
  <c r="AB106" i="6"/>
  <c r="AC106" i="6"/>
  <c r="AD106" i="6"/>
  <c r="AE106" i="6"/>
  <c r="AF106" i="6"/>
  <c r="AG106" i="6"/>
  <c r="AH106" i="6"/>
  <c r="AI106" i="6"/>
  <c r="AJ106" i="6"/>
  <c r="AK106" i="6"/>
  <c r="AJ71" i="6" l="1"/>
  <c r="AK71" i="6"/>
  <c r="AU141" i="2"/>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85" i="6" l="1"/>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AM106" i="6"/>
  <c r="AM99" i="6"/>
  <c r="BU99" i="6" s="1"/>
  <c r="AM78" i="6"/>
  <c r="AL78" i="6"/>
  <c r="AM67" i="6"/>
  <c r="AM68" i="6"/>
  <c r="AM66" i="6"/>
  <c r="AM64" i="6"/>
  <c r="AM57" i="6"/>
  <c r="AM50" i="6"/>
  <c r="AM15" i="6"/>
  <c r="AM71" i="6" l="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AL106" i="6" l="1"/>
  <c r="AL99" i="6"/>
  <c r="BT99" i="6" s="1"/>
  <c r="AL67" i="6"/>
  <c r="AL68" i="6"/>
  <c r="AL66" i="6"/>
  <c r="AL64" i="6"/>
  <c r="AL57" i="6"/>
  <c r="AL50" i="6"/>
  <c r="AL15" i="6"/>
  <c r="AL71" i="6" l="1"/>
  <c r="AM18" i="2"/>
  <c r="AM17" i="2"/>
  <c r="AM60" i="2"/>
  <c r="AM59" i="2"/>
  <c r="AM39" i="2"/>
  <c r="AM38" i="2"/>
  <c r="AM53" i="2"/>
  <c r="AM52" i="2"/>
  <c r="AM32" i="2"/>
  <c r="AM31" i="2"/>
  <c r="AM46" i="2"/>
  <c r="AM45" i="2"/>
  <c r="AM26" i="2"/>
  <c r="AM24" i="2"/>
  <c r="AM25" i="2"/>
  <c r="AM22" i="2" l="1"/>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List>
</comments>
</file>

<file path=xl/sharedStrings.xml><?xml version="1.0" encoding="utf-8"?>
<sst xmlns="http://schemas.openxmlformats.org/spreadsheetml/2006/main" count="444" uniqueCount="67">
  <si>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</si>
  <si>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</si>
  <si>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</si>
  <si>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</si>
  <si>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</si>
  <si>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</si>
  <si>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</si>
  <si>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</si>
  <si>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</si>
  <si>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</si>
  <si>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</si>
  <si>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</si>
  <si>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</si>
  <si>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</si>
  <si>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</si>
  <si>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</si>
  <si>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</si>
  <si>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</si>
  <si>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</si>
  <si>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</si>
  <si>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</si>
  <si>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</si>
  <si>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</si>
  <si>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</si>
  <si>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</si>
  <si>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</si>
  <si>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</si>
  <si>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</si>
  <si>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</si>
  <si>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</si>
  <si>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</si>
  <si>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</si>
  <si>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</si>
  <si>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</si>
  <si>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</si>
  <si>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</si>
  <si>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</si>
  <si>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</si>
  <si>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</si>
  <si>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</si>
  <si>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</si>
  <si>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</si>
  <si>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</si>
  <si>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</si>
  <si>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</si>
  <si>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</si>
  <si>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</si>
  <si>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</si>
  <si>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</si>
  <si>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</si>
  <si>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</si>
  <si>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</si>
  <si>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</si>
  <si>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</si>
  <si>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</si>
  <si>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</si>
  <si>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</si>
  <si>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</si>
  <si>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</si>
  <si>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</si>
  <si>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</si>
  <si>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</si>
  <si>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</si>
  <si>
    <t>2023 to 2022 Variances</t>
  </si>
  <si>
    <t>11/20/2023</t>
  </si>
  <si>
    <t xml:space="preserve">In October 2023, Blackstone transitioned to the Company's SAP system. Please note that Company is no longer able to provide the $ and # of Payments Received by customer class. </t>
  </si>
  <si>
    <t xml:space="preserve">Additionally, arrearage balances did not transfer to SAP. Arrearages will begin accruing again in November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</si>
</sst>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 numFmtId="170" formatCode="_(&quot;$&quot;* #,##0_);_(&quot;$&quot;* \(#,##0\);_(&quot;$&quot;*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hair">
        <color indexed="64"/>
      </left>
      <right style="thick">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style="medium">
        <color indexed="64"/>
      </left>
      <right style="medium">
        <color indexed="64"/>
      </right>
      <top style="dotted">
        <color indexed="64"/>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thick">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620">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3" xfId="0" applyFont="1" applyBorder="1" applyAlignment="1">
      <alignment horizontal="left" indent="2"/>
    </xf>
    <xf numFmtId="0" fontId="4" fillId="0" borderId="39"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2" xfId="0" applyFont="1" applyBorder="1"/>
    <xf numFmtId="0" fontId="2" fillId="0" borderId="33" xfId="0" applyFont="1" applyBorder="1"/>
    <xf numFmtId="0" fontId="2" fillId="0" borderId="24" xfId="0" applyFont="1" applyBorder="1"/>
    <xf numFmtId="0" fontId="2" fillId="0" borderId="25" xfId="0" applyFont="1" applyBorder="1"/>
    <xf numFmtId="38" fontId="4" fillId="0" borderId="27" xfId="0" applyNumberFormat="1" applyFont="1" applyBorder="1" applyAlignment="1">
      <alignment horizontal="center"/>
    </xf>
    <xf numFmtId="38" fontId="4" fillId="0" borderId="10" xfId="0" applyNumberFormat="1" applyFont="1" applyBorder="1" applyAlignment="1">
      <alignment horizontal="center"/>
    </xf>
    <xf numFmtId="38" fontId="4" fillId="0" borderId="23"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1" xfId="0" applyNumberFormat="1" applyFont="1" applyBorder="1" applyAlignment="1">
      <alignment horizontal="center"/>
    </xf>
    <xf numFmtId="38" fontId="4" fillId="0" borderId="32" xfId="0" applyNumberFormat="1" applyFont="1" applyBorder="1" applyAlignment="1">
      <alignment horizontal="center"/>
    </xf>
    <xf numFmtId="38" fontId="4" fillId="0" borderId="34" xfId="0" applyNumberFormat="1" applyFont="1" applyBorder="1" applyAlignment="1">
      <alignment horizontal="center"/>
    </xf>
    <xf numFmtId="38" fontId="4" fillId="0" borderId="29" xfId="0" applyNumberFormat="1" applyFont="1" applyBorder="1" applyAlignment="1">
      <alignment horizontal="center"/>
    </xf>
    <xf numFmtId="38" fontId="4" fillId="0" borderId="40" xfId="0" applyNumberFormat="1"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2" xfId="0" applyFont="1" applyBorder="1" applyAlignment="1">
      <alignment horizontal="center" wrapText="1"/>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6" fontId="4" fillId="0" borderId="29" xfId="0" applyNumberFormat="1" applyFont="1" applyBorder="1" applyAlignment="1">
      <alignment horizontal="center"/>
    </xf>
    <xf numFmtId="6" fontId="4" fillId="0" borderId="15" xfId="0" applyNumberFormat="1" applyFont="1" applyBorder="1" applyAlignment="1">
      <alignment horizontal="center"/>
    </xf>
    <xf numFmtId="6" fontId="4" fillId="0" borderId="41" xfId="0" applyNumberFormat="1" applyFont="1" applyBorder="1" applyAlignment="1">
      <alignment horizontal="center"/>
    </xf>
    <xf numFmtId="6" fontId="4" fillId="0" borderId="40"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16" xfId="0" applyNumberFormat="1" applyFont="1" applyBorder="1" applyAlignment="1">
      <alignment horizontal="center"/>
    </xf>
    <xf numFmtId="6" fontId="4" fillId="0" borderId="19" xfId="0" applyNumberFormat="1" applyFont="1" applyBorder="1" applyAlignment="1">
      <alignment horizontal="center"/>
    </xf>
    <xf numFmtId="0" fontId="4" fillId="0" borderId="28" xfId="0" applyFont="1" applyBorder="1" applyAlignment="1">
      <alignment horizontal="center"/>
    </xf>
    <xf numFmtId="0" fontId="4" fillId="0" borderId="16" xfId="0" applyFont="1" applyBorder="1" applyAlignment="1">
      <alignment horizontal="center"/>
    </xf>
    <xf numFmtId="0" fontId="4" fillId="0" borderId="26"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6" fontId="4" fillId="0" borderId="39" xfId="0" applyNumberFormat="1" applyFont="1" applyBorder="1" applyAlignment="1">
      <alignment horizontal="center"/>
    </xf>
    <xf numFmtId="6" fontId="4" fillId="0" borderId="47" xfId="0" applyNumberFormat="1" applyFont="1" applyBorder="1" applyAlignment="1">
      <alignment horizontal="center" wrapText="1"/>
    </xf>
    <xf numFmtId="6" fontId="4" fillId="0" borderId="49" xfId="0" applyNumberFormat="1" applyFont="1" applyBorder="1" applyAlignment="1">
      <alignment horizontal="center"/>
    </xf>
    <xf numFmtId="6" fontId="4" fillId="0" borderId="48" xfId="0" applyNumberFormat="1" applyFont="1" applyBorder="1" applyAlignment="1">
      <alignment horizontal="center"/>
    </xf>
    <xf numFmtId="165" fontId="4" fillId="0" borderId="28"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6" xfId="0" applyNumberFormat="1" applyFont="1" applyBorder="1" applyAlignment="1">
      <alignment horizontal="center"/>
    </xf>
    <xf numFmtId="165" fontId="4" fillId="0" borderId="16" xfId="0" applyNumberFormat="1" applyFont="1" applyBorder="1" applyAlignment="1">
      <alignment horizontal="center" wrapText="1"/>
    </xf>
    <xf numFmtId="38" fontId="4" fillId="0" borderId="28"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6" xfId="0" applyNumberFormat="1" applyFont="1" applyBorder="1" applyAlignment="1">
      <alignment horizontal="center"/>
    </xf>
    <xf numFmtId="38" fontId="4" fillId="0" borderId="39" xfId="0" applyNumberFormat="1" applyFont="1" applyBorder="1" applyAlignment="1">
      <alignment horizontal="center"/>
    </xf>
    <xf numFmtId="38" fontId="4" fillId="0" borderId="30" xfId="0" applyNumberFormat="1" applyFont="1" applyBorder="1" applyAlignment="1">
      <alignment horizontal="center"/>
    </xf>
    <xf numFmtId="38" fontId="4" fillId="0" borderId="24" xfId="0" applyNumberFormat="1" applyFont="1" applyBorder="1" applyAlignment="1">
      <alignment horizontal="center"/>
    </xf>
    <xf numFmtId="0" fontId="4" fillId="0" borderId="33" xfId="0" applyFont="1" applyBorder="1" applyAlignment="1">
      <alignment horizontal="center"/>
    </xf>
    <xf numFmtId="3" fontId="4" fillId="0" borderId="24" xfId="0" applyNumberFormat="1" applyFont="1" applyBorder="1" applyAlignment="1">
      <alignment horizontal="center"/>
    </xf>
    <xf numFmtId="0" fontId="4" fillId="0" borderId="25" xfId="0" applyFont="1" applyBorder="1" applyAlignment="1">
      <alignment horizontal="center"/>
    </xf>
    <xf numFmtId="6" fontId="4" fillId="0" borderId="50" xfId="0" applyNumberFormat="1" applyFont="1" applyBorder="1" applyAlignment="1">
      <alignment horizontal="center"/>
    </xf>
    <xf numFmtId="6" fontId="4" fillId="0" borderId="51" xfId="0" applyNumberFormat="1" applyFont="1" applyBorder="1" applyAlignment="1">
      <alignment horizontal="center"/>
    </xf>
    <xf numFmtId="38" fontId="4" fillId="0" borderId="48" xfId="0" applyNumberFormat="1" applyFont="1" applyBorder="1" applyAlignment="1">
      <alignment horizontal="center"/>
    </xf>
    <xf numFmtId="38" fontId="4" fillId="0" borderId="51" xfId="0" applyNumberFormat="1" applyFont="1" applyBorder="1" applyAlignment="1">
      <alignment horizontal="center"/>
    </xf>
    <xf numFmtId="6" fontId="4" fillId="0" borderId="30" xfId="0" applyNumberFormat="1" applyFont="1" applyBorder="1" applyAlignment="1">
      <alignment horizontal="center"/>
    </xf>
    <xf numFmtId="0" fontId="4" fillId="0" borderId="30" xfId="0" applyFont="1" applyBorder="1" applyAlignment="1">
      <alignment horizontal="center"/>
    </xf>
    <xf numFmtId="3" fontId="4" fillId="0" borderId="48" xfId="0" applyNumberFormat="1" applyFont="1" applyBorder="1" applyAlignment="1">
      <alignment horizontal="center"/>
    </xf>
    <xf numFmtId="0" fontId="4" fillId="0" borderId="45" xfId="0" applyFont="1" applyBorder="1" applyAlignment="1">
      <alignment horizontal="center"/>
    </xf>
    <xf numFmtId="6" fontId="4" fillId="0" borderId="52" xfId="0" applyNumberFormat="1" applyFont="1" applyBorder="1" applyAlignment="1">
      <alignment horizontal="center"/>
    </xf>
    <xf numFmtId="6" fontId="4" fillId="0" borderId="54" xfId="0" applyNumberFormat="1" applyFont="1" applyBorder="1" applyAlignment="1">
      <alignment horizontal="center"/>
    </xf>
    <xf numFmtId="6" fontId="4" fillId="0" borderId="55" xfId="0" applyNumberFormat="1" applyFont="1" applyBorder="1" applyAlignment="1">
      <alignment horizontal="center"/>
    </xf>
    <xf numFmtId="6" fontId="4" fillId="0" borderId="57" xfId="0" applyNumberFormat="1" applyFont="1" applyBorder="1" applyAlignment="1">
      <alignment horizontal="center"/>
    </xf>
    <xf numFmtId="6" fontId="4" fillId="0" borderId="53" xfId="0" applyNumberFormat="1" applyFont="1" applyBorder="1" applyAlignment="1">
      <alignment horizontal="center"/>
    </xf>
    <xf numFmtId="3" fontId="4" fillId="0" borderId="25" xfId="0" applyNumberFormat="1" applyFont="1" applyBorder="1" applyAlignment="1">
      <alignment horizontal="center"/>
    </xf>
    <xf numFmtId="3" fontId="4" fillId="0" borderId="19" xfId="0" applyNumberFormat="1" applyFont="1" applyBorder="1" applyAlignment="1">
      <alignment horizontal="center"/>
    </xf>
    <xf numFmtId="3" fontId="4" fillId="0" borderId="45" xfId="0" applyNumberFormat="1" applyFont="1" applyBorder="1" applyAlignment="1">
      <alignment horizont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6" fontId="4" fillId="0" borderId="60" xfId="0" applyNumberFormat="1" applyFont="1" applyBorder="1" applyAlignment="1">
      <alignment horizontal="center"/>
    </xf>
    <xf numFmtId="0" fontId="4" fillId="0" borderId="0" xfId="0" applyFont="1" applyFill="1" applyBorder="1" applyAlignment="1">
      <alignment horizontal="center" vertical="center"/>
    </xf>
    <xf numFmtId="38" fontId="4" fillId="0" borderId="62" xfId="0" applyNumberFormat="1" applyFont="1" applyBorder="1" applyAlignment="1">
      <alignment horizontal="center"/>
    </xf>
    <xf numFmtId="6" fontId="4" fillId="0" borderId="0" xfId="0" applyNumberFormat="1" applyFont="1" applyFill="1" applyBorder="1" applyAlignment="1">
      <alignment horizontal="center"/>
    </xf>
    <xf numFmtId="38" fontId="4" fillId="0" borderId="49" xfId="0" applyNumberFormat="1" applyFont="1" applyBorder="1" applyAlignment="1">
      <alignment horizontal="center"/>
    </xf>
    <xf numFmtId="38" fontId="4" fillId="0" borderId="50" xfId="0" applyNumberFormat="1" applyFont="1" applyBorder="1" applyAlignment="1">
      <alignment horizontal="center"/>
    </xf>
    <xf numFmtId="6" fontId="4" fillId="0" borderId="63" xfId="0" applyNumberFormat="1"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 fontId="4" fillId="0" borderId="62" xfId="0" applyNumberFormat="1" applyFont="1" applyBorder="1" applyAlignment="1">
      <alignment horizontal="center"/>
    </xf>
    <xf numFmtId="3" fontId="4" fillId="0" borderId="49" xfId="0" applyNumberFormat="1" applyFont="1" applyBorder="1" applyAlignment="1">
      <alignment horizontal="center"/>
    </xf>
    <xf numFmtId="6" fontId="4" fillId="0" borderId="64" xfId="0" applyNumberFormat="1"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6" fontId="4" fillId="0" borderId="65" xfId="0" applyNumberFormat="1" applyFont="1" applyBorder="1" applyAlignment="1">
      <alignment horizontal="center"/>
    </xf>
    <xf numFmtId="38" fontId="4" fillId="0" borderId="63"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70" xfId="0" applyNumberFormat="1" applyFont="1" applyBorder="1" applyAlignment="1">
      <alignment horizontal="center"/>
    </xf>
    <xf numFmtId="0" fontId="4" fillId="0" borderId="66" xfId="0" applyFont="1" applyBorder="1" applyAlignment="1">
      <alignment horizontal="center"/>
    </xf>
    <xf numFmtId="6" fontId="4" fillId="0" borderId="6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165" fontId="4" fillId="0" borderId="46" xfId="0" applyNumberFormat="1" applyFont="1" applyBorder="1" applyAlignment="1">
      <alignment horizontal="center"/>
    </xf>
    <xf numFmtId="38" fontId="4" fillId="0" borderId="46" xfId="0" applyNumberFormat="1" applyFont="1" applyBorder="1" applyAlignment="1">
      <alignment horizontal="center"/>
    </xf>
    <xf numFmtId="167" fontId="4" fillId="0" borderId="62" xfId="0" applyNumberFormat="1" applyFont="1" applyBorder="1" applyAlignment="1">
      <alignment horizontal="center"/>
    </xf>
    <xf numFmtId="38" fontId="4" fillId="0" borderId="43" xfId="0" applyNumberFormat="1" applyFont="1" applyBorder="1" applyAlignment="1">
      <alignment horizontal="center"/>
    </xf>
    <xf numFmtId="38" fontId="4" fillId="0" borderId="66" xfId="0" applyNumberFormat="1" applyFont="1" applyBorder="1" applyAlignment="1">
      <alignment horizontal="center"/>
    </xf>
    <xf numFmtId="167" fontId="4" fillId="0" borderId="24"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48" xfId="0" applyNumberFormat="1" applyFont="1" applyBorder="1" applyAlignment="1">
      <alignment horizontal="center"/>
    </xf>
    <xf numFmtId="167" fontId="12" fillId="0" borderId="24" xfId="0" applyNumberFormat="1" applyFont="1" applyBorder="1" applyAlignment="1">
      <alignment horizontal="center"/>
    </xf>
    <xf numFmtId="167" fontId="4" fillId="0" borderId="49" xfId="0" applyNumberFormat="1" applyFont="1" applyBorder="1" applyAlignment="1">
      <alignment horizontal="center"/>
    </xf>
    <xf numFmtId="167" fontId="12" fillId="0" borderId="48"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39" xfId="0" applyNumberFormat="1" applyFont="1" applyBorder="1" applyAlignment="1">
      <alignment horizontal="center"/>
    </xf>
    <xf numFmtId="167" fontId="12" fillId="0" borderId="39" xfId="0" applyNumberFormat="1" applyFont="1" applyBorder="1" applyAlignment="1">
      <alignment horizontal="center"/>
    </xf>
    <xf numFmtId="167" fontId="4" fillId="0" borderId="40" xfId="0" applyNumberFormat="1" applyFont="1" applyBorder="1" applyAlignment="1">
      <alignment horizontal="center"/>
    </xf>
    <xf numFmtId="167" fontId="4" fillId="0" borderId="25" xfId="0" applyNumberFormat="1" applyFont="1" applyBorder="1" applyAlignment="1">
      <alignment horizontal="center"/>
    </xf>
    <xf numFmtId="167" fontId="4" fillId="0" borderId="19" xfId="0" applyNumberFormat="1" applyFont="1" applyBorder="1" applyAlignment="1">
      <alignment horizontal="center"/>
    </xf>
    <xf numFmtId="167" fontId="4" fillId="0" borderId="45" xfId="0" applyNumberFormat="1" applyFont="1" applyBorder="1" applyAlignment="1">
      <alignment horizontal="center"/>
    </xf>
    <xf numFmtId="167" fontId="4" fillId="0" borderId="57" xfId="0" applyNumberFormat="1" applyFont="1" applyBorder="1" applyAlignment="1">
      <alignment horizontal="center"/>
    </xf>
    <xf numFmtId="167" fontId="4" fillId="0" borderId="28" xfId="0" applyNumberFormat="1" applyFont="1" applyBorder="1" applyAlignment="1">
      <alignment horizontal="center"/>
    </xf>
    <xf numFmtId="167" fontId="4" fillId="0" borderId="16" xfId="0" applyNumberFormat="1" applyFont="1" applyBorder="1" applyAlignment="1">
      <alignment horizontal="center"/>
    </xf>
    <xf numFmtId="167" fontId="4" fillId="0" borderId="26" xfId="0" applyNumberFormat="1" applyFont="1" applyBorder="1" applyAlignment="1">
      <alignment horizontal="center"/>
    </xf>
    <xf numFmtId="167" fontId="4" fillId="0" borderId="46" xfId="0" applyNumberFormat="1" applyFont="1" applyBorder="1" applyAlignment="1">
      <alignment horizontal="center"/>
    </xf>
    <xf numFmtId="167" fontId="4" fillId="0" borderId="37" xfId="0" applyNumberFormat="1" applyFont="1" applyBorder="1" applyAlignment="1">
      <alignment horizontal="center"/>
    </xf>
    <xf numFmtId="38" fontId="4" fillId="0" borderId="45" xfId="0" applyNumberFormat="1" applyFont="1" applyBorder="1" applyAlignment="1">
      <alignment horizontal="center"/>
    </xf>
    <xf numFmtId="167" fontId="12" fillId="0" borderId="0" xfId="0" applyNumberFormat="1" applyFont="1" applyAlignment="1">
      <alignment horizontal="center"/>
    </xf>
    <xf numFmtId="44" fontId="12" fillId="0" borderId="0" xfId="0" applyNumberFormat="1" applyFont="1"/>
    <xf numFmtId="167" fontId="4" fillId="3" borderId="24" xfId="1" applyNumberFormat="1" applyFont="1" applyFill="1" applyBorder="1" applyAlignment="1">
      <alignment horizontal="center"/>
    </xf>
    <xf numFmtId="167" fontId="4" fillId="0" borderId="53" xfId="0" applyNumberFormat="1" applyFont="1" applyBorder="1" applyAlignment="1">
      <alignment horizontal="center"/>
    </xf>
    <xf numFmtId="167" fontId="4" fillId="0" borderId="54"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0" fillId="0" borderId="0" xfId="0" applyAlignment="1">
      <alignment horizontal="left"/>
    </xf>
    <xf numFmtId="0" fontId="7" fillId="0" borderId="80"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2" xfId="0" applyBorder="1" applyAlignment="1">
      <alignment horizontal="center"/>
    </xf>
    <xf numFmtId="0" fontId="0" fillId="4" borderId="0" xfId="0" applyFill="1"/>
    <xf numFmtId="38" fontId="4" fillId="4" borderId="24" xfId="0" applyNumberFormat="1" applyFont="1" applyFill="1" applyBorder="1" applyAlignment="1">
      <alignment horizontal="center"/>
    </xf>
    <xf numFmtId="38" fontId="0" fillId="0" borderId="11"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39"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37" xfId="0" applyNumberFormat="1" applyFont="1" applyBorder="1" applyAlignment="1">
      <alignment horizontal="center"/>
    </xf>
    <xf numFmtId="167" fontId="12" fillId="0" borderId="53"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47" xfId="0" applyNumberFormat="1" applyBorder="1" applyAlignment="1">
      <alignment horizontal="center"/>
    </xf>
    <xf numFmtId="165" fontId="0" fillId="0" borderId="16" xfId="0" applyNumberFormat="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66" xfId="0" applyBorder="1" applyAlignment="1">
      <alignment horizontal="center"/>
    </xf>
    <xf numFmtId="38" fontId="0" fillId="0" borderId="35" xfId="0" applyNumberFormat="1" applyBorder="1" applyAlignment="1">
      <alignment horizontal="center"/>
    </xf>
    <xf numFmtId="38" fontId="0" fillId="0" borderId="36" xfId="0" applyNumberFormat="1" applyBorder="1" applyAlignment="1">
      <alignment horizontal="center"/>
    </xf>
    <xf numFmtId="38" fontId="0" fillId="0" borderId="37" xfId="0" applyNumberFormat="1" applyBorder="1" applyAlignment="1">
      <alignment horizontal="center"/>
    </xf>
    <xf numFmtId="38" fontId="0" fillId="0" borderId="38" xfId="0" applyNumberFormat="1" applyBorder="1" applyAlignment="1">
      <alignment horizontal="center"/>
    </xf>
    <xf numFmtId="38" fontId="0" fillId="0" borderId="43" xfId="0" applyNumberFormat="1" applyBorder="1" applyAlignment="1">
      <alignment horizontal="center"/>
    </xf>
    <xf numFmtId="38" fontId="0" fillId="0" borderId="42" xfId="0" applyNumberFormat="1" applyBorder="1" applyAlignment="1">
      <alignment horizontal="center"/>
    </xf>
    <xf numFmtId="0" fontId="0" fillId="0" borderId="37"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3" fontId="0" fillId="0" borderId="35" xfId="0" applyNumberFormat="1"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0" fillId="0" borderId="11" xfId="0" applyNumberFormat="1" applyBorder="1" applyAlignment="1">
      <alignment horizontal="center"/>
    </xf>
    <xf numFmtId="3" fontId="0" fillId="0" borderId="42" xfId="0" applyNumberFormat="1" applyBorder="1" applyAlignment="1">
      <alignment horizontal="center"/>
    </xf>
    <xf numFmtId="3" fontId="0" fillId="0" borderId="1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7" fontId="4" fillId="0" borderId="55" xfId="0" applyNumberFormat="1" applyFont="1" applyBorder="1" applyAlignment="1">
      <alignment horizontal="center"/>
    </xf>
    <xf numFmtId="8" fontId="4" fillId="0" borderId="62"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0" fontId="0" fillId="0" borderId="63" xfId="0" applyBorder="1" applyAlignment="1">
      <alignment horizontal="center"/>
    </xf>
    <xf numFmtId="38" fontId="0" fillId="0" borderId="62" xfId="0" applyNumberFormat="1" applyBorder="1" applyAlignment="1">
      <alignment horizontal="center"/>
    </xf>
    <xf numFmtId="167" fontId="0" fillId="0" borderId="18" xfId="0" applyNumberFormat="1" applyBorder="1" applyAlignment="1">
      <alignment horizontal="center"/>
    </xf>
    <xf numFmtId="167" fontId="12" fillId="0" borderId="62" xfId="0" applyNumberFormat="1" applyFont="1" applyBorder="1" applyAlignment="1">
      <alignment horizontal="center"/>
    </xf>
    <xf numFmtId="165" fontId="0" fillId="0" borderId="64" xfId="0" applyNumberFormat="1" applyBorder="1" applyAlignment="1">
      <alignment horizontal="center"/>
    </xf>
    <xf numFmtId="0" fontId="0" fillId="0" borderId="67" xfId="0" applyBorder="1" applyAlignment="1">
      <alignment horizontal="center"/>
    </xf>
    <xf numFmtId="38" fontId="0" fillId="0" borderId="67" xfId="0" applyNumberFormat="1" applyBorder="1" applyAlignment="1">
      <alignment horizontal="center"/>
    </xf>
    <xf numFmtId="3" fontId="0" fillId="0" borderId="67" xfId="0" applyNumberFormat="1" applyBorder="1" applyAlignment="1">
      <alignment horizontal="center"/>
    </xf>
    <xf numFmtId="3" fontId="0" fillId="0" borderId="69" xfId="0" applyNumberFormat="1" applyBorder="1" applyAlignment="1">
      <alignment horizontal="center"/>
    </xf>
    <xf numFmtId="0" fontId="0" fillId="0" borderId="38" xfId="0" applyBorder="1" applyAlignment="1">
      <alignment horizontal="center"/>
    </xf>
    <xf numFmtId="167" fontId="12" fillId="3" borderId="24" xfId="1" applyNumberFormat="1" applyFont="1" applyFill="1" applyBorder="1" applyAlignment="1">
      <alignment horizontal="center"/>
    </xf>
    <xf numFmtId="167" fontId="12" fillId="0" borderId="18" xfId="0" applyNumberFormat="1" applyFont="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4" xfId="0" applyNumberFormat="1" applyBorder="1" applyAlignment="1">
      <alignment horizontal="center"/>
    </xf>
    <xf numFmtId="167" fontId="12" fillId="0" borderId="0" xfId="1" applyNumberFormat="1" applyFont="1" applyAlignment="1">
      <alignment horizontal="center"/>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66" xfId="0" applyNumberFormat="1" applyBorder="1" applyAlignment="1">
      <alignment horizontal="center"/>
    </xf>
    <xf numFmtId="167" fontId="4" fillId="0" borderId="64"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0" applyNumberFormat="1" applyFill="1" applyBorder="1"/>
    <xf numFmtId="167" fontId="4" fillId="0" borderId="0" xfId="1" applyNumberFormat="1" applyFont="1" applyFill="1" applyBorder="1" applyAlignment="1">
      <alignment horizontal="center"/>
    </xf>
    <xf numFmtId="2" fontId="0" fillId="0" borderId="0" xfId="0" applyNumberForma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49" xfId="0" applyNumberFormat="1" applyFont="1" applyBorder="1" applyAlignment="1">
      <alignment horizontal="center"/>
    </xf>
    <xf numFmtId="167" fontId="4" fillId="0" borderId="50" xfId="0" applyNumberFormat="1" applyFont="1" applyBorder="1" applyAlignment="1">
      <alignment horizontal="center"/>
    </xf>
    <xf numFmtId="38" fontId="4" fillId="0" borderId="83" xfId="0" applyNumberFormat="1" applyFont="1" applyBorder="1" applyAlignment="1">
      <alignment horizontal="center"/>
    </xf>
    <xf numFmtId="0" fontId="4" fillId="0" borderId="83" xfId="0" applyFont="1" applyBorder="1" applyAlignment="1">
      <alignment horizontal="center"/>
    </xf>
    <xf numFmtId="0" fontId="4" fillId="0" borderId="64" xfId="0" applyFont="1" applyBorder="1" applyAlignment="1">
      <alignment horizontal="center"/>
    </xf>
    <xf numFmtId="165" fontId="4" fillId="0" borderId="64" xfId="0" applyNumberFormat="1" applyFont="1" applyBorder="1" applyAlignment="1">
      <alignment horizontal="center"/>
    </xf>
    <xf numFmtId="0" fontId="0" fillId="0" borderId="62" xfId="0" applyBorder="1" applyAlignment="1">
      <alignment horizontal="center"/>
    </xf>
    <xf numFmtId="3" fontId="0" fillId="0" borderId="0" xfId="0" applyNumberFormat="1" applyBorder="1" applyAlignment="1">
      <alignment horizontal="center"/>
    </xf>
    <xf numFmtId="38" fontId="0" fillId="0" borderId="49" xfId="0" applyNumberFormat="1" applyBorder="1" applyAlignment="1">
      <alignment horizontal="center"/>
    </xf>
    <xf numFmtId="0" fontId="0" fillId="0" borderId="49" xfId="0" applyBorder="1" applyAlignment="1">
      <alignment horizontal="center"/>
    </xf>
    <xf numFmtId="3" fontId="0" fillId="0" borderId="38"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83" xfId="0" applyNumberFormat="1" applyBorder="1" applyAlignment="1">
      <alignment horizontal="center"/>
    </xf>
    <xf numFmtId="3" fontId="4" fillId="0" borderId="64" xfId="0" applyNumberFormat="1" applyFont="1" applyBorder="1" applyAlignment="1">
      <alignment horizontal="center"/>
    </xf>
    <xf numFmtId="0" fontId="0" fillId="0" borderId="64" xfId="0" applyBorder="1" applyAlignment="1">
      <alignment horizontal="center"/>
    </xf>
    <xf numFmtId="6" fontId="0" fillId="0" borderId="85" xfId="0" applyNumberFormat="1" applyBorder="1" applyAlignment="1">
      <alignment horizontal="center"/>
    </xf>
    <xf numFmtId="0" fontId="0" fillId="0" borderId="85" xfId="0" applyBorder="1" applyAlignment="1">
      <alignment horizontal="center"/>
    </xf>
    <xf numFmtId="167" fontId="4" fillId="0" borderId="0" xfId="0" applyNumberFormat="1" applyFont="1" applyBorder="1" applyAlignment="1">
      <alignment horizontal="center"/>
    </xf>
    <xf numFmtId="165" fontId="0" fillId="0" borderId="0" xfId="0" applyNumberFormat="1" applyBorder="1" applyAlignment="1">
      <alignment horizontal="center"/>
    </xf>
    <xf numFmtId="0" fontId="7" fillId="0" borderId="74" xfId="0" applyFont="1" applyBorder="1" applyAlignment="1" applyProtection="1">
      <alignment horizontal="center" vertical="center"/>
      <protection locked="0"/>
    </xf>
    <xf numFmtId="0" fontId="0" fillId="0" borderId="76" xfId="0" applyBorder="1"/>
    <xf numFmtId="0" fontId="0" fillId="0" borderId="76" xfId="0" applyBorder="1" applyAlignment="1">
      <alignment horizontal="center"/>
    </xf>
    <xf numFmtId="44" fontId="0" fillId="0" borderId="76" xfId="1" applyFont="1" applyBorder="1"/>
    <xf numFmtId="44" fontId="0" fillId="0" borderId="76" xfId="1" applyFont="1" applyFill="1" applyBorder="1" applyAlignment="1">
      <alignment horizontal="center"/>
    </xf>
    <xf numFmtId="44" fontId="0" fillId="0" borderId="76" xfId="0" applyNumberFormat="1" applyBorder="1"/>
    <xf numFmtId="2" fontId="0" fillId="0" borderId="76" xfId="0" applyNumberFormat="1" applyBorder="1" applyAlignment="1">
      <alignment horizontal="center"/>
    </xf>
    <xf numFmtId="167" fontId="0" fillId="0" borderId="76" xfId="0" applyNumberFormat="1" applyBorder="1" applyAlignment="1">
      <alignment horizontal="center"/>
    </xf>
    <xf numFmtId="2" fontId="4" fillId="0" borderId="79" xfId="0" applyNumberFormat="1" applyFont="1" applyBorder="1" applyAlignment="1">
      <alignment horizontal="center"/>
    </xf>
    <xf numFmtId="167" fontId="4" fillId="0" borderId="79" xfId="0" applyNumberFormat="1" applyFont="1" applyBorder="1" applyAlignment="1">
      <alignment horizontal="center"/>
    </xf>
    <xf numFmtId="167" fontId="0" fillId="0" borderId="76" xfId="0" applyNumberFormat="1" applyBorder="1"/>
    <xf numFmtId="38" fontId="4" fillId="0" borderId="57" xfId="0" applyNumberFormat="1" applyFont="1" applyBorder="1" applyAlignment="1">
      <alignment horizontal="center"/>
    </xf>
    <xf numFmtId="38" fontId="4" fillId="0" borderId="56" xfId="0" applyNumberFormat="1" applyFont="1" applyBorder="1" applyAlignment="1">
      <alignment horizontal="center"/>
    </xf>
    <xf numFmtId="0" fontId="0" fillId="0" borderId="56" xfId="0" applyBorder="1" applyAlignment="1">
      <alignment horizontal="center"/>
    </xf>
    <xf numFmtId="38" fontId="0" fillId="0" borderId="76" xfId="0" applyNumberFormat="1" applyBorder="1" applyAlignment="1">
      <alignment horizontal="center"/>
    </xf>
    <xf numFmtId="3" fontId="0" fillId="0" borderId="76" xfId="0" applyNumberFormat="1" applyBorder="1" applyAlignment="1">
      <alignment horizontal="center"/>
    </xf>
    <xf numFmtId="38" fontId="0" fillId="0" borderId="46" xfId="0" applyNumberFormat="1" applyBorder="1" applyAlignment="1">
      <alignment horizontal="center"/>
    </xf>
    <xf numFmtId="0" fontId="7" fillId="0" borderId="38" xfId="0" applyFont="1" applyBorder="1" applyAlignment="1" applyProtection="1">
      <alignment horizontal="center" vertical="center"/>
      <protection locked="0"/>
    </xf>
    <xf numFmtId="0" fontId="0" fillId="0" borderId="38" xfId="0" applyBorder="1"/>
    <xf numFmtId="44" fontId="0" fillId="0" borderId="38" xfId="1" applyFont="1" applyBorder="1"/>
    <xf numFmtId="44" fontId="0" fillId="0" borderId="38" xfId="0" applyNumberFormat="1" applyBorder="1"/>
    <xf numFmtId="167" fontId="0" fillId="0" borderId="38" xfId="0" applyNumberFormat="1" applyBorder="1" applyAlignment="1">
      <alignment horizontal="center"/>
    </xf>
    <xf numFmtId="167" fontId="0" fillId="0" borderId="38" xfId="0" applyNumberFormat="1" applyBorder="1"/>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4" xfId="0" applyNumberFormat="1" applyFont="1" applyBorder="1" applyAlignment="1">
      <alignment horizontal="center"/>
    </xf>
    <xf numFmtId="0" fontId="0" fillId="0" borderId="0" xfId="0" applyNumberFormat="1"/>
    <xf numFmtId="2" fontId="4" fillId="0" borderId="24"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61"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5" xfId="0" applyFont="1" applyFill="1" applyBorder="1"/>
    <xf numFmtId="0" fontId="7" fillId="0" borderId="84"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76" xfId="0" applyNumberFormat="1" applyFont="1" applyFill="1" applyBorder="1" applyAlignment="1">
      <alignment horizontal="center"/>
    </xf>
    <xf numFmtId="6" fontId="4" fillId="0" borderId="76" xfId="0" applyNumberFormat="1" applyFont="1" applyFill="1" applyBorder="1" applyAlignment="1">
      <alignment horizontal="center"/>
    </xf>
    <xf numFmtId="0" fontId="4" fillId="0" borderId="76" xfId="0" applyFont="1" applyFill="1" applyBorder="1" applyAlignment="1">
      <alignment horizontal="center"/>
    </xf>
    <xf numFmtId="38" fontId="0" fillId="0" borderId="76" xfId="0" applyNumberFormat="1" applyFont="1" applyFill="1" applyBorder="1" applyAlignment="1">
      <alignment horizontal="center"/>
    </xf>
    <xf numFmtId="0" fontId="0" fillId="0" borderId="76" xfId="0" applyFont="1" applyFill="1" applyBorder="1" applyAlignment="1">
      <alignment horizontal="center"/>
    </xf>
    <xf numFmtId="0" fontId="0" fillId="0" borderId="38"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4" xfId="0" applyNumberFormat="1" applyFont="1" applyBorder="1" applyAlignment="1">
      <alignment horizontal="center"/>
    </xf>
    <xf numFmtId="0" fontId="0" fillId="0" borderId="4" xfId="0" applyFont="1" applyFill="1" applyBorder="1"/>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0" fontId="2" fillId="0" borderId="89" xfId="0" applyFont="1" applyFill="1" applyBorder="1"/>
    <xf numFmtId="0" fontId="0" fillId="0" borderId="87" xfId="0" applyFont="1" applyFill="1" applyBorder="1"/>
    <xf numFmtId="0" fontId="0" fillId="0" borderId="74" xfId="0" applyFont="1" applyFill="1" applyBorder="1"/>
    <xf numFmtId="0" fontId="4" fillId="0" borderId="90" xfId="0" applyFont="1" applyFill="1" applyBorder="1" applyAlignment="1">
      <alignment horizontal="left" indent="2"/>
    </xf>
    <xf numFmtId="0" fontId="0" fillId="0" borderId="76" xfId="0" applyFont="1" applyFill="1" applyBorder="1"/>
    <xf numFmtId="0" fontId="4" fillId="0" borderId="91" xfId="0" applyFont="1" applyFill="1" applyBorder="1" applyAlignment="1">
      <alignment horizontal="left" indent="2"/>
    </xf>
    <xf numFmtId="38" fontId="4" fillId="0" borderId="92" xfId="0" applyNumberFormat="1" applyFont="1" applyFill="1" applyBorder="1" applyAlignment="1">
      <alignment horizontal="center"/>
    </xf>
    <xf numFmtId="169" fontId="0" fillId="0" borderId="0" xfId="2" applyNumberFormat="1" applyFont="1" applyFill="1" applyBorder="1"/>
    <xf numFmtId="169" fontId="4" fillId="0" borderId="0" xfId="2" applyNumberFormat="1" applyFont="1" applyFill="1" applyBorder="1" applyAlignment="1">
      <alignment horizontal="center"/>
    </xf>
    <xf numFmtId="169" fontId="0" fillId="0" borderId="4" xfId="2" applyNumberFormat="1" applyFont="1" applyFill="1" applyBorder="1"/>
    <xf numFmtId="0" fontId="2" fillId="0" borderId="93" xfId="0" applyFont="1" applyFill="1" applyBorder="1"/>
    <xf numFmtId="170" fontId="0" fillId="0" borderId="0" xfId="1" applyNumberFormat="1" applyFont="1" applyFill="1" applyBorder="1"/>
    <xf numFmtId="170" fontId="4" fillId="0" borderId="0" xfId="1" applyNumberFormat="1" applyFont="1" applyFill="1" applyBorder="1" applyAlignment="1">
      <alignment horizontal="center"/>
    </xf>
    <xf numFmtId="170" fontId="0" fillId="0" borderId="76"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94" xfId="0" applyFont="1" applyFill="1" applyBorder="1"/>
    <xf numFmtId="0" fontId="2" fillId="0" borderId="95" xfId="0" applyFont="1" applyFill="1" applyBorder="1"/>
    <xf numFmtId="6" fontId="4" fillId="0" borderId="87" xfId="0" applyNumberFormat="1" applyFont="1" applyFill="1" applyBorder="1" applyAlignment="1">
      <alignment horizontal="center"/>
    </xf>
    <xf numFmtId="6" fontId="4" fillId="0" borderId="74" xfId="0" applyNumberFormat="1" applyFont="1" applyFill="1" applyBorder="1" applyAlignment="1">
      <alignment horizontal="center"/>
    </xf>
    <xf numFmtId="38" fontId="4" fillId="0" borderId="4" xfId="0" applyNumberFormat="1" applyFont="1" applyFill="1" applyBorder="1" applyAlignment="1">
      <alignment horizontal="center"/>
    </xf>
    <xf numFmtId="169" fontId="4" fillId="0" borderId="4" xfId="2" applyNumberFormat="1" applyFont="1" applyFill="1" applyBorder="1" applyAlignment="1">
      <alignment horizontal="center"/>
    </xf>
    <xf numFmtId="0" fontId="4" fillId="0" borderId="94" xfId="0" applyFont="1" applyFill="1" applyBorder="1" applyAlignment="1">
      <alignment horizontal="left" indent="2"/>
    </xf>
    <xf numFmtId="0" fontId="4" fillId="0" borderId="87" xfId="0" applyFont="1" applyFill="1" applyBorder="1" applyAlignment="1">
      <alignment horizontal="center"/>
    </xf>
    <xf numFmtId="0" fontId="4" fillId="0" borderId="74" xfId="0" applyFont="1" applyFill="1" applyBorder="1" applyAlignment="1">
      <alignment horizontal="center"/>
    </xf>
    <xf numFmtId="0" fontId="4" fillId="0" borderId="93" xfId="0" applyFont="1" applyFill="1" applyBorder="1" applyAlignment="1">
      <alignment horizontal="left" indent="2"/>
    </xf>
    <xf numFmtId="0" fontId="0" fillId="0" borderId="87" xfId="0" applyFont="1" applyFill="1" applyBorder="1" applyAlignment="1">
      <alignment horizontal="center" vertical="center"/>
    </xf>
    <xf numFmtId="0" fontId="4" fillId="0" borderId="102" xfId="0" applyFont="1" applyFill="1" applyBorder="1" applyAlignment="1">
      <alignment horizontal="left" indent="2"/>
    </xf>
    <xf numFmtId="3" fontId="0" fillId="0" borderId="4" xfId="0" applyNumberFormat="1" applyFont="1" applyFill="1" applyBorder="1" applyAlignment="1">
      <alignment horizontal="center"/>
    </xf>
    <xf numFmtId="0" fontId="2" fillId="0" borderId="90" xfId="0" applyFont="1" applyFill="1" applyBorder="1"/>
    <xf numFmtId="0" fontId="2" fillId="0" borderId="106" xfId="0" applyFont="1" applyFill="1" applyBorder="1"/>
    <xf numFmtId="169"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70"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84" xfId="0" applyFont="1" applyFill="1" applyBorder="1" applyAlignment="1" applyProtection="1">
      <alignment horizontal="centerContinuous"/>
    </xf>
    <xf numFmtId="0" fontId="5" fillId="0" borderId="107" xfId="0" applyFont="1" applyFill="1" applyBorder="1" applyAlignment="1" applyProtection="1">
      <alignment horizontal="centerContinuous"/>
    </xf>
    <xf numFmtId="0" fontId="7" fillId="0" borderId="107" xfId="0" applyFont="1" applyFill="1" applyBorder="1" applyAlignment="1" applyProtection="1">
      <alignment horizontal="center" vertical="center"/>
      <protection locked="0"/>
    </xf>
    <xf numFmtId="38" fontId="4" fillId="0" borderId="108" xfId="0" applyNumberFormat="1" applyFont="1" applyFill="1" applyBorder="1" applyAlignment="1">
      <alignment horizontal="center"/>
    </xf>
    <xf numFmtId="38" fontId="4" fillId="0" borderId="76" xfId="0" applyNumberFormat="1" applyFont="1" applyFill="1" applyBorder="1" applyAlignment="1">
      <alignment horizontal="center"/>
    </xf>
    <xf numFmtId="0" fontId="4" fillId="0" borderId="108" xfId="0" applyFont="1" applyFill="1" applyBorder="1" applyAlignment="1">
      <alignment horizontal="center"/>
    </xf>
    <xf numFmtId="6" fontId="4" fillId="0" borderId="108" xfId="0" applyNumberFormat="1" applyFont="1" applyFill="1" applyBorder="1" applyAlignment="1">
      <alignment horizontal="center"/>
    </xf>
    <xf numFmtId="3" fontId="4" fillId="0" borderId="108" xfId="0" applyNumberFormat="1" applyFont="1" applyFill="1" applyBorder="1" applyAlignment="1">
      <alignment horizontal="center"/>
    </xf>
    <xf numFmtId="3" fontId="4" fillId="0" borderId="76" xfId="0" applyNumberFormat="1" applyFont="1" applyFill="1" applyBorder="1" applyAlignment="1">
      <alignment horizontal="center"/>
    </xf>
    <xf numFmtId="165" fontId="4" fillId="0" borderId="108" xfId="0" applyNumberFormat="1" applyFont="1" applyFill="1" applyBorder="1" applyAlignment="1">
      <alignment horizontal="center"/>
    </xf>
    <xf numFmtId="165" fontId="4" fillId="0" borderId="76" xfId="0" applyNumberFormat="1" applyFont="1" applyFill="1" applyBorder="1" applyAlignment="1">
      <alignment horizontal="center"/>
    </xf>
    <xf numFmtId="0" fontId="0" fillId="0" borderId="108" xfId="0" applyFont="1" applyFill="1" applyBorder="1" applyAlignment="1">
      <alignment horizontal="center"/>
    </xf>
    <xf numFmtId="38" fontId="0" fillId="0" borderId="108" xfId="0" applyNumberFormat="1" applyFont="1" applyFill="1" applyBorder="1" applyAlignment="1">
      <alignment horizontal="center"/>
    </xf>
    <xf numFmtId="3" fontId="0" fillId="0" borderId="108" xfId="0" applyNumberFormat="1" applyFont="1" applyFill="1" applyBorder="1" applyAlignment="1">
      <alignment horizontal="center"/>
    </xf>
    <xf numFmtId="3" fontId="0" fillId="0" borderId="102" xfId="0" applyNumberFormat="1" applyFont="1" applyFill="1" applyBorder="1" applyAlignment="1">
      <alignment horizontal="center"/>
    </xf>
    <xf numFmtId="3" fontId="0" fillId="0" borderId="9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95" xfId="0" applyFont="1" applyFill="1" applyBorder="1" applyAlignment="1">
      <alignment horizontal="center"/>
    </xf>
    <xf numFmtId="38" fontId="4" fillId="0" borderId="95"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102" xfId="0" applyNumberFormat="1" applyFont="1" applyFill="1" applyBorder="1" applyAlignment="1">
      <alignment horizontal="center"/>
    </xf>
    <xf numFmtId="0" fontId="0" fillId="0" borderId="92" xfId="0" applyFont="1" applyFill="1" applyBorder="1"/>
    <xf numFmtId="6" fontId="4" fillId="0" borderId="95" xfId="0" applyNumberFormat="1" applyFont="1" applyFill="1" applyBorder="1" applyAlignment="1">
      <alignment horizontal="center"/>
    </xf>
    <xf numFmtId="0" fontId="0" fillId="0" borderId="87" xfId="0" applyFont="1" applyFill="1" applyBorder="1" applyAlignment="1">
      <alignment horizontal="center"/>
    </xf>
    <xf numFmtId="170" fontId="0" fillId="0" borderId="87" xfId="1" applyNumberFormat="1" applyFont="1" applyFill="1" applyBorder="1"/>
    <xf numFmtId="6" fontId="4" fillId="0" borderId="102"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92" xfId="0" applyNumberFormat="1" applyFont="1" applyFill="1" applyBorder="1" applyAlignment="1">
      <alignment horizontal="center"/>
    </xf>
    <xf numFmtId="170" fontId="0" fillId="0" borderId="4" xfId="1" applyNumberFormat="1" applyFont="1" applyFill="1" applyBorder="1"/>
    <xf numFmtId="170"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95" xfId="0" applyFont="1" applyFill="1" applyBorder="1"/>
    <xf numFmtId="169" fontId="0" fillId="0" borderId="108" xfId="2" applyNumberFormat="1" applyFont="1" applyFill="1" applyBorder="1"/>
    <xf numFmtId="169" fontId="0" fillId="0" borderId="102" xfId="2" applyNumberFormat="1" applyFont="1" applyFill="1" applyBorder="1"/>
    <xf numFmtId="169" fontId="4" fillId="0" borderId="108" xfId="2" applyNumberFormat="1" applyFont="1" applyFill="1" applyBorder="1" applyAlignment="1">
      <alignment horizontal="center"/>
    </xf>
    <xf numFmtId="170" fontId="0" fillId="0" borderId="108" xfId="1" applyNumberFormat="1" applyFont="1" applyFill="1" applyBorder="1"/>
    <xf numFmtId="170" fontId="4" fillId="0" borderId="108" xfId="1" applyNumberFormat="1" applyFont="1" applyFill="1" applyBorder="1" applyAlignment="1">
      <alignment horizontal="center"/>
    </xf>
    <xf numFmtId="0" fontId="0" fillId="0" borderId="108" xfId="0" applyFont="1" applyFill="1" applyBorder="1"/>
    <xf numFmtId="170" fontId="0" fillId="0" borderId="102" xfId="1" applyNumberFormat="1" applyFont="1" applyFill="1" applyBorder="1"/>
    <xf numFmtId="169" fontId="4" fillId="0" borderId="102" xfId="2" applyNumberFormat="1" applyFont="1" applyFill="1" applyBorder="1" applyAlignment="1">
      <alignment horizontal="center"/>
    </xf>
    <xf numFmtId="0" fontId="0" fillId="0" borderId="95" xfId="0" applyFont="1" applyFill="1" applyBorder="1" applyAlignment="1">
      <alignment horizontal="center" vertical="center"/>
    </xf>
    <xf numFmtId="0" fontId="0" fillId="0" borderId="108" xfId="0" applyFont="1" applyFill="1" applyBorder="1" applyAlignment="1">
      <alignment horizontal="center" vertical="center"/>
    </xf>
    <xf numFmtId="38" fontId="4" fillId="0" borderId="108" xfId="0" applyNumberFormat="1" applyFont="1" applyFill="1" applyBorder="1" applyAlignment="1">
      <alignment horizontal="center" vertical="center"/>
    </xf>
    <xf numFmtId="0" fontId="0" fillId="0" borderId="102" xfId="0" applyFont="1" applyFill="1" applyBorder="1" applyAlignment="1">
      <alignment horizontal="center"/>
    </xf>
    <xf numFmtId="0" fontId="0" fillId="0" borderId="95" xfId="0" applyFill="1" applyBorder="1" applyAlignment="1">
      <alignment horizontal="center"/>
    </xf>
    <xf numFmtId="0" fontId="0" fillId="0" borderId="87" xfId="0" applyFill="1" applyBorder="1" applyAlignment="1">
      <alignment horizontal="center"/>
    </xf>
    <xf numFmtId="0" fontId="0" fillId="0" borderId="87" xfId="0" applyBorder="1"/>
    <xf numFmtId="0" fontId="0" fillId="0" borderId="87" xfId="0" applyFill="1" applyBorder="1"/>
    <xf numFmtId="167" fontId="0" fillId="0" borderId="87" xfId="1" applyNumberFormat="1" applyFont="1" applyFill="1" applyBorder="1" applyAlignment="1">
      <alignment horizontal="center"/>
    </xf>
    <xf numFmtId="0" fontId="0" fillId="0" borderId="74" xfId="0" applyFill="1" applyBorder="1"/>
    <xf numFmtId="0" fontId="0" fillId="0" borderId="108" xfId="0" applyFill="1" applyBorder="1" applyAlignment="1">
      <alignment horizontal="center"/>
    </xf>
    <xf numFmtId="0" fontId="0" fillId="0" borderId="76" xfId="0" applyFill="1" applyBorder="1" applyAlignment="1">
      <alignment horizontal="center"/>
    </xf>
    <xf numFmtId="0" fontId="0" fillId="0" borderId="0" xfId="0" applyBorder="1"/>
    <xf numFmtId="0" fontId="0" fillId="0" borderId="76" xfId="0" applyFill="1" applyBorder="1"/>
    <xf numFmtId="0" fontId="0" fillId="0" borderId="4" xfId="0" applyFill="1" applyBorder="1" applyAlignment="1">
      <alignment horizontal="center"/>
    </xf>
    <xf numFmtId="0" fontId="0" fillId="0" borderId="4" xfId="0" applyBorder="1" applyAlignment="1">
      <alignment horizontal="center"/>
    </xf>
    <xf numFmtId="0" fontId="0" fillId="0" borderId="92" xfId="0" applyFill="1" applyBorder="1" applyAlignment="1">
      <alignment horizontal="center"/>
    </xf>
    <xf numFmtId="38" fontId="4" fillId="0" borderId="4" xfId="0" applyNumberFormat="1" applyFont="1" applyBorder="1" applyAlignment="1">
      <alignment horizontal="center"/>
    </xf>
    <xf numFmtId="0" fontId="0" fillId="0" borderId="4" xfId="0" applyFill="1" applyBorder="1"/>
    <xf numFmtId="167" fontId="0" fillId="0" borderId="4" xfId="1" applyNumberFormat="1" applyFont="1" applyFill="1" applyBorder="1" applyAlignment="1">
      <alignment horizontal="center"/>
    </xf>
    <xf numFmtId="0" fontId="0" fillId="0" borderId="92" xfId="0" applyFill="1" applyBorder="1"/>
    <xf numFmtId="167" fontId="0" fillId="0" borderId="108" xfId="0" applyNumberFormat="1" applyFill="1" applyBorder="1" applyAlignment="1">
      <alignment horizontal="center"/>
    </xf>
    <xf numFmtId="167" fontId="0" fillId="0" borderId="0" xfId="0" applyNumberFormat="1" applyBorder="1" applyAlignment="1">
      <alignment horizontal="center"/>
    </xf>
    <xf numFmtId="167" fontId="0" fillId="0" borderId="0" xfId="0" applyNumberFormat="1" applyBorder="1"/>
    <xf numFmtId="167" fontId="0" fillId="0" borderId="95" xfId="0" applyNumberFormat="1" applyFill="1" applyBorder="1" applyAlignment="1">
      <alignment horizontal="center"/>
    </xf>
    <xf numFmtId="2" fontId="0" fillId="0" borderId="76" xfId="0" applyNumberFormat="1" applyFill="1" applyBorder="1" applyAlignment="1">
      <alignment horizontal="center"/>
    </xf>
    <xf numFmtId="167" fontId="0" fillId="0" borderId="76" xfId="0" applyNumberFormat="1" applyFill="1" applyBorder="1" applyAlignment="1">
      <alignment horizontal="center"/>
    </xf>
    <xf numFmtId="2" fontId="4" fillId="0" borderId="76" xfId="0" applyNumberFormat="1" applyFont="1" applyFill="1" applyBorder="1" applyAlignment="1">
      <alignment horizontal="center"/>
    </xf>
    <xf numFmtId="167" fontId="4" fillId="0" borderId="76" xfId="0" applyNumberFormat="1" applyFont="1" applyFill="1" applyBorder="1" applyAlignment="1">
      <alignment horizontal="center"/>
    </xf>
    <xf numFmtId="0" fontId="4" fillId="0" borderId="25" xfId="0" applyFont="1" applyBorder="1" applyAlignment="1">
      <alignment horizontal="left" indent="2"/>
    </xf>
    <xf numFmtId="167" fontId="0" fillId="0" borderId="76" xfId="0" applyNumberFormat="1" applyFill="1" applyBorder="1"/>
    <xf numFmtId="0" fontId="2" fillId="0" borderId="95" xfId="0" applyFont="1" applyBorder="1"/>
    <xf numFmtId="6" fontId="4" fillId="0" borderId="96" xfId="0" applyNumberFormat="1" applyFont="1" applyBorder="1" applyAlignment="1">
      <alignment horizontal="center"/>
    </xf>
    <xf numFmtId="6" fontId="4" fillId="0" borderId="47" xfId="0" applyNumberFormat="1" applyFont="1" applyBorder="1" applyAlignment="1">
      <alignment horizontal="center"/>
    </xf>
    <xf numFmtId="6" fontId="4" fillId="0" borderId="97" xfId="0" applyNumberFormat="1" applyFont="1" applyBorder="1" applyAlignment="1">
      <alignment horizontal="center"/>
    </xf>
    <xf numFmtId="6" fontId="4" fillId="0" borderId="85" xfId="0" applyNumberFormat="1" applyFont="1" applyBorder="1" applyAlignment="1">
      <alignment horizontal="center"/>
    </xf>
    <xf numFmtId="6" fontId="4" fillId="0" borderId="87" xfId="0" applyNumberFormat="1" applyFont="1" applyBorder="1" applyAlignment="1">
      <alignment horizontal="center"/>
    </xf>
    <xf numFmtId="167" fontId="0" fillId="0" borderId="87" xfId="0" applyNumberFormat="1" applyBorder="1" applyAlignment="1">
      <alignment horizontal="center"/>
    </xf>
    <xf numFmtId="0" fontId="0" fillId="0" borderId="87" xfId="0" applyBorder="1" applyAlignment="1">
      <alignment horizontal="center"/>
    </xf>
    <xf numFmtId="0" fontId="0" fillId="0" borderId="87" xfId="0" applyFont="1" applyBorder="1"/>
    <xf numFmtId="167" fontId="0" fillId="0" borderId="87" xfId="1" applyNumberFormat="1" applyFont="1" applyBorder="1" applyAlignment="1">
      <alignment horizontal="center"/>
    </xf>
    <xf numFmtId="167" fontId="0" fillId="0" borderId="87" xfId="0" applyNumberFormat="1" applyBorder="1"/>
    <xf numFmtId="0" fontId="0" fillId="0" borderId="74" xfId="0" applyBorder="1"/>
    <xf numFmtId="0" fontId="0" fillId="0" borderId="98" xfId="0" applyBorder="1"/>
    <xf numFmtId="6" fontId="0" fillId="0" borderId="87" xfId="0" applyNumberFormat="1" applyBorder="1" applyAlignment="1">
      <alignment horizontal="center"/>
    </xf>
    <xf numFmtId="167" fontId="0" fillId="0" borderId="87" xfId="0" applyNumberFormat="1" applyFill="1" applyBorder="1" applyAlignment="1">
      <alignment horizontal="center"/>
    </xf>
    <xf numFmtId="167" fontId="0" fillId="0" borderId="87" xfId="0" applyNumberFormat="1" applyFill="1" applyBorder="1"/>
    <xf numFmtId="167" fontId="4" fillId="0" borderId="90" xfId="0" applyNumberFormat="1" applyFont="1" applyBorder="1" applyAlignment="1">
      <alignment horizontal="left" indent="2"/>
    </xf>
    <xf numFmtId="167" fontId="0" fillId="0" borderId="0" xfId="0" applyNumberFormat="1" applyFont="1" applyBorder="1"/>
    <xf numFmtId="167" fontId="0" fillId="0" borderId="0" xfId="0" applyNumberFormat="1" applyBorder="1" applyAlignment="1">
      <alignment horizontal="right"/>
    </xf>
    <xf numFmtId="167" fontId="0" fillId="0" borderId="0" xfId="1" applyNumberFormat="1" applyFont="1" applyBorder="1" applyAlignment="1">
      <alignment horizontal="right"/>
    </xf>
    <xf numFmtId="167" fontId="0" fillId="3" borderId="0" xfId="0" applyNumberFormat="1" applyFill="1" applyBorder="1" applyAlignment="1">
      <alignment horizontal="center"/>
    </xf>
    <xf numFmtId="167" fontId="0" fillId="0" borderId="0" xfId="0" applyNumberFormat="1" applyFont="1" applyBorder="1" applyAlignment="1">
      <alignment horizontal="center"/>
    </xf>
    <xf numFmtId="0" fontId="2" fillId="0" borderId="94" xfId="0" applyFont="1" applyBorder="1"/>
    <xf numFmtId="0" fontId="4" fillId="0" borderId="90" xfId="0" applyFont="1" applyBorder="1" applyAlignment="1">
      <alignment horizontal="left" indent="2"/>
    </xf>
    <xf numFmtId="0" fontId="4" fillId="0" borderId="91" xfId="0" applyFont="1" applyBorder="1" applyAlignment="1">
      <alignment horizontal="left" indent="2"/>
    </xf>
    <xf numFmtId="167" fontId="4" fillId="0" borderId="51" xfId="0" applyNumberFormat="1" applyFont="1" applyBorder="1" applyAlignment="1">
      <alignment horizontal="center"/>
    </xf>
    <xf numFmtId="0" fontId="0" fillId="0" borderId="4" xfId="0" applyBorder="1"/>
    <xf numFmtId="0" fontId="2" fillId="0" borderId="99" xfId="0" applyFont="1" applyBorder="1"/>
    <xf numFmtId="0" fontId="4" fillId="0" borderId="96" xfId="0" applyFont="1" applyBorder="1" applyAlignment="1">
      <alignment horizontal="center"/>
    </xf>
    <xf numFmtId="0" fontId="4" fillId="0" borderId="47" xfId="0" applyFont="1" applyBorder="1" applyAlignment="1">
      <alignment horizontal="center"/>
    </xf>
    <xf numFmtId="0" fontId="4" fillId="0" borderId="52" xfId="0" applyFont="1" applyBorder="1" applyAlignment="1">
      <alignment horizontal="center"/>
    </xf>
    <xf numFmtId="0" fontId="4" fillId="0" borderId="97" xfId="0" applyFont="1" applyBorder="1" applyAlignment="1">
      <alignment horizontal="center"/>
    </xf>
    <xf numFmtId="0" fontId="4" fillId="0" borderId="85" xfId="0" applyFont="1" applyBorder="1" applyAlignment="1">
      <alignment horizontal="center"/>
    </xf>
    <xf numFmtId="0" fontId="4" fillId="0" borderId="87" xfId="0" applyFont="1" applyBorder="1" applyAlignment="1">
      <alignment horizontal="center"/>
    </xf>
    <xf numFmtId="0" fontId="4" fillId="0" borderId="74" xfId="0" applyFont="1" applyBorder="1" applyAlignment="1">
      <alignment horizontal="center"/>
    </xf>
    <xf numFmtId="0" fontId="4" fillId="0" borderId="98" xfId="0" applyFont="1" applyBorder="1" applyAlignment="1">
      <alignment horizontal="center"/>
    </xf>
    <xf numFmtId="0" fontId="4" fillId="0" borderId="47" xfId="0" applyFont="1" applyBorder="1" applyAlignment="1">
      <alignment horizontal="center" wrapText="1"/>
    </xf>
    <xf numFmtId="0" fontId="0" fillId="0" borderId="47" xfId="0" applyBorder="1" applyAlignment="1">
      <alignment horizontal="center"/>
    </xf>
    <xf numFmtId="0" fontId="4" fillId="0" borderId="27" xfId="0" applyFont="1" applyBorder="1" applyAlignment="1">
      <alignment horizontal="center"/>
    </xf>
    <xf numFmtId="0" fontId="4" fillId="0" borderId="10" xfId="0" applyFont="1" applyBorder="1" applyAlignment="1">
      <alignment horizontal="center"/>
    </xf>
    <xf numFmtId="0" fontId="4" fillId="0" borderId="14" xfId="0" applyFont="1" applyBorder="1" applyAlignment="1">
      <alignment horizontal="center"/>
    </xf>
    <xf numFmtId="0" fontId="4" fillId="0" borderId="23" xfId="0" applyFont="1" applyBorder="1" applyAlignment="1">
      <alignment horizontal="center"/>
    </xf>
    <xf numFmtId="0" fontId="4" fillId="0" borderId="70" xfId="0" applyFont="1" applyBorder="1" applyAlignment="1">
      <alignment horizontal="center"/>
    </xf>
    <xf numFmtId="0" fontId="4" fillId="0" borderId="86" xfId="0" applyFont="1" applyBorder="1" applyAlignment="1">
      <alignment horizontal="center"/>
    </xf>
    <xf numFmtId="0" fontId="4" fillId="0" borderId="72" xfId="0" applyFont="1" applyBorder="1" applyAlignment="1">
      <alignment horizontal="center"/>
    </xf>
    <xf numFmtId="0" fontId="4" fillId="0" borderId="10" xfId="0" applyFont="1" applyBorder="1" applyAlignment="1">
      <alignment horizontal="center" wrapText="1"/>
    </xf>
    <xf numFmtId="0" fontId="0" fillId="0" borderId="10" xfId="0" applyBorder="1" applyAlignment="1">
      <alignment horizontal="center"/>
    </xf>
    <xf numFmtId="0" fontId="0" fillId="0" borderId="83" xfId="0" applyBorder="1" applyAlignment="1">
      <alignment horizontal="center"/>
    </xf>
    <xf numFmtId="0" fontId="2" fillId="0" borderId="100" xfId="0" applyFont="1" applyBorder="1"/>
    <xf numFmtId="0" fontId="0" fillId="0" borderId="0" xfId="0" applyFont="1" applyBorder="1"/>
    <xf numFmtId="0" fontId="2" fillId="0" borderId="101" xfId="0" applyFont="1" applyBorder="1"/>
    <xf numFmtId="0" fontId="4" fillId="0" borderId="102" xfId="0" applyFont="1" applyBorder="1" applyAlignment="1">
      <alignment horizontal="left" indent="2"/>
    </xf>
    <xf numFmtId="3" fontId="0" fillId="0" borderId="81" xfId="0" applyNumberFormat="1" applyBorder="1" applyAlignment="1">
      <alignment horizontal="center"/>
    </xf>
    <xf numFmtId="3" fontId="0" fillId="0" borderId="103" xfId="0" applyNumberFormat="1" applyBorder="1" applyAlignment="1">
      <alignment horizontal="center"/>
    </xf>
    <xf numFmtId="3" fontId="0" fillId="0" borderId="71" xfId="0" applyNumberFormat="1" applyBorder="1" applyAlignment="1">
      <alignment horizontal="center"/>
    </xf>
    <xf numFmtId="3" fontId="0" fillId="0" borderId="104" xfId="0" applyNumberFormat="1" applyBorder="1" applyAlignment="1">
      <alignment horizontal="center"/>
    </xf>
    <xf numFmtId="3" fontId="0" fillId="0" borderId="4" xfId="0" applyNumberFormat="1" applyBorder="1" applyAlignment="1">
      <alignment horizontal="center"/>
    </xf>
    <xf numFmtId="3" fontId="0" fillId="0" borderId="92" xfId="0" applyNumberFormat="1" applyBorder="1" applyAlignment="1">
      <alignment horizontal="center"/>
    </xf>
    <xf numFmtId="3" fontId="0" fillId="0" borderId="105" xfId="0" applyNumberFormat="1" applyBorder="1" applyAlignment="1">
      <alignment horizontal="center"/>
    </xf>
    <xf numFmtId="0" fontId="0" fillId="0" borderId="92" xfId="0" applyBorder="1"/>
    <xf numFmtId="169" fontId="0" fillId="0" borderId="108" xfId="2" applyNumberFormat="1" applyFont="1" applyFill="1" applyBorder="1" applyAlignment="1">
      <alignment horizontal="center"/>
    </xf>
    <xf numFmtId="169" fontId="0" fillId="0" borderId="0" xfId="2" applyNumberFormat="1" applyFont="1" applyFill="1" applyBorder="1" applyAlignment="1">
      <alignment horizontal="center"/>
    </xf>
    <xf numFmtId="169" fontId="0" fillId="0" borderId="0" xfId="2" applyNumberFormat="1" applyFont="1" applyBorder="1" applyAlignment="1">
      <alignment horizontal="center"/>
    </xf>
    <xf numFmtId="169" fontId="0" fillId="0" borderId="0" xfId="2" applyNumberFormat="1" applyFont="1" applyBorder="1"/>
    <xf numFmtId="169" fontId="0" fillId="0" borderId="102" xfId="2" applyNumberFormat="1" applyFont="1" applyFill="1" applyBorder="1" applyAlignment="1">
      <alignment horizontal="center"/>
    </xf>
    <xf numFmtId="169" fontId="0" fillId="0" borderId="4" xfId="2" applyNumberFormat="1" applyFont="1" applyFill="1" applyBorder="1" applyAlignment="1">
      <alignment horizontal="center"/>
    </xf>
    <xf numFmtId="170" fontId="0" fillId="0" borderId="108" xfId="1" applyNumberFormat="1" applyFont="1" applyFill="1" applyBorder="1" applyAlignment="1">
      <alignment horizontal="center"/>
    </xf>
    <xf numFmtId="170" fontId="0" fillId="0" borderId="0" xfId="1" applyNumberFormat="1" applyFont="1" applyBorder="1"/>
    <xf numFmtId="170" fontId="12" fillId="0" borderId="0" xfId="1" applyNumberFormat="1" applyFont="1" applyFill="1" applyBorder="1" applyAlignment="1">
      <alignment horizontal="center"/>
    </xf>
    <xf numFmtId="170" fontId="0" fillId="0" borderId="0" xfId="1" applyNumberFormat="1" applyFont="1" applyBorder="1" applyAlignment="1">
      <alignment horizontal="center"/>
    </xf>
    <xf numFmtId="170" fontId="4" fillId="0" borderId="0" xfId="1" applyNumberFormat="1" applyFont="1" applyBorder="1" applyAlignment="1">
      <alignment horizontal="center"/>
    </xf>
    <xf numFmtId="170" fontId="0" fillId="0" borderId="76" xfId="1" applyNumberFormat="1" applyFont="1" applyFill="1" applyBorder="1" applyAlignment="1">
      <alignment horizontal="center"/>
    </xf>
    <xf numFmtId="0" fontId="2" fillId="0" borderId="78" xfId="0" applyFont="1" applyBorder="1"/>
    <xf numFmtId="0" fontId="4" fillId="0" borderId="77" xfId="0" applyFont="1" applyBorder="1" applyAlignment="1">
      <alignment horizontal="left" indent="2"/>
    </xf>
    <xf numFmtId="0" fontId="2" fillId="0" borderId="75" xfId="0" applyFont="1" applyBorder="1"/>
    <xf numFmtId="0" fontId="4" fillId="0" borderId="68" xfId="0" applyFont="1" applyBorder="1" applyAlignment="1">
      <alignment horizontal="left" indent="2"/>
    </xf>
    <xf numFmtId="49" fontId="0" fillId="0" borderId="0" xfId="0" applyNumberFormat="1" applyAlignment="1">
      <alignment horizontal="center" vertical="center" wrapText="1"/>
    </xf>
    <xf numFmtId="169" fontId="0" fillId="0" borderId="0" xfId="2" applyNumberFormat="1" applyFont="1"/>
    <xf numFmtId="170" fontId="0" fillId="0" borderId="0" xfId="1" applyNumberFormat="1" applyFont="1"/>
    <xf numFmtId="170" fontId="4" fillId="0" borderId="0" xfId="1" applyNumberFormat="1" applyFont="1" applyFill="1" applyBorder="1"/>
    <xf numFmtId="38" fontId="4" fillId="0" borderId="0" xfId="0" applyNumberFormat="1" applyFont="1" applyFill="1" applyAlignment="1">
      <alignment horizontal="center"/>
    </xf>
    <xf numFmtId="170" fontId="0" fillId="0" borderId="0" xfId="0" applyNumberFormat="1" applyFont="1" applyFill="1" applyBorder="1"/>
    <xf numFmtId="170" fontId="0" fillId="0" borderId="0" xfId="1" applyNumberFormat="1" applyFont="1" applyFill="1" applyBorder="1" applyAlignment="1">
      <alignment horizontal="right"/>
    </xf>
    <xf numFmtId="169" fontId="0" fillId="0" borderId="87" xfId="2" applyNumberFormat="1" applyFont="1" applyFill="1" applyBorder="1"/>
    <xf numFmtId="38" fontId="0" fillId="0" borderId="0" xfId="0" applyNumberFormat="1" applyFont="1" applyFill="1" applyBorder="1" applyAlignment="1">
      <alignment horizontal="center" vertical="center"/>
    </xf>
    <xf numFmtId="0" fontId="3" fillId="0" borderId="0" xfId="0" applyFont="1" applyAlignment="1" applyProtection="1">
      <alignment horizontal="center" vertical="center"/>
      <protection locked="0"/>
    </xf>
    <xf numFmtId="0" fontId="4" fillId="0" borderId="87" xfId="0" applyFont="1" applyFill="1" applyBorder="1"/>
    <xf numFmtId="0" fontId="4" fillId="0" borderId="4" xfId="0" applyFont="1" applyFill="1" applyBorder="1"/>
    <xf numFmtId="167" fontId="4" fillId="0" borderId="0" xfId="0" applyNumberFormat="1" applyFont="1" applyFill="1" applyBorder="1"/>
    <xf numFmtId="0" fontId="4" fillId="0" borderId="0" xfId="0" applyFont="1" applyBorder="1"/>
    <xf numFmtId="0" fontId="4" fillId="0" borderId="4" xfId="0" applyFont="1" applyBorder="1"/>
    <xf numFmtId="0" fontId="0" fillId="0" borderId="0" xfId="1" applyNumberFormat="1" applyFont="1" applyFill="1" applyBorder="1" applyAlignment="1">
      <alignment horizontal="center"/>
    </xf>
    <xf numFmtId="0" fontId="0" fillId="0" borderId="0" xfId="1" applyNumberFormat="1" applyFont="1" applyBorder="1" applyAlignment="1">
      <alignment horizontal="center"/>
    </xf>
    <xf numFmtId="0" fontId="0" fillId="0" borderId="4" xfId="1" applyNumberFormat="1" applyFont="1" applyBorder="1" applyAlignment="1">
      <alignment horizontal="center"/>
    </xf>
    <xf numFmtId="38"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0" fillId="0" borderId="43" xfId="0" applyFont="1" applyFill="1" applyBorder="1" applyAlignment="1">
      <alignment horizontal="center" wrapText="1"/>
    </xf>
    <xf numFmtId="0" fontId="0" fillId="0" borderId="0" xfId="0" applyFont="1" applyFill="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61" xfId="0" applyFont="1" applyFill="1" applyBorder="1" applyAlignment="1" applyProtection="1">
      <alignment horizontal="center"/>
    </xf>
    <xf numFmtId="0" fontId="5" fillId="0" borderId="82" xfId="0" applyFont="1" applyFill="1" applyBorder="1" applyAlignment="1" applyProtection="1">
      <alignment horizontal="center"/>
    </xf>
    <xf numFmtId="0" fontId="0" fillId="0" borderId="0" xfId="0" applyAlignment="1">
      <alignment horizontal="center" vertical="top" wrapText="1"/>
    </xf>
    <xf numFmtId="0" fontId="0" fillId="0" borderId="0" xfId="0" applyAlignment="1">
      <alignment horizontal="center" vertical="center" wrapText="1"/>
    </xf>
    <xf numFmtId="0" fontId="0" fillId="0" borderId="5" xfId="0" applyBorder="1" applyAlignment="1">
      <alignment horizontal="center"/>
    </xf>
    <xf numFmtId="0" fontId="0" fillId="0" borderId="61" xfId="0" applyBorder="1" applyAlignment="1">
      <alignment horizontal="center"/>
    </xf>
    <xf numFmtId="0" fontId="0" fillId="0" borderId="84" xfId="0" applyBorder="1" applyAlignment="1">
      <alignment horizontal="center"/>
    </xf>
    <xf numFmtId="0" fontId="5" fillId="0" borderId="5" xfId="0" applyFont="1" applyBorder="1" applyAlignment="1">
      <alignment horizontal="center"/>
    </xf>
    <xf numFmtId="0" fontId="5" fillId="0" borderId="61" xfId="0" applyFont="1" applyBorder="1" applyAlignment="1">
      <alignment horizontal="center"/>
    </xf>
    <xf numFmtId="0" fontId="5" fillId="0" borderId="82" xfId="0" applyFont="1" applyBorder="1" applyAlignment="1">
      <alignment horizontal="center"/>
    </xf>
    <xf numFmtId="0" fontId="5" fillId="0" borderId="73" xfId="0"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1"/>
  <sheetViews>
    <sheetView zoomScale="85" zoomScaleNormal="85" workbookViewId="0">
      <pane xSplit="2" ySplit="8" topLeftCell="AW9" activePane="bottomRight" state="frozen"/>
      <selection pane="topRight" activeCell="C1" sqref="C1"/>
      <selection pane="bottomLeft" activeCell="A9" sqref="A9"/>
      <selection pane="bottomRight" activeCell="BT27" sqref="BT27"/>
    </sheetView>
  </sheetViews>
  <sheetFormatPr defaultColWidth="9.28515625" defaultRowHeight="15" x14ac:dyDescent="0.25"/>
  <cols>
    <col min="1" max="1" width="5.7109375" style="339" customWidth="1"/>
    <col min="2" max="2" width="67.42578125" style="339" customWidth="1"/>
    <col min="3" max="3" width="12.7109375" style="339" hidden="1" customWidth="1"/>
    <col min="4" max="4" width="11.7109375" style="339" hidden="1" customWidth="1"/>
    <col min="5" max="12" width="10.7109375" style="339" hidden="1" customWidth="1"/>
    <col min="13" max="15" width="11.7109375" style="339" hidden="1" customWidth="1"/>
    <col min="16" max="23" width="10.7109375" style="339" hidden="1" customWidth="1"/>
    <col min="24" max="24" width="10.7109375" style="368" hidden="1" customWidth="1"/>
    <col min="25" max="25" width="11.7109375" style="339" hidden="1" customWidth="1"/>
    <col min="26" max="26" width="16.5703125" style="339" hidden="1" customWidth="1"/>
    <col min="27" max="28" width="11.7109375" style="339" hidden="1" customWidth="1"/>
    <col min="29" max="29" width="15" style="368" hidden="1" customWidth="1"/>
    <col min="30" max="48" width="21" style="278" hidden="1" customWidth="1"/>
    <col min="49" max="49" width="15.85546875" style="339" customWidth="1"/>
    <col min="50" max="50" width="14.7109375" style="339" customWidth="1"/>
    <col min="51" max="60" width="14.42578125" style="339" customWidth="1"/>
    <col min="61" max="61" width="15.85546875" style="339" bestFit="1" customWidth="1"/>
    <col min="62" max="62" width="14.7109375" style="339" customWidth="1"/>
    <col min="63" max="72" width="14.42578125" style="339" customWidth="1"/>
    <col min="73" max="16384" width="9.28515625" style="339"/>
  </cols>
  <sheetData>
    <row r="1" spans="1:72" s="2" customFormat="1" ht="16.5" thickTop="1" thickBot="1" x14ac:dyDescent="0.3">
      <c r="B1" s="600" t="s">
        <v>19</v>
      </c>
      <c r="C1" s="601"/>
      <c r="D1" s="601"/>
      <c r="E1" s="601"/>
      <c r="F1" s="601"/>
      <c r="G1" s="601"/>
      <c r="H1" s="601"/>
      <c r="I1" s="601"/>
      <c r="J1" s="601"/>
      <c r="K1" s="601"/>
      <c r="L1" s="601"/>
      <c r="M1" s="601"/>
      <c r="N1" s="601"/>
      <c r="O1" s="601"/>
      <c r="P1" s="601"/>
      <c r="Q1" s="601"/>
      <c r="R1" s="601"/>
      <c r="S1" s="601"/>
      <c r="T1" s="601"/>
      <c r="U1" s="601"/>
      <c r="V1" s="601"/>
      <c r="W1" s="601"/>
      <c r="X1" s="26"/>
      <c r="Y1" s="26"/>
      <c r="Z1" s="26"/>
      <c r="AA1" s="26"/>
      <c r="AB1" s="27"/>
      <c r="AE1" s="3"/>
      <c r="AF1" s="3"/>
      <c r="AG1" s="3"/>
      <c r="AH1" s="3"/>
      <c r="AI1" s="3"/>
      <c r="AJ1" s="3"/>
      <c r="AK1" s="3"/>
      <c r="AL1" s="3"/>
      <c r="AM1" s="3"/>
      <c r="AN1" s="3"/>
      <c r="AO1" s="3"/>
      <c r="AP1" s="3"/>
      <c r="AQ1" s="3"/>
      <c r="AR1" s="3"/>
      <c r="AS1" s="3"/>
      <c r="AT1" s="3"/>
      <c r="AU1" s="3"/>
      <c r="AV1" s="3"/>
      <c r="AW1" s="3"/>
      <c r="AX1" s="3"/>
      <c r="AY1" s="3"/>
      <c r="AZ1" s="3"/>
      <c r="BA1" s="3"/>
      <c r="BB1" s="3"/>
      <c r="BC1" s="3"/>
      <c r="BD1" s="3"/>
    </row>
    <row r="2" spans="1:72"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604" t="s">
        <v>46</v>
      </c>
      <c r="AX2" s="605"/>
      <c r="AY2" s="605"/>
      <c r="AZ2" s="605"/>
      <c r="BA2" s="605"/>
      <c r="BB2" s="605"/>
      <c r="BC2" s="605"/>
      <c r="BD2" s="3"/>
    </row>
    <row r="3" spans="1:72"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604" t="s">
        <v>45</v>
      </c>
      <c r="AX3" s="605"/>
      <c r="AY3" s="605"/>
      <c r="AZ3" s="605"/>
      <c r="BA3" s="605"/>
      <c r="BB3" s="605"/>
      <c r="BC3" s="605"/>
      <c r="BD3" s="3"/>
    </row>
    <row r="4" spans="1:72"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606" t="s">
        <v>64</v>
      </c>
      <c r="AX4" s="607"/>
      <c r="AY4" s="607"/>
      <c r="AZ4" s="607"/>
      <c r="BA4" s="607"/>
      <c r="BB4" s="607"/>
      <c r="BC4" s="607"/>
      <c r="BD4" s="3"/>
    </row>
    <row r="5" spans="1:72" ht="7.5" customHeight="1" thickTop="1" x14ac:dyDescent="0.25">
      <c r="B5" s="342"/>
      <c r="C5" s="346"/>
      <c r="D5" s="346"/>
      <c r="E5" s="346"/>
      <c r="F5" s="343"/>
      <c r="G5" s="344"/>
      <c r="H5" s="343"/>
      <c r="I5" s="344"/>
      <c r="J5" s="343"/>
      <c r="K5" s="345"/>
      <c r="L5" s="345"/>
      <c r="M5" s="345"/>
      <c r="N5" s="345"/>
      <c r="O5" s="345"/>
      <c r="P5" s="345"/>
      <c r="Q5" s="345"/>
      <c r="R5" s="345"/>
      <c r="S5" s="345"/>
      <c r="T5" s="345"/>
      <c r="U5" s="345"/>
      <c r="V5" s="345"/>
      <c r="W5" s="345"/>
      <c r="X5" s="343"/>
      <c r="Y5" s="345"/>
      <c r="Z5" s="345"/>
      <c r="AA5" s="345"/>
      <c r="AB5" s="345"/>
      <c r="AC5" s="343"/>
      <c r="AD5" s="343"/>
      <c r="AE5" s="343"/>
      <c r="AF5" s="343"/>
      <c r="AG5" s="343"/>
      <c r="AH5" s="343"/>
      <c r="AI5" s="343"/>
      <c r="AJ5" s="343"/>
      <c r="AK5" s="343"/>
      <c r="AL5" s="343"/>
      <c r="AM5" s="343"/>
      <c r="AN5" s="343"/>
      <c r="AO5" s="343"/>
      <c r="AP5" s="343"/>
      <c r="AQ5" s="343"/>
      <c r="AR5" s="343"/>
      <c r="AS5" s="343"/>
      <c r="AT5" s="343"/>
      <c r="AU5" s="343"/>
      <c r="AV5" s="343"/>
    </row>
    <row r="6" spans="1:72" ht="19.5" customHeight="1" thickBot="1" x14ac:dyDescent="0.3">
      <c r="B6" s="347"/>
      <c r="C6" s="348"/>
      <c r="D6" s="349"/>
      <c r="E6" s="349"/>
      <c r="F6" s="350"/>
      <c r="G6" s="351"/>
      <c r="H6" s="352"/>
      <c r="I6" s="351"/>
      <c r="J6" s="14"/>
      <c r="K6" s="352"/>
      <c r="L6" s="352"/>
      <c r="M6" s="352"/>
      <c r="N6" s="352"/>
      <c r="O6" s="352"/>
      <c r="P6" s="352"/>
      <c r="Q6" s="352"/>
      <c r="R6" s="352"/>
      <c r="S6" s="352"/>
      <c r="T6" s="352"/>
      <c r="U6" s="352"/>
      <c r="V6" s="352"/>
      <c r="W6" s="352"/>
      <c r="X6" s="22"/>
      <c r="Y6" s="352"/>
      <c r="Z6" s="352"/>
      <c r="AA6" s="352"/>
      <c r="AB6" s="352"/>
      <c r="AC6" s="22"/>
      <c r="AD6" s="22"/>
      <c r="AE6" s="22"/>
      <c r="AF6" s="22"/>
      <c r="AG6" s="22"/>
      <c r="AH6" s="22"/>
      <c r="AI6" s="22"/>
      <c r="AJ6" s="22"/>
      <c r="AK6" s="22"/>
      <c r="AL6" s="22"/>
      <c r="AM6" s="22"/>
      <c r="AN6" s="22"/>
      <c r="AO6" s="22"/>
      <c r="AP6" s="22"/>
      <c r="AQ6" s="22"/>
      <c r="AR6" s="22"/>
      <c r="AS6" s="22"/>
      <c r="AT6" s="22"/>
      <c r="AU6" s="22"/>
      <c r="AV6" s="22"/>
    </row>
    <row r="7" spans="1:72" s="340" customFormat="1" ht="19.5" customHeight="1" thickBot="1" x14ac:dyDescent="0.3">
      <c r="B7" s="379"/>
      <c r="C7" s="353">
        <v>2019</v>
      </c>
      <c r="D7" s="354"/>
      <c r="E7" s="354"/>
      <c r="F7" s="354"/>
      <c r="G7" s="354"/>
      <c r="H7" s="354"/>
      <c r="I7" s="354"/>
      <c r="J7" s="354"/>
      <c r="K7" s="354"/>
      <c r="L7" s="427"/>
      <c r="M7" s="442">
        <v>2020</v>
      </c>
      <c r="N7" s="355"/>
      <c r="O7" s="356"/>
      <c r="P7" s="354"/>
      <c r="Q7" s="354"/>
      <c r="R7" s="354"/>
      <c r="S7" s="354"/>
      <c r="T7" s="354"/>
      <c r="U7" s="357"/>
      <c r="V7" s="355"/>
      <c r="W7" s="355"/>
      <c r="X7" s="426"/>
      <c r="Y7" s="609">
        <v>2021</v>
      </c>
      <c r="Z7" s="609"/>
      <c r="AA7" s="609"/>
      <c r="AB7" s="609"/>
      <c r="AC7" s="609"/>
      <c r="AD7" s="609"/>
      <c r="AE7" s="609"/>
      <c r="AF7" s="609"/>
      <c r="AG7" s="609"/>
      <c r="AH7" s="609"/>
      <c r="AI7" s="609"/>
      <c r="AJ7" s="610"/>
      <c r="AK7" s="355">
        <v>2022</v>
      </c>
      <c r="AL7" s="355"/>
      <c r="AM7" s="355"/>
      <c r="AN7" s="355"/>
      <c r="AO7" s="355"/>
      <c r="AP7" s="355"/>
      <c r="AQ7" s="355"/>
      <c r="AR7" s="355"/>
      <c r="AS7" s="355"/>
      <c r="AT7" s="355"/>
      <c r="AU7" s="355"/>
      <c r="AV7" s="355"/>
      <c r="AW7" s="442">
        <v>2023</v>
      </c>
      <c r="AX7" s="355"/>
      <c r="AY7" s="355"/>
      <c r="AZ7" s="355"/>
      <c r="BA7" s="355"/>
      <c r="BB7" s="355"/>
      <c r="BC7" s="355"/>
      <c r="BD7" s="355"/>
      <c r="BE7" s="355"/>
      <c r="BF7" s="355"/>
      <c r="BG7" s="355"/>
      <c r="BH7" s="426"/>
      <c r="BI7" s="442" t="s">
        <v>63</v>
      </c>
      <c r="BJ7" s="355"/>
      <c r="BK7" s="355"/>
      <c r="BL7" s="355"/>
      <c r="BM7" s="355"/>
      <c r="BN7" s="355"/>
      <c r="BO7" s="355"/>
      <c r="BP7" s="355"/>
      <c r="BQ7" s="355"/>
      <c r="BR7" s="355"/>
      <c r="BS7" s="355"/>
      <c r="BT7" s="426"/>
    </row>
    <row r="8" spans="1:72" ht="15.75" thickBot="1" x14ac:dyDescent="0.3">
      <c r="B8" s="358"/>
      <c r="C8" s="380" t="s">
        <v>9</v>
      </c>
      <c r="D8" s="381" t="s">
        <v>10</v>
      </c>
      <c r="E8" s="381" t="s">
        <v>16</v>
      </c>
      <c r="F8" s="381" t="s">
        <v>11</v>
      </c>
      <c r="G8" s="381" t="s">
        <v>17</v>
      </c>
      <c r="H8" s="381" t="s">
        <v>3</v>
      </c>
      <c r="I8" s="381" t="s">
        <v>13</v>
      </c>
      <c r="J8" s="381" t="s">
        <v>4</v>
      </c>
      <c r="K8" s="381" t="s">
        <v>5</v>
      </c>
      <c r="L8" s="428" t="s">
        <v>6</v>
      </c>
      <c r="M8" s="380" t="s">
        <v>7</v>
      </c>
      <c r="N8" s="383" t="s">
        <v>8</v>
      </c>
      <c r="O8" s="382" t="s">
        <v>9</v>
      </c>
      <c r="P8" s="381" t="s">
        <v>10</v>
      </c>
      <c r="Q8" s="381" t="s">
        <v>16</v>
      </c>
      <c r="R8" s="381" t="s">
        <v>11</v>
      </c>
      <c r="S8" s="381" t="s">
        <v>12</v>
      </c>
      <c r="T8" s="381" t="s">
        <v>3</v>
      </c>
      <c r="U8" s="384" t="s">
        <v>13</v>
      </c>
      <c r="V8" s="385" t="s">
        <v>4</v>
      </c>
      <c r="W8" s="385" t="s">
        <v>5</v>
      </c>
      <c r="X8" s="359" t="s">
        <v>6</v>
      </c>
      <c r="Y8" s="385" t="s">
        <v>7</v>
      </c>
      <c r="Z8" s="385" t="s">
        <v>8</v>
      </c>
      <c r="AA8" s="385" t="s">
        <v>9</v>
      </c>
      <c r="AB8" s="385" t="s">
        <v>10</v>
      </c>
      <c r="AC8" s="386" t="s">
        <v>16</v>
      </c>
      <c r="AD8" s="386" t="s">
        <v>55</v>
      </c>
      <c r="AE8" s="385" t="s">
        <v>17</v>
      </c>
      <c r="AF8" s="385" t="s">
        <v>56</v>
      </c>
      <c r="AG8" s="385" t="s">
        <v>57</v>
      </c>
      <c r="AH8" s="385" t="s">
        <v>58</v>
      </c>
      <c r="AI8" s="385" t="s">
        <v>59</v>
      </c>
      <c r="AJ8" s="359" t="s">
        <v>60</v>
      </c>
      <c r="AK8" s="385" t="s">
        <v>61</v>
      </c>
      <c r="AL8" s="385" t="s">
        <v>62</v>
      </c>
      <c r="AM8" s="385" t="s">
        <v>50</v>
      </c>
      <c r="AN8" s="385" t="s">
        <v>52</v>
      </c>
      <c r="AO8" s="385" t="s">
        <v>16</v>
      </c>
      <c r="AP8" s="385" t="s">
        <v>55</v>
      </c>
      <c r="AQ8" s="385" t="s">
        <v>17</v>
      </c>
      <c r="AR8" s="385" t="s">
        <v>56</v>
      </c>
      <c r="AS8" s="385" t="s">
        <v>57</v>
      </c>
      <c r="AT8" s="385" t="s">
        <v>58</v>
      </c>
      <c r="AU8" s="385" t="s">
        <v>59</v>
      </c>
      <c r="AV8" s="385" t="s">
        <v>60</v>
      </c>
      <c r="AW8" s="458" t="s">
        <v>61</v>
      </c>
      <c r="AX8" s="385" t="s">
        <v>62</v>
      </c>
      <c r="AY8" s="385" t="s">
        <v>50</v>
      </c>
      <c r="AZ8" s="385" t="s">
        <v>52</v>
      </c>
      <c r="BA8" s="385" t="s">
        <v>16</v>
      </c>
      <c r="BB8" s="385" t="s">
        <v>55</v>
      </c>
      <c r="BC8" s="385" t="s">
        <v>17</v>
      </c>
      <c r="BD8" s="385" t="s">
        <v>56</v>
      </c>
      <c r="BE8" s="385" t="s">
        <v>57</v>
      </c>
      <c r="BF8" s="385" t="s">
        <v>58</v>
      </c>
      <c r="BG8" s="385" t="s">
        <v>59</v>
      </c>
      <c r="BH8" s="359" t="s">
        <v>60</v>
      </c>
      <c r="BI8" s="458" t="s">
        <v>61</v>
      </c>
      <c r="BJ8" s="385" t="s">
        <v>62</v>
      </c>
      <c r="BK8" s="385" t="s">
        <v>50</v>
      </c>
      <c r="BL8" s="385" t="s">
        <v>52</v>
      </c>
      <c r="BM8" s="385" t="s">
        <v>16</v>
      </c>
      <c r="BN8" s="385" t="s">
        <v>55</v>
      </c>
      <c r="BO8" s="385" t="s">
        <v>17</v>
      </c>
      <c r="BP8" s="385" t="s">
        <v>56</v>
      </c>
      <c r="BQ8" s="385" t="s">
        <v>57</v>
      </c>
      <c r="BR8" s="385" t="s">
        <v>58</v>
      </c>
      <c r="BS8" s="385" t="s">
        <v>59</v>
      </c>
      <c r="BT8" s="359" t="s">
        <v>60</v>
      </c>
    </row>
    <row r="9" spans="1:72" x14ac:dyDescent="0.25">
      <c r="A9" s="341">
        <v>1</v>
      </c>
      <c r="B9" s="387" t="s">
        <v>14</v>
      </c>
      <c r="C9" s="444"/>
      <c r="D9" s="445"/>
      <c r="E9" s="445"/>
      <c r="F9" s="445"/>
      <c r="G9" s="445"/>
      <c r="H9" s="445"/>
      <c r="I9" s="445"/>
      <c r="J9" s="445"/>
      <c r="K9" s="445"/>
      <c r="L9" s="446"/>
      <c r="M9" s="444"/>
      <c r="N9" s="445"/>
      <c r="O9" s="445"/>
      <c r="P9" s="445"/>
      <c r="Q9" s="445"/>
      <c r="R9" s="445"/>
      <c r="S9" s="445"/>
      <c r="T9" s="445"/>
      <c r="U9" s="445"/>
      <c r="V9" s="445"/>
      <c r="W9" s="445"/>
      <c r="X9" s="446"/>
      <c r="Y9" s="445"/>
      <c r="Z9" s="445"/>
      <c r="AA9" s="445"/>
      <c r="AB9" s="445"/>
      <c r="AC9" s="445"/>
      <c r="AD9" s="445"/>
      <c r="AE9" s="445"/>
      <c r="AF9" s="445"/>
      <c r="AG9" s="445"/>
      <c r="AH9" s="445"/>
      <c r="AI9" s="445"/>
      <c r="AJ9" s="445"/>
      <c r="AK9" s="445"/>
      <c r="AL9" s="445"/>
      <c r="AM9" s="445"/>
      <c r="AN9" s="445"/>
      <c r="AO9" s="445"/>
      <c r="AP9" s="445"/>
      <c r="AQ9" s="445"/>
      <c r="AR9" s="445"/>
      <c r="AS9" s="445"/>
      <c r="AT9" s="445"/>
      <c r="AU9" s="445"/>
      <c r="AV9" s="445"/>
      <c r="AW9" s="459"/>
      <c r="AX9" s="388"/>
      <c r="AY9" s="388"/>
      <c r="AZ9" s="388"/>
      <c r="BA9" s="388"/>
      <c r="BB9" s="388"/>
      <c r="BC9" s="388"/>
      <c r="BD9" s="388"/>
      <c r="BE9" s="388"/>
      <c r="BF9" s="388"/>
      <c r="BG9" s="388"/>
      <c r="BH9" s="389"/>
      <c r="BI9" s="459"/>
      <c r="BJ9" s="388"/>
      <c r="BK9" s="388"/>
      <c r="BL9" s="388"/>
      <c r="BM9" s="388"/>
      <c r="BN9" s="388"/>
      <c r="BO9" s="388"/>
      <c r="BP9" s="388"/>
      <c r="BQ9" s="388"/>
      <c r="BR9" s="388"/>
      <c r="BS9" s="388"/>
      <c r="BT9" s="389"/>
    </row>
    <row r="10" spans="1:72" x14ac:dyDescent="0.25">
      <c r="A10" s="341"/>
      <c r="B10" s="390" t="s">
        <v>35</v>
      </c>
      <c r="C10" s="429">
        <v>42093</v>
      </c>
      <c r="D10" s="280">
        <v>41417</v>
      </c>
      <c r="E10" s="280">
        <v>41314</v>
      </c>
      <c r="F10" s="280">
        <v>42207</v>
      </c>
      <c r="G10" s="280">
        <v>41967</v>
      </c>
      <c r="H10" s="280">
        <v>41916</v>
      </c>
      <c r="I10" s="280">
        <v>42074</v>
      </c>
      <c r="J10" s="280">
        <v>42016</v>
      </c>
      <c r="K10" s="280">
        <v>42267</v>
      </c>
      <c r="L10" s="430">
        <v>42519</v>
      </c>
      <c r="M10" s="429">
        <v>42421</v>
      </c>
      <c r="N10" s="280">
        <v>42447</v>
      </c>
      <c r="O10" s="280">
        <v>42410</v>
      </c>
      <c r="P10" s="280">
        <f>2381+39694+56+182</f>
        <v>42313</v>
      </c>
      <c r="Q10" s="280">
        <f>2390+39818+56+182</f>
        <v>42446</v>
      </c>
      <c r="R10" s="280">
        <f>2430+41009+56+182</f>
        <v>43677</v>
      </c>
      <c r="S10" s="280">
        <f>2416+40565+56+182</f>
        <v>43219</v>
      </c>
      <c r="T10" s="280">
        <f>2413+40660+56+182</f>
        <v>43311</v>
      </c>
      <c r="U10" s="280">
        <f>2414+40703+56+182</f>
        <v>43355</v>
      </c>
      <c r="V10" s="280">
        <f>2400+40530+56+182</f>
        <v>43168</v>
      </c>
      <c r="W10" s="280">
        <f>2429+40737+238</f>
        <v>43404</v>
      </c>
      <c r="X10" s="430">
        <f>2430+40780+238</f>
        <v>43448</v>
      </c>
      <c r="Y10" s="280">
        <f>2414+40792+238</f>
        <v>43444</v>
      </c>
      <c r="Z10" s="280">
        <f>2401+40712+238</f>
        <v>43351</v>
      </c>
      <c r="AA10" s="280">
        <f>2394+40727+238</f>
        <v>43359</v>
      </c>
      <c r="AB10" s="280">
        <f>2378+40308+56+182</f>
        <v>42924</v>
      </c>
      <c r="AC10" s="280">
        <f>43068+238</f>
        <v>43306</v>
      </c>
      <c r="AD10" s="280">
        <f>2538+42336+238</f>
        <v>45112</v>
      </c>
      <c r="AE10" s="280">
        <f>2460+41163+239</f>
        <v>43862</v>
      </c>
      <c r="AF10" s="280">
        <f>2462+41113+239</f>
        <v>43814</v>
      </c>
      <c r="AG10" s="280">
        <f>2468+41124+239</f>
        <v>43831</v>
      </c>
      <c r="AH10" s="280">
        <f>2464+41059+239</f>
        <v>43762</v>
      </c>
      <c r="AI10" s="280">
        <f>2464+41153+239</f>
        <v>43856</v>
      </c>
      <c r="AJ10" s="280">
        <f>2465+41358+239</f>
        <v>44062</v>
      </c>
      <c r="AK10" s="280">
        <f>2499+41832+239</f>
        <v>44570</v>
      </c>
      <c r="AL10" s="280">
        <f>2452+41134+239</f>
        <v>43825</v>
      </c>
      <c r="AM10" s="280">
        <f>2446+41114+239</f>
        <v>43799</v>
      </c>
      <c r="AN10" s="280">
        <f>2392+40049+239</f>
        <v>42680</v>
      </c>
      <c r="AO10" s="280">
        <f>SUM(2416,40310,239)</f>
        <v>42965</v>
      </c>
      <c r="AP10" s="280">
        <f>SUM(2424,41470,239)</f>
        <v>44133</v>
      </c>
      <c r="AQ10" s="280">
        <f>SUM(2434+40842+239)</f>
        <v>43515</v>
      </c>
      <c r="AR10" s="280">
        <f>2435+40660+239</f>
        <v>43334</v>
      </c>
      <c r="AS10" s="280">
        <f>2424+40642+239</f>
        <v>43305</v>
      </c>
      <c r="AT10" s="280">
        <f>2426+40761+239</f>
        <v>43426</v>
      </c>
      <c r="AU10" s="280">
        <f>2468+41249+239</f>
        <v>43956</v>
      </c>
      <c r="AV10" s="280">
        <f>2463+41214+240</f>
        <v>43917</v>
      </c>
      <c r="AW10" s="460">
        <f>2381+39732+240</f>
        <v>42353</v>
      </c>
      <c r="AX10" s="394">
        <f>2454+40517+240</f>
        <v>43211</v>
      </c>
      <c r="AY10" s="394">
        <f>2389+40447+240</f>
        <v>43076</v>
      </c>
      <c r="AZ10" s="394">
        <f>SUM(2330+39599+240)</f>
        <v>42169</v>
      </c>
      <c r="BA10" s="394">
        <v>42175</v>
      </c>
      <c r="BB10" s="394">
        <v>43341</v>
      </c>
      <c r="BC10" s="394">
        <f>2329+40518+240</f>
        <v>43087</v>
      </c>
      <c r="BD10" s="394">
        <f>(2317+40000+239)</f>
        <v>42556</v>
      </c>
      <c r="BE10" s="394">
        <f>2326+39945+238</f>
        <v>42509</v>
      </c>
      <c r="BF10" s="394">
        <f>2322+40238+238</f>
        <v>42798</v>
      </c>
      <c r="BG10" s="278"/>
      <c r="BH10" s="391"/>
      <c r="BI10" s="460">
        <f t="shared" ref="BI10:BI15" si="0">AW10-AK10</f>
        <v>-2217</v>
      </c>
      <c r="BJ10" s="394">
        <f t="shared" ref="BJ10:BJ15" si="1">AX10-AL10</f>
        <v>-614</v>
      </c>
      <c r="BK10" s="394">
        <f t="shared" ref="BK10:BK15" si="2">AY10-AM10</f>
        <v>-723</v>
      </c>
      <c r="BL10" s="394">
        <f t="shared" ref="BL10:BO15" si="3">AZ10-AN10</f>
        <v>-511</v>
      </c>
      <c r="BM10" s="394">
        <f t="shared" si="3"/>
        <v>-790</v>
      </c>
      <c r="BN10" s="394">
        <f t="shared" si="3"/>
        <v>-792</v>
      </c>
      <c r="BO10" s="394">
        <f t="shared" si="3"/>
        <v>-428</v>
      </c>
      <c r="BP10" s="394">
        <f t="shared" ref="BP10:BP15" si="4">BD10-AR10</f>
        <v>-778</v>
      </c>
      <c r="BQ10" s="394">
        <f t="shared" ref="BQ10:BQ15" si="5">BE10-AS10</f>
        <v>-796</v>
      </c>
      <c r="BR10" s="394">
        <f t="shared" ref="BR10:BR15" si="6">BF10-AT10</f>
        <v>-628</v>
      </c>
      <c r="BS10" s="278"/>
      <c r="BT10" s="391"/>
    </row>
    <row r="11" spans="1:72" x14ac:dyDescent="0.25">
      <c r="A11" s="341"/>
      <c r="B11" s="390" t="s">
        <v>36</v>
      </c>
      <c r="C11" s="429">
        <v>10386</v>
      </c>
      <c r="D11" s="280">
        <v>10646</v>
      </c>
      <c r="E11" s="280">
        <v>10604</v>
      </c>
      <c r="F11" s="280">
        <v>9763</v>
      </c>
      <c r="G11" s="280">
        <v>9843</v>
      </c>
      <c r="H11" s="280">
        <v>9767</v>
      </c>
      <c r="I11" s="280">
        <v>9634</v>
      </c>
      <c r="J11" s="280">
        <v>9788</v>
      </c>
      <c r="K11" s="280">
        <v>10029</v>
      </c>
      <c r="L11" s="430">
        <v>10105</v>
      </c>
      <c r="M11" s="429">
        <v>10253</v>
      </c>
      <c r="N11" s="280">
        <v>10308</v>
      </c>
      <c r="O11" s="280">
        <v>10359</v>
      </c>
      <c r="P11" s="280">
        <f>326+10246</f>
        <v>10572</v>
      </c>
      <c r="Q11" s="280">
        <f>326+10188</f>
        <v>10514</v>
      </c>
      <c r="R11" s="280">
        <f>295+9063</f>
        <v>9358</v>
      </c>
      <c r="S11" s="280">
        <f>314+9545</f>
        <v>9859</v>
      </c>
      <c r="T11" s="280">
        <f>322+9544</f>
        <v>9866</v>
      </c>
      <c r="U11" s="280">
        <f>326+9593</f>
        <v>9919</v>
      </c>
      <c r="V11" s="280">
        <f>342+9794</f>
        <v>10136</v>
      </c>
      <c r="W11" s="280">
        <f>317+9657</f>
        <v>9974</v>
      </c>
      <c r="X11" s="430">
        <f>317+9732</f>
        <v>10049</v>
      </c>
      <c r="Y11" s="280">
        <f>323+9775</f>
        <v>10098</v>
      </c>
      <c r="Z11" s="280">
        <f>337+9936</f>
        <v>10273</v>
      </c>
      <c r="AA11" s="280">
        <f>334+9962</f>
        <v>10296</v>
      </c>
      <c r="AB11" s="280">
        <f>343+10397</f>
        <v>10740</v>
      </c>
      <c r="AC11" s="280">
        <v>10716</v>
      </c>
      <c r="AD11" s="280">
        <f>204+8785</f>
        <v>8989</v>
      </c>
      <c r="AE11" s="280">
        <f>284+9909</f>
        <v>10193</v>
      </c>
      <c r="AF11" s="280">
        <f>279+9931</f>
        <v>10210</v>
      </c>
      <c r="AG11" s="280">
        <f>276+9936</f>
        <v>10212</v>
      </c>
      <c r="AH11" s="280">
        <f>266+10035</f>
        <v>10301</v>
      </c>
      <c r="AI11" s="280">
        <f>264+10069</f>
        <v>10333</v>
      </c>
      <c r="AJ11" s="280">
        <f>267+10094</f>
        <v>10361</v>
      </c>
      <c r="AK11" s="280">
        <f>228+9668</f>
        <v>9896</v>
      </c>
      <c r="AL11" s="280">
        <f>269+10338</f>
        <v>10607</v>
      </c>
      <c r="AM11" s="280">
        <f>265+10500</f>
        <v>10765</v>
      </c>
      <c r="AN11" s="280">
        <f>314+11450</f>
        <v>11764</v>
      </c>
      <c r="AO11" s="280">
        <f>SUM(292,11177)</f>
        <v>11469</v>
      </c>
      <c r="AP11" s="280">
        <f>SUM(282,10048)</f>
        <v>10330</v>
      </c>
      <c r="AQ11" s="280">
        <f>SUM(282+10624)</f>
        <v>10906</v>
      </c>
      <c r="AR11" s="280">
        <f>285+10571</f>
        <v>10856</v>
      </c>
      <c r="AS11" s="280">
        <f>283+10555</f>
        <v>10838</v>
      </c>
      <c r="AT11" s="280">
        <f>282+10575</f>
        <v>10857</v>
      </c>
      <c r="AU11" s="280">
        <f>255+10264</f>
        <v>10519</v>
      </c>
      <c r="AV11" s="280">
        <f>262+10415</f>
        <v>10677</v>
      </c>
      <c r="AW11" s="460">
        <f>339+11929</f>
        <v>12268</v>
      </c>
      <c r="AX11" s="394">
        <f>272+11153</f>
        <v>11425</v>
      </c>
      <c r="AY11" s="394">
        <f>330+11323</f>
        <v>11653</v>
      </c>
      <c r="AZ11" s="394">
        <f>SUM(381+11982)</f>
        <v>12363</v>
      </c>
      <c r="BA11" s="394">
        <v>12494</v>
      </c>
      <c r="BB11" s="394">
        <v>11222</v>
      </c>
      <c r="BC11" s="394">
        <f>372+10898</f>
        <v>11270</v>
      </c>
      <c r="BD11" s="394">
        <f>(379+11361)</f>
        <v>11740</v>
      </c>
      <c r="BE11" s="394">
        <f>379+11317</f>
        <v>11696</v>
      </c>
      <c r="BF11" s="394">
        <f>384+11184</f>
        <v>11568</v>
      </c>
      <c r="BG11" s="278"/>
      <c r="BH11" s="391"/>
      <c r="BI11" s="460">
        <f t="shared" si="0"/>
        <v>2372</v>
      </c>
      <c r="BJ11" s="394">
        <f t="shared" si="1"/>
        <v>818</v>
      </c>
      <c r="BK11" s="394">
        <f t="shared" si="2"/>
        <v>888</v>
      </c>
      <c r="BL11" s="394">
        <f t="shared" si="3"/>
        <v>599</v>
      </c>
      <c r="BM11" s="394">
        <f t="shared" si="3"/>
        <v>1025</v>
      </c>
      <c r="BN11" s="394">
        <f t="shared" si="3"/>
        <v>892</v>
      </c>
      <c r="BO11" s="394">
        <f t="shared" si="3"/>
        <v>364</v>
      </c>
      <c r="BP11" s="394">
        <f t="shared" si="4"/>
        <v>884</v>
      </c>
      <c r="BQ11" s="394">
        <f t="shared" si="5"/>
        <v>858</v>
      </c>
      <c r="BR11" s="394">
        <f t="shared" si="6"/>
        <v>711</v>
      </c>
      <c r="BS11" s="278"/>
      <c r="BT11" s="391"/>
    </row>
    <row r="12" spans="1:72" x14ac:dyDescent="0.25">
      <c r="A12" s="341"/>
      <c r="B12" s="390" t="s">
        <v>37</v>
      </c>
      <c r="C12" s="429">
        <v>3745</v>
      </c>
      <c r="D12" s="280">
        <v>3717</v>
      </c>
      <c r="E12" s="280">
        <v>3695</v>
      </c>
      <c r="F12" s="280">
        <v>3673</v>
      </c>
      <c r="G12" s="280">
        <v>3659</v>
      </c>
      <c r="H12" s="280">
        <v>3643</v>
      </c>
      <c r="I12" s="280">
        <v>3642</v>
      </c>
      <c r="J12" s="280">
        <v>3670</v>
      </c>
      <c r="K12" s="280">
        <v>3735</v>
      </c>
      <c r="L12" s="430">
        <v>3788</v>
      </c>
      <c r="M12" s="429">
        <v>3792</v>
      </c>
      <c r="N12" s="280">
        <v>3789</v>
      </c>
      <c r="O12" s="280">
        <v>3780</v>
      </c>
      <c r="P12" s="280">
        <f>3018+569+171+39</f>
        <v>3797</v>
      </c>
      <c r="Q12" s="280">
        <f>3013+569+171+39</f>
        <v>3792</v>
      </c>
      <c r="R12" s="280">
        <f>3001+570+175+38</f>
        <v>3784</v>
      </c>
      <c r="S12" s="280">
        <f>3001+570+174+37</f>
        <v>3782</v>
      </c>
      <c r="T12" s="280">
        <f>2998+570+175+36</f>
        <v>3779</v>
      </c>
      <c r="U12" s="280">
        <f>2981+558+175+37</f>
        <v>3751</v>
      </c>
      <c r="V12" s="280">
        <f>2982+557+174+39</f>
        <v>3752</v>
      </c>
      <c r="W12" s="280">
        <f>2994+559+182+39</f>
        <v>3774</v>
      </c>
      <c r="X12" s="430">
        <f>3022+560+184+39</f>
        <v>3805</v>
      </c>
      <c r="Y12" s="280">
        <f>3027+560+184+39</f>
        <v>3810</v>
      </c>
      <c r="Z12" s="280">
        <f>3036+562+183+39</f>
        <v>3820</v>
      </c>
      <c r="AA12" s="280">
        <f>3031+562+183+39</f>
        <v>3815</v>
      </c>
      <c r="AB12" s="280">
        <f>3025+562+184+40</f>
        <v>3811</v>
      </c>
      <c r="AC12" s="280">
        <f>3595+224</f>
        <v>3819</v>
      </c>
      <c r="AD12" s="280">
        <f>3024+563+180+38</f>
        <v>3805</v>
      </c>
      <c r="AE12" s="280">
        <f>3021+562+180+39</f>
        <v>3802</v>
      </c>
      <c r="AF12" s="280">
        <f>3021+563+180+38</f>
        <v>3802</v>
      </c>
      <c r="AG12" s="280">
        <f>3024+565+180+38</f>
        <v>3807</v>
      </c>
      <c r="AH12" s="280">
        <f>3025+562+180+38</f>
        <v>3805</v>
      </c>
      <c r="AI12" s="280">
        <f>3067+570+178+39</f>
        <v>3854</v>
      </c>
      <c r="AJ12" s="280">
        <f>3075+571+173+40</f>
        <v>3859</v>
      </c>
      <c r="AK12" s="280">
        <f>3084+568+177+39</f>
        <v>3868</v>
      </c>
      <c r="AL12" s="280">
        <f>3076+566+179+41</f>
        <v>3862</v>
      </c>
      <c r="AM12" s="280">
        <f>3084+572+178+40</f>
        <v>3874</v>
      </c>
      <c r="AN12" s="280">
        <f>3070+571+178+40</f>
        <v>3859</v>
      </c>
      <c r="AO12" s="280">
        <f>SUM(3062,573,177,40)</f>
        <v>3852</v>
      </c>
      <c r="AP12" s="280">
        <f>SUM(3040,573,178,44)</f>
        <v>3835</v>
      </c>
      <c r="AQ12" s="280">
        <f>SUM(3032+569+177+41)</f>
        <v>3819</v>
      </c>
      <c r="AR12" s="280">
        <f>3021+573+177+40</f>
        <v>3811</v>
      </c>
      <c r="AS12" s="280">
        <f>3003+573+176+40</f>
        <v>3792</v>
      </c>
      <c r="AT12" s="280">
        <f>3004+575+178+40</f>
        <v>3797</v>
      </c>
      <c r="AU12" s="280">
        <f>3049+579+178+40</f>
        <v>3846</v>
      </c>
      <c r="AV12" s="280">
        <f>3050+574+178+41</f>
        <v>3843</v>
      </c>
      <c r="AW12" s="460">
        <f>3067+574+179+41</f>
        <v>3861</v>
      </c>
      <c r="AX12" s="394">
        <f>3074+572+178+41</f>
        <v>3865</v>
      </c>
      <c r="AY12" s="394">
        <f>3071+569+178+42</f>
        <v>3860</v>
      </c>
      <c r="AZ12" s="394">
        <f>SUM(3062+566+180+42)</f>
        <v>3850</v>
      </c>
      <c r="BA12" s="394">
        <v>3804</v>
      </c>
      <c r="BB12" s="394">
        <v>3766</v>
      </c>
      <c r="BC12" s="394">
        <f>2966+558+180+44</f>
        <v>3748</v>
      </c>
      <c r="BD12" s="394">
        <f>(2953+556+181+43)</f>
        <v>3733</v>
      </c>
      <c r="BE12" s="394">
        <f>2933+564+183+43</f>
        <v>3723</v>
      </c>
      <c r="BF12" s="394">
        <f>2940+562+181+43</f>
        <v>3726</v>
      </c>
      <c r="BG12" s="278"/>
      <c r="BH12" s="391"/>
      <c r="BI12" s="460">
        <f t="shared" si="0"/>
        <v>-7</v>
      </c>
      <c r="BJ12" s="394">
        <f t="shared" si="1"/>
        <v>3</v>
      </c>
      <c r="BK12" s="394">
        <f t="shared" si="2"/>
        <v>-14</v>
      </c>
      <c r="BL12" s="394">
        <f t="shared" si="3"/>
        <v>-9</v>
      </c>
      <c r="BM12" s="394">
        <f t="shared" si="3"/>
        <v>-48</v>
      </c>
      <c r="BN12" s="394">
        <f t="shared" si="3"/>
        <v>-69</v>
      </c>
      <c r="BO12" s="394">
        <f t="shared" si="3"/>
        <v>-71</v>
      </c>
      <c r="BP12" s="394">
        <f t="shared" si="4"/>
        <v>-78</v>
      </c>
      <c r="BQ12" s="394">
        <f t="shared" si="5"/>
        <v>-69</v>
      </c>
      <c r="BR12" s="394">
        <f t="shared" si="6"/>
        <v>-71</v>
      </c>
      <c r="BS12" s="278"/>
      <c r="BT12" s="391"/>
    </row>
    <row r="13" spans="1:72" x14ac:dyDescent="0.25">
      <c r="A13" s="341"/>
      <c r="B13" s="390" t="s">
        <v>38</v>
      </c>
      <c r="C13" s="429">
        <v>543</v>
      </c>
      <c r="D13" s="280">
        <v>543</v>
      </c>
      <c r="E13" s="280">
        <v>542</v>
      </c>
      <c r="F13" s="280">
        <v>541</v>
      </c>
      <c r="G13" s="280">
        <v>542</v>
      </c>
      <c r="H13" s="280">
        <v>542</v>
      </c>
      <c r="I13" s="280">
        <v>527</v>
      </c>
      <c r="J13" s="280">
        <v>431</v>
      </c>
      <c r="K13" s="280">
        <v>532</v>
      </c>
      <c r="L13" s="430">
        <v>536</v>
      </c>
      <c r="M13" s="429">
        <v>540</v>
      </c>
      <c r="N13" s="280">
        <v>541</v>
      </c>
      <c r="O13" s="280">
        <v>542</v>
      </c>
      <c r="P13" s="280">
        <f>220+107+148+66</f>
        <v>541</v>
      </c>
      <c r="Q13" s="280">
        <f>220+109+148+66</f>
        <v>543</v>
      </c>
      <c r="R13" s="280">
        <f>218+113+149+62</f>
        <v>542</v>
      </c>
      <c r="S13" s="280">
        <f>220+116+148+59</f>
        <v>543</v>
      </c>
      <c r="T13" s="280">
        <f>217+116+152+59</f>
        <v>544</v>
      </c>
      <c r="U13" s="280">
        <f>206+114+147+60</f>
        <v>527</v>
      </c>
      <c r="V13" s="280">
        <f>210+115+150+60</f>
        <v>535</v>
      </c>
      <c r="W13" s="280">
        <f>211+116+150+60</f>
        <v>537</v>
      </c>
      <c r="X13" s="430">
        <f>117+149+59+214</f>
        <v>539</v>
      </c>
      <c r="Y13" s="280">
        <f>215+118+148+58</f>
        <v>539</v>
      </c>
      <c r="Z13" s="280">
        <f>116+148+59+215</f>
        <v>538</v>
      </c>
      <c r="AA13" s="280">
        <f>116+148+216+59</f>
        <v>539</v>
      </c>
      <c r="AB13" s="280">
        <f>216+112+148+65</f>
        <v>541</v>
      </c>
      <c r="AC13" s="280">
        <v>542</v>
      </c>
      <c r="AD13" s="280">
        <f>222+115+143+64</f>
        <v>544</v>
      </c>
      <c r="AE13" s="280">
        <f>222+110+143+68</f>
        <v>543</v>
      </c>
      <c r="AF13" s="280">
        <f>222+109+143+69</f>
        <v>543</v>
      </c>
      <c r="AG13" s="280">
        <f>223+109+143+69</f>
        <v>544</v>
      </c>
      <c r="AH13" s="280">
        <f>223+109+143+69</f>
        <v>544</v>
      </c>
      <c r="AI13" s="280">
        <f>222+109+144+69</f>
        <v>544</v>
      </c>
      <c r="AJ13" s="280">
        <f>222+111+144+67</f>
        <v>544</v>
      </c>
      <c r="AK13" s="280">
        <f>227+111+143+67</f>
        <v>548</v>
      </c>
      <c r="AL13" s="280">
        <f>226+112+145+67</f>
        <v>550</v>
      </c>
      <c r="AM13" s="280">
        <f>227+110+145+67</f>
        <v>549</v>
      </c>
      <c r="AN13" s="280">
        <f>225+110+146+67</f>
        <v>548</v>
      </c>
      <c r="AO13" s="280">
        <f>SUM(224,110,148,68)</f>
        <v>550</v>
      </c>
      <c r="AP13" s="280">
        <f>SUM(221,109,161,68)</f>
        <v>559</v>
      </c>
      <c r="AQ13" s="280">
        <f>SUM(219+111+148+68)</f>
        <v>546</v>
      </c>
      <c r="AR13" s="280">
        <f>221+108+147+69</f>
        <v>545</v>
      </c>
      <c r="AS13" s="280">
        <f>217+107+147+69</f>
        <v>540</v>
      </c>
      <c r="AT13" s="280">
        <f>215+109+150+69</f>
        <v>543</v>
      </c>
      <c r="AU13" s="280">
        <f>213+106+151+69</f>
        <v>539</v>
      </c>
      <c r="AV13" s="280">
        <f>210+108+152+68</f>
        <v>538</v>
      </c>
      <c r="AW13" s="460">
        <f>212+110+151+41</f>
        <v>514</v>
      </c>
      <c r="AX13" s="394">
        <f>210+110+151+67</f>
        <v>538</v>
      </c>
      <c r="AY13" s="394">
        <f>210+107+151+69</f>
        <v>537</v>
      </c>
      <c r="AZ13" s="394">
        <f>SUM(210+107+151+69)</f>
        <v>537</v>
      </c>
      <c r="BA13" s="394">
        <v>537</v>
      </c>
      <c r="BB13" s="394">
        <v>535</v>
      </c>
      <c r="BC13" s="394">
        <f>209+105+152+70</f>
        <v>536</v>
      </c>
      <c r="BD13" s="394">
        <f>(208+104+152+70)</f>
        <v>534</v>
      </c>
      <c r="BE13" s="394">
        <f>208+102+157+70</f>
        <v>537</v>
      </c>
      <c r="BF13" s="394">
        <f>208+105+151+70</f>
        <v>534</v>
      </c>
      <c r="BG13" s="278"/>
      <c r="BH13" s="391"/>
      <c r="BI13" s="460">
        <f t="shared" si="0"/>
        <v>-34</v>
      </c>
      <c r="BJ13" s="394">
        <f t="shared" si="1"/>
        <v>-12</v>
      </c>
      <c r="BK13" s="394">
        <f t="shared" si="2"/>
        <v>-12</v>
      </c>
      <c r="BL13" s="394">
        <f t="shared" si="3"/>
        <v>-11</v>
      </c>
      <c r="BM13" s="394">
        <f t="shared" si="3"/>
        <v>-13</v>
      </c>
      <c r="BN13" s="394">
        <f t="shared" si="3"/>
        <v>-24</v>
      </c>
      <c r="BO13" s="394">
        <f t="shared" si="3"/>
        <v>-10</v>
      </c>
      <c r="BP13" s="394">
        <f t="shared" si="4"/>
        <v>-11</v>
      </c>
      <c r="BQ13" s="394">
        <f t="shared" si="5"/>
        <v>-3</v>
      </c>
      <c r="BR13" s="394">
        <f t="shared" si="6"/>
        <v>-9</v>
      </c>
      <c r="BS13" s="278"/>
      <c r="BT13" s="391"/>
    </row>
    <row r="14" spans="1:72" x14ac:dyDescent="0.25">
      <c r="A14" s="341"/>
      <c r="B14" s="390" t="s">
        <v>39</v>
      </c>
      <c r="C14" s="429">
        <v>17</v>
      </c>
      <c r="D14" s="280">
        <v>17</v>
      </c>
      <c r="E14" s="280">
        <v>17</v>
      </c>
      <c r="F14" s="280">
        <v>17</v>
      </c>
      <c r="G14" s="280">
        <v>17</v>
      </c>
      <c r="H14" s="280">
        <v>17</v>
      </c>
      <c r="I14" s="280">
        <v>16</v>
      </c>
      <c r="J14" s="280">
        <v>16</v>
      </c>
      <c r="K14" s="280">
        <v>16</v>
      </c>
      <c r="L14" s="430">
        <v>17</v>
      </c>
      <c r="M14" s="429">
        <v>18</v>
      </c>
      <c r="N14" s="280">
        <v>18</v>
      </c>
      <c r="O14" s="280">
        <v>18</v>
      </c>
      <c r="P14" s="280">
        <f>2+2+4+10</f>
        <v>18</v>
      </c>
      <c r="Q14" s="280">
        <f>2+2+4+10</f>
        <v>18</v>
      </c>
      <c r="R14" s="280">
        <f>2+2+4+10</f>
        <v>18</v>
      </c>
      <c r="S14" s="280">
        <f>2+2+4+10</f>
        <v>18</v>
      </c>
      <c r="T14" s="280">
        <f>4+2+3+10</f>
        <v>19</v>
      </c>
      <c r="U14" s="280">
        <f>2+2+4+11</f>
        <v>19</v>
      </c>
      <c r="V14" s="280">
        <f>2+2+3+11</f>
        <v>18</v>
      </c>
      <c r="W14" s="280">
        <f>2+2+3+11</f>
        <v>18</v>
      </c>
      <c r="X14" s="430">
        <v>19</v>
      </c>
      <c r="Y14" s="280">
        <f>2+3+3+11</f>
        <v>19</v>
      </c>
      <c r="Z14" s="280">
        <f>3+2+3+11</f>
        <v>19</v>
      </c>
      <c r="AA14" s="280">
        <f>6+14</f>
        <v>20</v>
      </c>
      <c r="AB14" s="280">
        <f>5+14</f>
        <v>19</v>
      </c>
      <c r="AC14" s="280">
        <v>20</v>
      </c>
      <c r="AD14" s="280">
        <f>3+3+3+10</f>
        <v>19</v>
      </c>
      <c r="AE14" s="280">
        <f>6+13</f>
        <v>19</v>
      </c>
      <c r="AF14" s="280">
        <f>6+13</f>
        <v>19</v>
      </c>
      <c r="AG14" s="280">
        <f>6+13</f>
        <v>19</v>
      </c>
      <c r="AH14" s="280">
        <f>6+13</f>
        <v>19</v>
      </c>
      <c r="AI14" s="280">
        <f>5+13</f>
        <v>18</v>
      </c>
      <c r="AJ14" s="280">
        <f>3+4+13</f>
        <v>20</v>
      </c>
      <c r="AK14" s="280">
        <f>7+13</f>
        <v>20</v>
      </c>
      <c r="AL14" s="280">
        <f>8+13</f>
        <v>21</v>
      </c>
      <c r="AM14" s="280">
        <f>5+13</f>
        <v>18</v>
      </c>
      <c r="AN14" s="280">
        <f>13+6</f>
        <v>19</v>
      </c>
      <c r="AO14" s="280">
        <f>SUM(3,4,3,10)</f>
        <v>20</v>
      </c>
      <c r="AP14" s="280">
        <f>SUM(3,0,3,10)</f>
        <v>16</v>
      </c>
      <c r="AQ14" s="280">
        <f>SUM(3+4+3+10)</f>
        <v>20</v>
      </c>
      <c r="AR14" s="280">
        <f>3+4+13</f>
        <v>20</v>
      </c>
      <c r="AS14" s="280">
        <f>3+4+3+10</f>
        <v>20</v>
      </c>
      <c r="AT14" s="280">
        <f>3+4+3+10</f>
        <v>20</v>
      </c>
      <c r="AU14" s="280">
        <f>3+3+14</f>
        <v>20</v>
      </c>
      <c r="AV14" s="280">
        <f>3+2+3+11</f>
        <v>19</v>
      </c>
      <c r="AW14" s="460">
        <f>3+2+3+11</f>
        <v>19</v>
      </c>
      <c r="AX14" s="394">
        <f>3+2+3+11</f>
        <v>19</v>
      </c>
      <c r="AY14" s="394">
        <f>3+2+3+11</f>
        <v>19</v>
      </c>
      <c r="AZ14" s="394">
        <f>SUM(3+2+3+11)</f>
        <v>19</v>
      </c>
      <c r="BA14" s="394">
        <v>19</v>
      </c>
      <c r="BB14" s="394">
        <v>19</v>
      </c>
      <c r="BC14" s="394">
        <f>5+3+11</f>
        <v>19</v>
      </c>
      <c r="BD14" s="394">
        <f>(3+2+3+11)</f>
        <v>19</v>
      </c>
      <c r="BE14" s="394">
        <f>5+14</f>
        <v>19</v>
      </c>
      <c r="BF14" s="394">
        <f>3+2+3+11</f>
        <v>19</v>
      </c>
      <c r="BG14" s="278"/>
      <c r="BH14" s="391"/>
      <c r="BI14" s="460">
        <f t="shared" si="0"/>
        <v>-1</v>
      </c>
      <c r="BJ14" s="394">
        <f t="shared" si="1"/>
        <v>-2</v>
      </c>
      <c r="BK14" s="394">
        <f t="shared" si="2"/>
        <v>1</v>
      </c>
      <c r="BL14" s="394">
        <f t="shared" si="3"/>
        <v>0</v>
      </c>
      <c r="BM14" s="394">
        <f t="shared" si="3"/>
        <v>-1</v>
      </c>
      <c r="BN14" s="394">
        <f t="shared" si="3"/>
        <v>3</v>
      </c>
      <c r="BO14" s="394">
        <f t="shared" si="3"/>
        <v>-1</v>
      </c>
      <c r="BP14" s="394">
        <f t="shared" si="4"/>
        <v>-1</v>
      </c>
      <c r="BQ14" s="394">
        <f t="shared" si="5"/>
        <v>-1</v>
      </c>
      <c r="BR14" s="394">
        <f t="shared" si="6"/>
        <v>-1</v>
      </c>
      <c r="BS14" s="278"/>
      <c r="BT14" s="391"/>
    </row>
    <row r="15" spans="1:72" ht="15.75" thickBot="1" x14ac:dyDescent="0.3">
      <c r="A15" s="341"/>
      <c r="B15" s="392" t="s">
        <v>40</v>
      </c>
      <c r="C15" s="447">
        <f t="shared" ref="C15:AC15" si="7">SUM(C10:C14)</f>
        <v>56784</v>
      </c>
      <c r="D15" s="407">
        <f t="shared" si="7"/>
        <v>56340</v>
      </c>
      <c r="E15" s="407">
        <f t="shared" si="7"/>
        <v>56172</v>
      </c>
      <c r="F15" s="407">
        <f t="shared" si="7"/>
        <v>56201</v>
      </c>
      <c r="G15" s="407">
        <f t="shared" si="7"/>
        <v>56028</v>
      </c>
      <c r="H15" s="407">
        <f t="shared" si="7"/>
        <v>55885</v>
      </c>
      <c r="I15" s="407">
        <f t="shared" si="7"/>
        <v>55893</v>
      </c>
      <c r="J15" s="407">
        <f t="shared" si="7"/>
        <v>55921</v>
      </c>
      <c r="K15" s="407">
        <f t="shared" si="7"/>
        <v>56579</v>
      </c>
      <c r="L15" s="393">
        <f t="shared" si="7"/>
        <v>56965</v>
      </c>
      <c r="M15" s="447">
        <f t="shared" si="7"/>
        <v>57024</v>
      </c>
      <c r="N15" s="407">
        <f t="shared" si="7"/>
        <v>57103</v>
      </c>
      <c r="O15" s="407">
        <f t="shared" si="7"/>
        <v>57109</v>
      </c>
      <c r="P15" s="407">
        <f t="shared" si="7"/>
        <v>57241</v>
      </c>
      <c r="Q15" s="407">
        <f t="shared" si="7"/>
        <v>57313</v>
      </c>
      <c r="R15" s="407">
        <f t="shared" si="7"/>
        <v>57379</v>
      </c>
      <c r="S15" s="407">
        <f t="shared" si="7"/>
        <v>57421</v>
      </c>
      <c r="T15" s="407">
        <f t="shared" si="7"/>
        <v>57519</v>
      </c>
      <c r="U15" s="407">
        <f t="shared" si="7"/>
        <v>57571</v>
      </c>
      <c r="V15" s="407">
        <f t="shared" si="7"/>
        <v>57609</v>
      </c>
      <c r="W15" s="407">
        <f t="shared" si="7"/>
        <v>57707</v>
      </c>
      <c r="X15" s="393">
        <f t="shared" si="7"/>
        <v>57860</v>
      </c>
      <c r="Y15" s="407">
        <f t="shared" si="7"/>
        <v>57910</v>
      </c>
      <c r="Z15" s="407">
        <f t="shared" si="7"/>
        <v>58001</v>
      </c>
      <c r="AA15" s="407">
        <f t="shared" si="7"/>
        <v>58029</v>
      </c>
      <c r="AB15" s="407">
        <f t="shared" si="7"/>
        <v>58035</v>
      </c>
      <c r="AC15" s="407">
        <f t="shared" si="7"/>
        <v>58403</v>
      </c>
      <c r="AD15" s="407">
        <f t="shared" ref="AD15:AI15" si="8">SUM(AD10:AD14)</f>
        <v>58469</v>
      </c>
      <c r="AE15" s="407">
        <f t="shared" si="8"/>
        <v>58419</v>
      </c>
      <c r="AF15" s="407">
        <f t="shared" si="8"/>
        <v>58388</v>
      </c>
      <c r="AG15" s="407">
        <f t="shared" si="8"/>
        <v>58413</v>
      </c>
      <c r="AH15" s="407">
        <f t="shared" si="8"/>
        <v>58431</v>
      </c>
      <c r="AI15" s="407">
        <f t="shared" si="8"/>
        <v>58605</v>
      </c>
      <c r="AJ15" s="407">
        <f>SUM(AJ10:AJ14)</f>
        <v>58846</v>
      </c>
      <c r="AK15" s="407">
        <f>SUM(AK10:AK14)</f>
        <v>58902</v>
      </c>
      <c r="AL15" s="407">
        <f>SUM(AL10:AL14)</f>
        <v>58865</v>
      </c>
      <c r="AM15" s="407">
        <f t="shared" ref="AM15:AR15" si="9">SUM(AM10:AM14)</f>
        <v>59005</v>
      </c>
      <c r="AN15" s="407">
        <f t="shared" si="9"/>
        <v>58870</v>
      </c>
      <c r="AO15" s="407">
        <f t="shared" si="9"/>
        <v>58856</v>
      </c>
      <c r="AP15" s="407">
        <f t="shared" si="9"/>
        <v>58873</v>
      </c>
      <c r="AQ15" s="407">
        <f t="shared" si="9"/>
        <v>58806</v>
      </c>
      <c r="AR15" s="407">
        <f t="shared" si="9"/>
        <v>58566</v>
      </c>
      <c r="AS15" s="407">
        <f t="shared" ref="AS15:AX15" si="10">SUM(AS10:AS14)</f>
        <v>58495</v>
      </c>
      <c r="AT15" s="407">
        <f t="shared" si="10"/>
        <v>58643</v>
      </c>
      <c r="AU15" s="407">
        <f t="shared" si="10"/>
        <v>58880</v>
      </c>
      <c r="AV15" s="407">
        <f t="shared" si="10"/>
        <v>58994</v>
      </c>
      <c r="AW15" s="461">
        <f t="shared" si="10"/>
        <v>59015</v>
      </c>
      <c r="AX15" s="396">
        <f t="shared" si="10"/>
        <v>59058</v>
      </c>
      <c r="AY15" s="408">
        <f t="shared" ref="AY15:BD15" si="11">SUM(AY10:AY14)</f>
        <v>59145</v>
      </c>
      <c r="AZ15" s="408">
        <f t="shared" si="11"/>
        <v>58938</v>
      </c>
      <c r="BA15" s="408">
        <f t="shared" si="11"/>
        <v>59029</v>
      </c>
      <c r="BB15" s="408">
        <f t="shared" si="11"/>
        <v>58883</v>
      </c>
      <c r="BC15" s="396">
        <f t="shared" si="11"/>
        <v>58660</v>
      </c>
      <c r="BD15" s="396">
        <f t="shared" si="11"/>
        <v>58582</v>
      </c>
      <c r="BE15" s="396">
        <f>SUM(BE10:BE14)</f>
        <v>58484</v>
      </c>
      <c r="BF15" s="396">
        <f>SUM(BF10:BF14)</f>
        <v>58645</v>
      </c>
      <c r="BG15" s="375"/>
      <c r="BH15" s="448"/>
      <c r="BI15" s="460">
        <f t="shared" si="0"/>
        <v>113</v>
      </c>
      <c r="BJ15" s="396">
        <f t="shared" si="1"/>
        <v>193</v>
      </c>
      <c r="BK15" s="408">
        <f t="shared" si="2"/>
        <v>140</v>
      </c>
      <c r="BL15" s="408">
        <f t="shared" si="3"/>
        <v>68</v>
      </c>
      <c r="BM15" s="408">
        <f t="shared" si="3"/>
        <v>173</v>
      </c>
      <c r="BN15" s="408">
        <f t="shared" si="3"/>
        <v>10</v>
      </c>
      <c r="BO15" s="408">
        <f t="shared" si="3"/>
        <v>-146</v>
      </c>
      <c r="BP15" s="408">
        <f t="shared" si="4"/>
        <v>16</v>
      </c>
      <c r="BQ15" s="408">
        <f t="shared" si="5"/>
        <v>-11</v>
      </c>
      <c r="BR15" s="408">
        <f t="shared" si="6"/>
        <v>2</v>
      </c>
      <c r="BS15" s="375"/>
      <c r="BT15" s="448"/>
    </row>
    <row r="16" spans="1:72" x14ac:dyDescent="0.25">
      <c r="A16" s="341">
        <f>+A9+1</f>
        <v>2</v>
      </c>
      <c r="B16" s="387" t="s">
        <v>18</v>
      </c>
      <c r="C16" s="443"/>
      <c r="D16" s="410"/>
      <c r="E16" s="410"/>
      <c r="F16" s="410"/>
      <c r="G16" s="410"/>
      <c r="H16" s="410"/>
      <c r="I16" s="410"/>
      <c r="J16" s="410"/>
      <c r="K16" s="410"/>
      <c r="L16" s="411"/>
      <c r="M16" s="443"/>
      <c r="N16" s="410"/>
      <c r="O16" s="410"/>
      <c r="P16" s="410"/>
      <c r="Q16" s="410"/>
      <c r="R16" s="410"/>
      <c r="S16" s="410"/>
      <c r="T16" s="410"/>
      <c r="U16" s="410"/>
      <c r="V16" s="410"/>
      <c r="W16" s="410"/>
      <c r="X16" s="411"/>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59"/>
      <c r="AX16" s="388"/>
      <c r="AY16" s="388"/>
      <c r="AZ16" s="388"/>
      <c r="BA16" s="388"/>
      <c r="BB16" s="388"/>
      <c r="BC16" s="582"/>
      <c r="BD16" s="582"/>
      <c r="BE16" s="582"/>
      <c r="BF16" s="582"/>
      <c r="BG16" s="388"/>
      <c r="BH16" s="389"/>
      <c r="BI16" s="459"/>
      <c r="BJ16" s="388"/>
      <c r="BK16" s="388"/>
      <c r="BL16" s="388"/>
      <c r="BM16" s="388"/>
      <c r="BN16" s="388"/>
      <c r="BO16" s="388"/>
      <c r="BP16" s="388"/>
      <c r="BQ16" s="388"/>
      <c r="BR16" s="388"/>
      <c r="BS16" s="388"/>
      <c r="BT16" s="389"/>
    </row>
    <row r="17" spans="1:72" x14ac:dyDescent="0.25">
      <c r="A17" s="341"/>
      <c r="B17" s="390" t="s">
        <v>35</v>
      </c>
      <c r="C17" s="429">
        <f>C24+C31+C38-2625</f>
        <v>18033</v>
      </c>
      <c r="D17" s="280">
        <f>D24+D31+D38-2955</f>
        <v>18690</v>
      </c>
      <c r="E17" s="280">
        <f>E24+E31+E38-3100</f>
        <v>19349</v>
      </c>
      <c r="F17" s="280">
        <f>F24+F31+F38-4327</f>
        <v>20789</v>
      </c>
      <c r="G17" s="280">
        <f>G24+G31+G38-4738</f>
        <v>19846</v>
      </c>
      <c r="H17" s="280">
        <f>H24+H31+H38-5455</f>
        <v>19505</v>
      </c>
      <c r="I17" s="280">
        <f>I24+I31+I38-5440</f>
        <v>18922</v>
      </c>
      <c r="J17" s="280">
        <f>J24+J31+J38-5082</f>
        <v>17708</v>
      </c>
      <c r="K17" s="280">
        <f>K24+K31+K38-4917</f>
        <v>18029</v>
      </c>
      <c r="L17" s="430">
        <f>L24+L31+L38-4619</f>
        <v>17720</v>
      </c>
      <c r="M17" s="429">
        <f>M24+M31+M38-3846</f>
        <v>17153</v>
      </c>
      <c r="N17" s="280">
        <f>N24+N31+N38-3004</f>
        <v>18000</v>
      </c>
      <c r="O17" s="280">
        <f>O24+O31+O38-3354</f>
        <v>19684</v>
      </c>
      <c r="P17" s="280">
        <f>P24+P31+P38-4547</f>
        <v>20389</v>
      </c>
      <c r="Q17" s="280">
        <f>Q24+Q31+Q38-5469</f>
        <v>21448</v>
      </c>
      <c r="R17" s="280">
        <f>R24+R31+R38-6530</f>
        <v>22002</v>
      </c>
      <c r="S17" s="280">
        <f>S24+S31+S38-6593</f>
        <v>21109</v>
      </c>
      <c r="T17" s="280">
        <f>T24+T31+T38-7086</f>
        <v>21224</v>
      </c>
      <c r="U17" s="280">
        <f>SUM(U24+U31+U38-7083)</f>
        <v>21173</v>
      </c>
      <c r="V17" s="280">
        <f>SUM(V24+V31+V38-6744)</f>
        <v>20211</v>
      </c>
      <c r="W17" s="280">
        <f>SUM(W24+W31+W38-6543)</f>
        <v>21604</v>
      </c>
      <c r="X17" s="430">
        <f>SUM(X24+X31+X38-6217)</f>
        <v>21370</v>
      </c>
      <c r="Y17" s="280">
        <f>SUM(Y24+Y31+Y38-5921)</f>
        <v>20960</v>
      </c>
      <c r="Z17" s="280">
        <f>SUM(Z24+Z31+Z38-5617)</f>
        <v>23066</v>
      </c>
      <c r="AA17" s="280">
        <f>SUM(AA24+AA31+AA38-5618)</f>
        <v>22171</v>
      </c>
      <c r="AB17" s="280">
        <f>SUM(AB24+AB31+AB38-6003)</f>
        <v>22556</v>
      </c>
      <c r="AC17" s="280">
        <f>SUM(AC24+AC31+AC38-6003)</f>
        <v>18926</v>
      </c>
      <c r="AD17" s="280">
        <f>AD24+AD31+AD38</f>
        <v>20930</v>
      </c>
      <c r="AE17" s="280">
        <v>14908</v>
      </c>
      <c r="AF17" s="280">
        <v>9987</v>
      </c>
      <c r="AG17" s="280">
        <f>506+9132+43</f>
        <v>9681</v>
      </c>
      <c r="AH17" s="280">
        <v>9222</v>
      </c>
      <c r="AI17" s="280">
        <v>8806</v>
      </c>
      <c r="AJ17" s="280">
        <f>523+8693+9</f>
        <v>9225</v>
      </c>
      <c r="AK17" s="280">
        <f>504+8043</f>
        <v>8547</v>
      </c>
      <c r="AL17" s="280">
        <f>483+7782+3</f>
        <v>8268</v>
      </c>
      <c r="AM17" s="280">
        <f>500+8864+32</f>
        <v>9396</v>
      </c>
      <c r="AN17" s="280"/>
      <c r="AO17" s="280"/>
      <c r="AP17" s="280">
        <f>698+13499+2</f>
        <v>14199</v>
      </c>
      <c r="AQ17" s="280">
        <f>832+16113+3</f>
        <v>16948</v>
      </c>
      <c r="AR17" s="280">
        <f>880+16707+3</f>
        <v>17590</v>
      </c>
      <c r="AS17" s="280">
        <f>509+8776+2</f>
        <v>9287</v>
      </c>
      <c r="AT17" s="280">
        <f>504+8113+12</f>
        <v>8629</v>
      </c>
      <c r="AU17" s="280">
        <f>508+7951+9</f>
        <v>8468</v>
      </c>
      <c r="AV17" s="280">
        <f>528+8029+4</f>
        <v>8561</v>
      </c>
      <c r="AW17" s="460">
        <f>495+7085+2</f>
        <v>7582</v>
      </c>
      <c r="AX17" s="394">
        <f>509+7559+2</f>
        <v>8070</v>
      </c>
      <c r="AY17" s="394">
        <f>481+7901+4</f>
        <v>8386</v>
      </c>
      <c r="AZ17" s="394">
        <f>SUM(485+8377+2)</f>
        <v>8864</v>
      </c>
      <c r="BA17" s="576">
        <f>SUM(601+12295+2)</f>
        <v>12898</v>
      </c>
      <c r="BB17" s="394">
        <v>16106</v>
      </c>
      <c r="BC17" s="394">
        <f>648+11150+6</f>
        <v>11804</v>
      </c>
      <c r="BD17" s="394">
        <v>7424</v>
      </c>
      <c r="BE17" s="394">
        <v>6820</v>
      </c>
      <c r="BF17" s="394">
        <f>346+5986+4</f>
        <v>6336</v>
      </c>
      <c r="BG17" s="278"/>
      <c r="BH17" s="391"/>
      <c r="BI17" s="460">
        <f t="shared" ref="BI17:BI22" si="12">AW17-AK17</f>
        <v>-965</v>
      </c>
      <c r="BJ17" s="394">
        <f t="shared" ref="BJ17:BJ22" si="13">AX17-AL17</f>
        <v>-198</v>
      </c>
      <c r="BK17" s="394">
        <f t="shared" ref="BK17:BK22" si="14">AY17-AM17</f>
        <v>-1010</v>
      </c>
      <c r="BL17" s="394">
        <f t="shared" ref="BL17:BO22" si="15">AZ17-AN17</f>
        <v>8864</v>
      </c>
      <c r="BM17" s="394">
        <f t="shared" si="15"/>
        <v>12898</v>
      </c>
      <c r="BN17" s="394">
        <f t="shared" si="15"/>
        <v>1907</v>
      </c>
      <c r="BO17" s="394">
        <f t="shared" si="15"/>
        <v>-5144</v>
      </c>
      <c r="BP17" s="394">
        <f t="shared" ref="BP17:BP22" si="16">BD17-AR17</f>
        <v>-10166</v>
      </c>
      <c r="BQ17" s="394">
        <f t="shared" ref="BQ17:BQ22" si="17">BE17-AS17</f>
        <v>-2467</v>
      </c>
      <c r="BR17" s="394">
        <f t="shared" ref="BR17:BR22" si="18">BF17-AT17</f>
        <v>-2293</v>
      </c>
      <c r="BS17" s="278"/>
      <c r="BT17" s="391"/>
    </row>
    <row r="18" spans="1:72" x14ac:dyDescent="0.25">
      <c r="A18" s="341"/>
      <c r="B18" s="390" t="s">
        <v>36</v>
      </c>
      <c r="C18" s="429">
        <f>C25+C32+C39-1801</f>
        <v>6725</v>
      </c>
      <c r="D18" s="280">
        <f>D25+D32+D39-1760</f>
        <v>6639</v>
      </c>
      <c r="E18" s="280">
        <f>E25+E32+E39-1394</f>
        <v>6235</v>
      </c>
      <c r="F18" s="280">
        <f>F25+F32+F39-1883</f>
        <v>8249</v>
      </c>
      <c r="G18" s="280">
        <f>G25+G32+G39-2181</f>
        <v>9665</v>
      </c>
      <c r="H18" s="280">
        <f>H25+H32+H39-3624</f>
        <v>9646</v>
      </c>
      <c r="I18" s="280">
        <f>I25+I32+I39-3698</f>
        <v>9683</v>
      </c>
      <c r="J18" s="280">
        <f>J25+J32+J39-3638</f>
        <v>9661</v>
      </c>
      <c r="K18" s="280">
        <f>K25+K32+K39-3468</f>
        <v>9351</v>
      </c>
      <c r="L18" s="430">
        <f>L25+L32+L39-2742</f>
        <v>7840</v>
      </c>
      <c r="M18" s="429">
        <f>M25+M32+M39-2178</f>
        <v>6416</v>
      </c>
      <c r="N18" s="280">
        <f>N25+N32+N39-1985</f>
        <v>6112</v>
      </c>
      <c r="O18" s="280">
        <f>O25+O32+O39-2010</f>
        <v>5970</v>
      </c>
      <c r="P18" s="280">
        <f>P25+P32+P39-2198</f>
        <v>6796</v>
      </c>
      <c r="Q18" s="280">
        <f>Q25+Q32+Q39-2200</f>
        <v>6965</v>
      </c>
      <c r="R18" s="280">
        <f>R25+R32+R39-1143</f>
        <v>5818</v>
      </c>
      <c r="S18" s="280">
        <f>S25+S32+S39-1043</f>
        <v>7077</v>
      </c>
      <c r="T18" s="280">
        <f>T25+T32+T39-2635</f>
        <v>7691</v>
      </c>
      <c r="U18" s="280">
        <f>SUM(U25+U32+U39-3028)</f>
        <v>8577</v>
      </c>
      <c r="V18" s="280">
        <f>SUM(V25+V32+V39-3248)</f>
        <v>8634</v>
      </c>
      <c r="W18" s="280">
        <f>SUM(W25+W32+W39-3508)</f>
        <v>9448</v>
      </c>
      <c r="X18" s="430">
        <f>SUM(X25+X32+X39-3357)</f>
        <v>9616</v>
      </c>
      <c r="Y18" s="280">
        <f>SUM(Y25+Y32+Y39-3438)</f>
        <v>9997</v>
      </c>
      <c r="Z18" s="280">
        <f>SUM(Z25+Z32+Z39-3212)</f>
        <v>10001</v>
      </c>
      <c r="AA18" s="280">
        <f>SUM(AA25+AA32+AA39-3015)</f>
        <v>8635</v>
      </c>
      <c r="AB18" s="280">
        <f>SUM(AB25+AB32+AB39-2739)</f>
        <v>7745</v>
      </c>
      <c r="AC18" s="280">
        <f>SUM(AC25+AC32+AC39-2739)</f>
        <v>2790</v>
      </c>
      <c r="AD18" s="280">
        <f>AD25+AD32+AD39</f>
        <v>9024</v>
      </c>
      <c r="AE18" s="280">
        <v>4837</v>
      </c>
      <c r="AF18" s="280">
        <v>4183</v>
      </c>
      <c r="AG18" s="280">
        <f>81+3894</f>
        <v>3975</v>
      </c>
      <c r="AH18" s="280">
        <v>4133</v>
      </c>
      <c r="AI18" s="280">
        <v>2431</v>
      </c>
      <c r="AJ18" s="280">
        <f>94+2408</f>
        <v>2502</v>
      </c>
      <c r="AK18" s="280">
        <f>98+2585</f>
        <v>2683</v>
      </c>
      <c r="AL18" s="280">
        <f>88+2502</f>
        <v>2590</v>
      </c>
      <c r="AM18" s="280">
        <f>91+2884</f>
        <v>2975</v>
      </c>
      <c r="AN18" s="280"/>
      <c r="AO18" s="280"/>
      <c r="AP18" s="280">
        <f>110+3623+1</f>
        <v>3734</v>
      </c>
      <c r="AQ18" s="280">
        <f>119+4119+1</f>
        <v>4239</v>
      </c>
      <c r="AR18" s="280">
        <f>131+4326+1</f>
        <v>4458</v>
      </c>
      <c r="AS18" s="280">
        <f>91+3076</f>
        <v>3167</v>
      </c>
      <c r="AT18" s="280">
        <f>89+2873</f>
        <v>2962</v>
      </c>
      <c r="AU18" s="280">
        <f>77+2675</f>
        <v>2752</v>
      </c>
      <c r="AV18" s="280">
        <f>81+2832</f>
        <v>2913</v>
      </c>
      <c r="AW18" s="460">
        <f>116+3358</f>
        <v>3474</v>
      </c>
      <c r="AX18" s="394">
        <f>91+3153</f>
        <v>3244</v>
      </c>
      <c r="AY18" s="394">
        <f>100+3254</f>
        <v>3354</v>
      </c>
      <c r="AZ18" s="394">
        <v>3725</v>
      </c>
      <c r="BA18" s="576">
        <f>SUM(196+8671+1)</f>
        <v>8868</v>
      </c>
      <c r="BB18" s="394">
        <v>4828</v>
      </c>
      <c r="BC18" s="394">
        <f>137+3980</f>
        <v>4117</v>
      </c>
      <c r="BD18" s="394">
        <f>(208+5706+1)</f>
        <v>5915</v>
      </c>
      <c r="BE18" s="394">
        <f>113+3443</f>
        <v>3556</v>
      </c>
      <c r="BF18" s="394">
        <f>109+3343</f>
        <v>3452</v>
      </c>
      <c r="BG18" s="278"/>
      <c r="BH18" s="391"/>
      <c r="BI18" s="460">
        <f t="shared" si="12"/>
        <v>791</v>
      </c>
      <c r="BJ18" s="394">
        <f t="shared" si="13"/>
        <v>654</v>
      </c>
      <c r="BK18" s="394">
        <f t="shared" si="14"/>
        <v>379</v>
      </c>
      <c r="BL18" s="394">
        <f t="shared" si="15"/>
        <v>3725</v>
      </c>
      <c r="BM18" s="394">
        <f t="shared" si="15"/>
        <v>8868</v>
      </c>
      <c r="BN18" s="394">
        <f t="shared" si="15"/>
        <v>1094</v>
      </c>
      <c r="BO18" s="394">
        <f t="shared" si="15"/>
        <v>-122</v>
      </c>
      <c r="BP18" s="394">
        <f t="shared" si="16"/>
        <v>1457</v>
      </c>
      <c r="BQ18" s="394">
        <f t="shared" si="17"/>
        <v>389</v>
      </c>
      <c r="BR18" s="394">
        <f t="shared" si="18"/>
        <v>490</v>
      </c>
      <c r="BS18" s="278"/>
      <c r="BT18" s="391"/>
    </row>
    <row r="19" spans="1:72" x14ac:dyDescent="0.25">
      <c r="A19" s="341"/>
      <c r="B19" s="390" t="s">
        <v>37</v>
      </c>
      <c r="C19" s="429">
        <f>C26+C33+C40-80</f>
        <v>737</v>
      </c>
      <c r="D19" s="280">
        <f>D26+D33+D40-87</f>
        <v>815</v>
      </c>
      <c r="E19" s="280">
        <f>E26+E33+E40-125</f>
        <v>854</v>
      </c>
      <c r="F19" s="280">
        <f>F26+F33+F40-114</f>
        <v>899</v>
      </c>
      <c r="G19" s="280">
        <f>G26+G33+G40-133</f>
        <v>860</v>
      </c>
      <c r="H19" s="280">
        <f>H26+H33+H40-158</f>
        <v>909</v>
      </c>
      <c r="I19" s="280">
        <f>I26+I33+I40-171</f>
        <v>824</v>
      </c>
      <c r="J19" s="280">
        <f>J26+J33+J40-134</f>
        <v>667</v>
      </c>
      <c r="K19" s="280">
        <f>K26+K33+K40-138</f>
        <v>737</v>
      </c>
      <c r="L19" s="430">
        <f>L26+L33+L40-132</f>
        <v>703</v>
      </c>
      <c r="M19" s="429">
        <f>M26+M33+M40-118</f>
        <v>762</v>
      </c>
      <c r="N19" s="280">
        <f>N26+N33+N40-78</f>
        <v>852</v>
      </c>
      <c r="O19" s="280">
        <f>O26+O33+O40-101</f>
        <v>815</v>
      </c>
      <c r="P19" s="280">
        <f>P26+P33+P40-158</f>
        <v>1186</v>
      </c>
      <c r="Q19" s="280">
        <f>Q26+Q33+Q40-228</f>
        <v>1439</v>
      </c>
      <c r="R19" s="280">
        <f>R26+R33+R40-245</f>
        <v>1081</v>
      </c>
      <c r="S19" s="280">
        <f>S26+S33+S40-252</f>
        <v>928</v>
      </c>
      <c r="T19" s="280">
        <f>T26+T33+T40-222</f>
        <v>917</v>
      </c>
      <c r="U19" s="280">
        <f>SUM(U26+U33+U40-196)</f>
        <v>873</v>
      </c>
      <c r="V19" s="280">
        <f>SUM(V26+V33+V40-194)</f>
        <v>907</v>
      </c>
      <c r="W19" s="280">
        <f>SUM(W26+W33+W40-203)</f>
        <v>1079</v>
      </c>
      <c r="X19" s="430">
        <f>SUM(X26+X33+X40-206)</f>
        <v>1077</v>
      </c>
      <c r="Y19" s="280">
        <f>SUM(Y26+Y33+Y40-194)</f>
        <v>1077</v>
      </c>
      <c r="Z19" s="280">
        <f>SUM(Z26+Z33+Z40-167)</f>
        <v>1228</v>
      </c>
      <c r="AA19" s="280">
        <f>SUM(AA26+AA33+AA40-139)</f>
        <v>909</v>
      </c>
      <c r="AB19" s="280">
        <f>SUM(AB26+AB33+AB40-158)</f>
        <v>907</v>
      </c>
      <c r="AC19" s="280">
        <f>SUM(AC26+AC33+AC40-158)</f>
        <v>674</v>
      </c>
      <c r="AD19" s="280">
        <f>AD26+AD33+AD40</f>
        <v>901</v>
      </c>
      <c r="AE19" s="280">
        <v>765</v>
      </c>
      <c r="AF19" s="280">
        <v>444</v>
      </c>
      <c r="AG19" s="280">
        <v>413</v>
      </c>
      <c r="AH19" s="280">
        <v>375</v>
      </c>
      <c r="AI19" s="280">
        <v>374</v>
      </c>
      <c r="AJ19" s="280">
        <v>371</v>
      </c>
      <c r="AK19" s="280">
        <v>362</v>
      </c>
      <c r="AL19" s="280">
        <f>282+47+4+4</f>
        <v>337</v>
      </c>
      <c r="AM19" s="280">
        <v>400</v>
      </c>
      <c r="AN19" s="280"/>
      <c r="AO19" s="280"/>
      <c r="AP19" s="280">
        <f>453+88+4+3</f>
        <v>548</v>
      </c>
      <c r="AQ19" s="280">
        <f>601+125+74+17</f>
        <v>817</v>
      </c>
      <c r="AR19" s="280">
        <f>631+128+4+10</f>
        <v>773</v>
      </c>
      <c r="AS19" s="280">
        <f>368+68+3+6</f>
        <v>445</v>
      </c>
      <c r="AT19" s="280">
        <f>326+63+2+5</f>
        <v>396</v>
      </c>
      <c r="AU19" s="280">
        <f>317+64+2+5</f>
        <v>388</v>
      </c>
      <c r="AV19" s="280">
        <f>315+63+2+3</f>
        <v>383</v>
      </c>
      <c r="AW19" s="460">
        <f>286+72+1+3</f>
        <v>362</v>
      </c>
      <c r="AX19" s="394">
        <f>304+80+3</f>
        <v>387</v>
      </c>
      <c r="AY19" s="394">
        <f>279+65+41+8</f>
        <v>393</v>
      </c>
      <c r="AZ19" s="394">
        <f>SUM(223+57+29+7)</f>
        <v>316</v>
      </c>
      <c r="BA19" s="576">
        <f>SUM(267+56+39+3)</f>
        <v>365</v>
      </c>
      <c r="BB19" s="394">
        <v>682</v>
      </c>
      <c r="BC19" s="394">
        <f>416+94+97+16</f>
        <v>623</v>
      </c>
      <c r="BD19" s="394">
        <f>(643+147+95+18)</f>
        <v>903</v>
      </c>
      <c r="BE19" s="394">
        <f>199+63+7+2</f>
        <v>271</v>
      </c>
      <c r="BF19" s="394">
        <f>167+39+6</f>
        <v>212</v>
      </c>
      <c r="BG19" s="278"/>
      <c r="BH19" s="391"/>
      <c r="BI19" s="460">
        <f t="shared" si="12"/>
        <v>0</v>
      </c>
      <c r="BJ19" s="394">
        <f t="shared" si="13"/>
        <v>50</v>
      </c>
      <c r="BK19" s="394">
        <f t="shared" si="14"/>
        <v>-7</v>
      </c>
      <c r="BL19" s="394">
        <f t="shared" si="15"/>
        <v>316</v>
      </c>
      <c r="BM19" s="394">
        <f t="shared" si="15"/>
        <v>365</v>
      </c>
      <c r="BN19" s="394">
        <f t="shared" si="15"/>
        <v>134</v>
      </c>
      <c r="BO19" s="394">
        <f t="shared" si="15"/>
        <v>-194</v>
      </c>
      <c r="BP19" s="394">
        <f t="shared" si="16"/>
        <v>130</v>
      </c>
      <c r="BQ19" s="394">
        <f t="shared" si="17"/>
        <v>-174</v>
      </c>
      <c r="BR19" s="394">
        <f t="shared" si="18"/>
        <v>-184</v>
      </c>
      <c r="BS19" s="278"/>
      <c r="BT19" s="391"/>
    </row>
    <row r="20" spans="1:72" x14ac:dyDescent="0.25">
      <c r="A20" s="341"/>
      <c r="B20" s="390" t="s">
        <v>38</v>
      </c>
      <c r="C20" s="429">
        <f>C27+C34+C41-3</f>
        <v>74</v>
      </c>
      <c r="D20" s="280">
        <f>D27+D34+D41-4</f>
        <v>81</v>
      </c>
      <c r="E20" s="280">
        <f>E27+E34+E41-4</f>
        <v>84</v>
      </c>
      <c r="F20" s="280">
        <f>F27+F34+F41-5</f>
        <v>91</v>
      </c>
      <c r="G20" s="280">
        <f>G27+G34+G41-7</f>
        <v>75</v>
      </c>
      <c r="H20" s="280">
        <f>H27+H34+H41-12</f>
        <v>88</v>
      </c>
      <c r="I20" s="280">
        <f>I27+I34+I41-12</f>
        <v>77</v>
      </c>
      <c r="J20" s="280">
        <f>J27+J34+J41-12</f>
        <v>53</v>
      </c>
      <c r="K20" s="280">
        <f>K27+K34+K41-11</f>
        <v>73</v>
      </c>
      <c r="L20" s="430">
        <f>L27+L34+L41-6</f>
        <v>61</v>
      </c>
      <c r="M20" s="429">
        <f>M27+M34+M41-5</f>
        <v>62</v>
      </c>
      <c r="N20" s="280">
        <f>N27+N34+N41-3</f>
        <v>73</v>
      </c>
      <c r="O20" s="280">
        <f>O27+O34+O41-2</f>
        <v>91</v>
      </c>
      <c r="P20" s="280">
        <f>P27+P34+P41-16</f>
        <v>156</v>
      </c>
      <c r="Q20" s="280">
        <f>Q27+Q34+Q41-28</f>
        <v>170</v>
      </c>
      <c r="R20" s="280">
        <f>R27+R34+R41-28</f>
        <v>150</v>
      </c>
      <c r="S20" s="280">
        <f>S27+S34+S41-28</f>
        <v>129</v>
      </c>
      <c r="T20" s="280">
        <f>T27+T34+T41-29</f>
        <v>117</v>
      </c>
      <c r="U20" s="280">
        <f>SUM(U27+U34+U41-30)</f>
        <v>101</v>
      </c>
      <c r="V20" s="280">
        <f>SUM(V27+V34+V41-26)</f>
        <v>100</v>
      </c>
      <c r="W20" s="280">
        <f>SUM(W27+W34+W41-20)</f>
        <v>123</v>
      </c>
      <c r="X20" s="430">
        <f>SUM(X27+X34+X41-15)</f>
        <v>139</v>
      </c>
      <c r="Y20" s="280">
        <f>SUM(Y27+Y34+Y41-16)</f>
        <v>139</v>
      </c>
      <c r="Z20" s="280">
        <f>SUM(Z27+Z34+Z41-17)</f>
        <v>189</v>
      </c>
      <c r="AA20" s="280">
        <f>SUM(AA27+AA34+AA41-10)</f>
        <v>101</v>
      </c>
      <c r="AB20" s="280">
        <f>SUM(AB27+AB34+AB41-11)</f>
        <v>98</v>
      </c>
      <c r="AC20" s="280">
        <f>SUM(AC27+AC34+AC41-11)</f>
        <v>77</v>
      </c>
      <c r="AD20" s="280">
        <f>AD27+AD34+AD41</f>
        <v>127</v>
      </c>
      <c r="AE20" s="280">
        <v>74</v>
      </c>
      <c r="AF20" s="280">
        <v>42</v>
      </c>
      <c r="AG20" s="280">
        <v>36</v>
      </c>
      <c r="AH20" s="280">
        <v>39</v>
      </c>
      <c r="AI20" s="280">
        <v>34</v>
      </c>
      <c r="AJ20" s="280">
        <v>28</v>
      </c>
      <c r="AK20" s="280">
        <v>24</v>
      </c>
      <c r="AL20" s="280">
        <v>21</v>
      </c>
      <c r="AM20" s="280">
        <v>35</v>
      </c>
      <c r="AN20" s="280"/>
      <c r="AO20" s="280"/>
      <c r="AP20" s="280">
        <f>20+10+7+8</f>
        <v>45</v>
      </c>
      <c r="AQ20" s="280">
        <f>35+18+53+16</f>
        <v>122</v>
      </c>
      <c r="AR20" s="280">
        <f>31+22+26+12</f>
        <v>91</v>
      </c>
      <c r="AS20" s="280">
        <f>21+12+12+8</f>
        <v>53</v>
      </c>
      <c r="AT20" s="280">
        <f>16+7+12+4</f>
        <v>39</v>
      </c>
      <c r="AU20" s="280">
        <f>12+6+6+4</f>
        <v>28</v>
      </c>
      <c r="AV20" s="280">
        <f>14+7+7+5</f>
        <v>33</v>
      </c>
      <c r="AW20" s="460">
        <f>9+8+6+7</f>
        <v>30</v>
      </c>
      <c r="AX20" s="394">
        <f>9+9+8+5</f>
        <v>31</v>
      </c>
      <c r="AY20" s="394">
        <f>10+9+28+8</f>
        <v>55</v>
      </c>
      <c r="AZ20" s="394">
        <f>SUM(12+9+15+6)</f>
        <v>42</v>
      </c>
      <c r="BA20" s="576">
        <f>SUM(9+8+16+7)</f>
        <v>40</v>
      </c>
      <c r="BB20" s="394">
        <v>83</v>
      </c>
      <c r="BC20" s="394">
        <f>28+18+58+15</f>
        <v>119</v>
      </c>
      <c r="BD20" s="394">
        <f>(23+20+56+12)</f>
        <v>111</v>
      </c>
      <c r="BE20" s="394">
        <f>9+4+12+3</f>
        <v>28</v>
      </c>
      <c r="BF20" s="394">
        <f>8+4+4+4</f>
        <v>20</v>
      </c>
      <c r="BG20" s="278"/>
      <c r="BH20" s="391"/>
      <c r="BI20" s="460">
        <f t="shared" si="12"/>
        <v>6</v>
      </c>
      <c r="BJ20" s="394">
        <f t="shared" si="13"/>
        <v>10</v>
      </c>
      <c r="BK20" s="394">
        <f t="shared" si="14"/>
        <v>20</v>
      </c>
      <c r="BL20" s="394">
        <f t="shared" si="15"/>
        <v>42</v>
      </c>
      <c r="BM20" s="394">
        <f t="shared" si="15"/>
        <v>40</v>
      </c>
      <c r="BN20" s="394">
        <f t="shared" si="15"/>
        <v>38</v>
      </c>
      <c r="BO20" s="394">
        <f t="shared" si="15"/>
        <v>-3</v>
      </c>
      <c r="BP20" s="394">
        <f t="shared" si="16"/>
        <v>20</v>
      </c>
      <c r="BQ20" s="394">
        <f t="shared" si="17"/>
        <v>-25</v>
      </c>
      <c r="BR20" s="394">
        <f t="shared" si="18"/>
        <v>-19</v>
      </c>
      <c r="BS20" s="278"/>
      <c r="BT20" s="391"/>
    </row>
    <row r="21" spans="1:72" x14ac:dyDescent="0.25">
      <c r="A21" s="341"/>
      <c r="B21" s="390" t="s">
        <v>39</v>
      </c>
      <c r="C21" s="429">
        <f t="shared" ref="C21:L21" si="19">C28+C35+C42-0</f>
        <v>0</v>
      </c>
      <c r="D21" s="280">
        <f t="shared" si="19"/>
        <v>2</v>
      </c>
      <c r="E21" s="280">
        <f t="shared" si="19"/>
        <v>1</v>
      </c>
      <c r="F21" s="280">
        <f t="shared" si="19"/>
        <v>3</v>
      </c>
      <c r="G21" s="280">
        <f t="shared" si="19"/>
        <v>1</v>
      </c>
      <c r="H21" s="280">
        <f t="shared" si="19"/>
        <v>2</v>
      </c>
      <c r="I21" s="280">
        <f t="shared" si="19"/>
        <v>2</v>
      </c>
      <c r="J21" s="280">
        <f t="shared" si="19"/>
        <v>1</v>
      </c>
      <c r="K21" s="280">
        <f t="shared" si="19"/>
        <v>3</v>
      </c>
      <c r="L21" s="430">
        <f t="shared" si="19"/>
        <v>2</v>
      </c>
      <c r="M21" s="429">
        <f>M28+M35+M42-1</f>
        <v>2</v>
      </c>
      <c r="N21" s="280">
        <f>N28+N35+N42-1</f>
        <v>2</v>
      </c>
      <c r="O21" s="280">
        <f>O28+O35+O42-0</f>
        <v>0</v>
      </c>
      <c r="P21" s="280">
        <f>P28+P35+P42-0</f>
        <v>4</v>
      </c>
      <c r="Q21" s="280">
        <f>Q28+Q35+Q42-0</f>
        <v>9</v>
      </c>
      <c r="R21" s="280">
        <f>R28+R35+R42-2</f>
        <v>10</v>
      </c>
      <c r="S21" s="280">
        <f>S28+S35+S42-1</f>
        <v>5</v>
      </c>
      <c r="T21" s="280">
        <f>T28+T35+T42-0</f>
        <v>7</v>
      </c>
      <c r="U21" s="280">
        <f>SUM(U28+U35+U42-1)</f>
        <v>5</v>
      </c>
      <c r="V21" s="280">
        <f>SUM(V28+V35+V42-1)</f>
        <v>2</v>
      </c>
      <c r="W21" s="280">
        <f>SUM(W28+W35+W42-0)</f>
        <v>5</v>
      </c>
      <c r="X21" s="430">
        <f>SUM(X28+X35+X42-0)</f>
        <v>4</v>
      </c>
      <c r="Y21" s="280">
        <f>SUM(Y28+Y35+Y42-0)</f>
        <v>3</v>
      </c>
      <c r="Z21" s="280">
        <f>SUM(Z28+Z35+Z42-0)</f>
        <v>5</v>
      </c>
      <c r="AA21" s="280">
        <f>SUM(AA28+AA35+AA42)</f>
        <v>1</v>
      </c>
      <c r="AB21" s="280">
        <f>SUM(AB28+AB35+AB42-0)</f>
        <v>3</v>
      </c>
      <c r="AC21" s="280">
        <f>SUM(AC28+AC35+AC42-0)</f>
        <v>2</v>
      </c>
      <c r="AD21" s="280">
        <f>AD28+AD35+AD42</f>
        <v>2</v>
      </c>
      <c r="AE21" s="280">
        <v>4</v>
      </c>
      <c r="AF21" s="280">
        <v>3</v>
      </c>
      <c r="AG21" s="280">
        <v>2</v>
      </c>
      <c r="AH21" s="280">
        <v>1</v>
      </c>
      <c r="AI21" s="280">
        <v>2</v>
      </c>
      <c r="AJ21" s="280">
        <v>2</v>
      </c>
      <c r="AK21" s="280">
        <v>1</v>
      </c>
      <c r="AL21" s="280">
        <v>1</v>
      </c>
      <c r="AM21" s="280">
        <v>2</v>
      </c>
      <c r="AN21" s="280"/>
      <c r="AO21" s="280"/>
      <c r="AP21" s="280">
        <v>0</v>
      </c>
      <c r="AQ21" s="280">
        <v>0</v>
      </c>
      <c r="AR21" s="280">
        <v>1</v>
      </c>
      <c r="AS21" s="280">
        <v>0</v>
      </c>
      <c r="AT21" s="280">
        <v>0</v>
      </c>
      <c r="AU21" s="280">
        <v>0</v>
      </c>
      <c r="AV21" s="280">
        <v>1</v>
      </c>
      <c r="AW21" s="460">
        <f>1</f>
        <v>1</v>
      </c>
      <c r="AX21" s="395">
        <v>1</v>
      </c>
      <c r="AY21" s="394">
        <f>1</f>
        <v>1</v>
      </c>
      <c r="AZ21" s="394">
        <f>SUM(1+1)</f>
        <v>2</v>
      </c>
      <c r="BA21" s="576">
        <f>SUM(1+1)</f>
        <v>2</v>
      </c>
      <c r="BB21" s="394">
        <v>2</v>
      </c>
      <c r="BC21" s="394">
        <f>1+1</f>
        <v>2</v>
      </c>
      <c r="BD21" s="394">
        <f>(1+1)</f>
        <v>2</v>
      </c>
      <c r="BE21" s="394">
        <f>0</f>
        <v>0</v>
      </c>
      <c r="BF21" s="394">
        <f>1</f>
        <v>1</v>
      </c>
      <c r="BG21" s="278"/>
      <c r="BH21" s="391"/>
      <c r="BI21" s="460">
        <f t="shared" si="12"/>
        <v>0</v>
      </c>
      <c r="BJ21" s="395">
        <f t="shared" si="13"/>
        <v>0</v>
      </c>
      <c r="BK21" s="394">
        <f t="shared" si="14"/>
        <v>-1</v>
      </c>
      <c r="BL21" s="394">
        <f t="shared" si="15"/>
        <v>2</v>
      </c>
      <c r="BM21" s="394">
        <f t="shared" si="15"/>
        <v>2</v>
      </c>
      <c r="BN21" s="394">
        <f t="shared" si="15"/>
        <v>2</v>
      </c>
      <c r="BO21" s="394">
        <f t="shared" si="15"/>
        <v>2</v>
      </c>
      <c r="BP21" s="394">
        <f t="shared" si="16"/>
        <v>1</v>
      </c>
      <c r="BQ21" s="394">
        <f t="shared" si="17"/>
        <v>0</v>
      </c>
      <c r="BR21" s="394">
        <f t="shared" si="18"/>
        <v>1</v>
      </c>
      <c r="BS21" s="278"/>
      <c r="BT21" s="391"/>
    </row>
    <row r="22" spans="1:72" x14ac:dyDescent="0.25">
      <c r="B22" s="390" t="s">
        <v>40</v>
      </c>
      <c r="C22" s="429">
        <f t="shared" ref="C22:U22" si="20">SUM(C17:C21)</f>
        <v>25569</v>
      </c>
      <c r="D22" s="280">
        <f t="shared" si="20"/>
        <v>26227</v>
      </c>
      <c r="E22" s="280">
        <f t="shared" si="20"/>
        <v>26523</v>
      </c>
      <c r="F22" s="280">
        <f t="shared" si="20"/>
        <v>30031</v>
      </c>
      <c r="G22" s="280">
        <f t="shared" si="20"/>
        <v>30447</v>
      </c>
      <c r="H22" s="280">
        <f t="shared" si="20"/>
        <v>30150</v>
      </c>
      <c r="I22" s="280">
        <f t="shared" si="20"/>
        <v>29508</v>
      </c>
      <c r="J22" s="280">
        <f t="shared" si="20"/>
        <v>28090</v>
      </c>
      <c r="K22" s="280">
        <f t="shared" si="20"/>
        <v>28193</v>
      </c>
      <c r="L22" s="430">
        <f t="shared" si="20"/>
        <v>26326</v>
      </c>
      <c r="M22" s="429">
        <f t="shared" si="20"/>
        <v>24395</v>
      </c>
      <c r="N22" s="280">
        <f t="shared" si="20"/>
        <v>25039</v>
      </c>
      <c r="O22" s="280">
        <f t="shared" si="20"/>
        <v>26560</v>
      </c>
      <c r="P22" s="280">
        <f t="shared" si="20"/>
        <v>28531</v>
      </c>
      <c r="Q22" s="280">
        <f t="shared" si="20"/>
        <v>30031</v>
      </c>
      <c r="R22" s="280">
        <f t="shared" si="20"/>
        <v>29061</v>
      </c>
      <c r="S22" s="280">
        <f t="shared" si="20"/>
        <v>29248</v>
      </c>
      <c r="T22" s="280">
        <f t="shared" si="20"/>
        <v>29956</v>
      </c>
      <c r="U22" s="280">
        <f t="shared" si="20"/>
        <v>30729</v>
      </c>
      <c r="V22" s="280">
        <f t="shared" ref="V22:AC22" si="21">SUM(V17:V21)</f>
        <v>29854</v>
      </c>
      <c r="W22" s="280">
        <f t="shared" si="21"/>
        <v>32259</v>
      </c>
      <c r="X22" s="430">
        <f t="shared" si="21"/>
        <v>32206</v>
      </c>
      <c r="Y22" s="280">
        <f t="shared" si="21"/>
        <v>32176</v>
      </c>
      <c r="Z22" s="280">
        <f t="shared" si="21"/>
        <v>34489</v>
      </c>
      <c r="AA22" s="280">
        <f t="shared" si="21"/>
        <v>31817</v>
      </c>
      <c r="AB22" s="280">
        <f t="shared" si="21"/>
        <v>31309</v>
      </c>
      <c r="AC22" s="280">
        <f t="shared" si="21"/>
        <v>22469</v>
      </c>
      <c r="AD22" s="280">
        <f t="shared" ref="AD22:AI22" si="22">SUM(AD17:AD21)</f>
        <v>30984</v>
      </c>
      <c r="AE22" s="280">
        <f t="shared" si="22"/>
        <v>20588</v>
      </c>
      <c r="AF22" s="280">
        <f t="shared" si="22"/>
        <v>14659</v>
      </c>
      <c r="AG22" s="280">
        <f t="shared" si="22"/>
        <v>14107</v>
      </c>
      <c r="AH22" s="280">
        <f t="shared" si="22"/>
        <v>13770</v>
      </c>
      <c r="AI22" s="280">
        <f t="shared" si="22"/>
        <v>11647</v>
      </c>
      <c r="AJ22" s="280">
        <f>SUM(AJ17:AJ21)</f>
        <v>12128</v>
      </c>
      <c r="AK22" s="280">
        <f>SUM(AK17:AK21)</f>
        <v>11617</v>
      </c>
      <c r="AL22" s="280">
        <f>SUM(AL17:AL21)</f>
        <v>11217</v>
      </c>
      <c r="AM22" s="280">
        <f>SUM(AM17:AM21)</f>
        <v>12808</v>
      </c>
      <c r="AN22" s="280"/>
      <c r="AO22" s="280"/>
      <c r="AP22" s="280">
        <f t="shared" ref="AP22:AU22" si="23">SUM(AP17:AP21)</f>
        <v>18526</v>
      </c>
      <c r="AQ22" s="280">
        <f t="shared" si="23"/>
        <v>22126</v>
      </c>
      <c r="AR22" s="280">
        <f t="shared" si="23"/>
        <v>22913</v>
      </c>
      <c r="AS22" s="280">
        <f t="shared" si="23"/>
        <v>12952</v>
      </c>
      <c r="AT22" s="280">
        <f t="shared" si="23"/>
        <v>12026</v>
      </c>
      <c r="AU22" s="280">
        <f t="shared" si="23"/>
        <v>11636</v>
      </c>
      <c r="AV22" s="280">
        <f t="shared" ref="AV22:BB22" si="24">SUM(AV17:AV21)</f>
        <v>11891</v>
      </c>
      <c r="AW22" s="460">
        <f t="shared" si="24"/>
        <v>11449</v>
      </c>
      <c r="AX22" s="394">
        <f t="shared" si="24"/>
        <v>11733</v>
      </c>
      <c r="AY22" s="395">
        <f t="shared" si="24"/>
        <v>12189</v>
      </c>
      <c r="AZ22" s="394">
        <f t="shared" si="24"/>
        <v>12949</v>
      </c>
      <c r="BA22" s="394">
        <f t="shared" si="24"/>
        <v>22173</v>
      </c>
      <c r="BB22" s="394">
        <f t="shared" si="24"/>
        <v>21701</v>
      </c>
      <c r="BC22" s="394">
        <f>SUM(BC17:BC21)</f>
        <v>16665</v>
      </c>
      <c r="BD22" s="394">
        <f>SUM(BD17:BD21)</f>
        <v>14355</v>
      </c>
      <c r="BE22" s="394">
        <f>SUM(BE17:BE21)</f>
        <v>10675</v>
      </c>
      <c r="BF22" s="394">
        <f>SUM(BF17:BF21)</f>
        <v>10021</v>
      </c>
      <c r="BG22" s="278"/>
      <c r="BH22" s="391"/>
      <c r="BI22" s="460">
        <f t="shared" si="12"/>
        <v>-168</v>
      </c>
      <c r="BJ22" s="394">
        <f t="shared" si="13"/>
        <v>516</v>
      </c>
      <c r="BK22" s="395">
        <f t="shared" si="14"/>
        <v>-619</v>
      </c>
      <c r="BL22" s="394">
        <f t="shared" si="15"/>
        <v>12949</v>
      </c>
      <c r="BM22" s="394">
        <f t="shared" si="15"/>
        <v>22173</v>
      </c>
      <c r="BN22" s="394">
        <f t="shared" si="15"/>
        <v>3175</v>
      </c>
      <c r="BO22" s="394">
        <f t="shared" si="15"/>
        <v>-5461</v>
      </c>
      <c r="BP22" s="394">
        <f t="shared" si="16"/>
        <v>-8558</v>
      </c>
      <c r="BQ22" s="394">
        <f t="shared" si="17"/>
        <v>-2277</v>
      </c>
      <c r="BR22" s="394">
        <f t="shared" si="18"/>
        <v>-2005</v>
      </c>
      <c r="BS22" s="278"/>
      <c r="BT22" s="391"/>
    </row>
    <row r="23" spans="1:72" x14ac:dyDescent="0.25">
      <c r="A23" s="341">
        <f>+A16+1</f>
        <v>3</v>
      </c>
      <c r="B23" s="397" t="s">
        <v>21</v>
      </c>
      <c r="C23" s="429"/>
      <c r="D23" s="280"/>
      <c r="E23" s="280"/>
      <c r="F23" s="280"/>
      <c r="G23" s="280"/>
      <c r="H23" s="280"/>
      <c r="I23" s="280"/>
      <c r="J23" s="280"/>
      <c r="K23" s="280"/>
      <c r="L23" s="430"/>
      <c r="M23" s="429"/>
      <c r="N23" s="280"/>
      <c r="O23" s="280"/>
      <c r="P23" s="280"/>
      <c r="Q23" s="280"/>
      <c r="R23" s="280"/>
      <c r="S23" s="280"/>
      <c r="T23" s="280"/>
      <c r="U23" s="280"/>
      <c r="V23" s="280"/>
      <c r="W23" s="280"/>
      <c r="X23" s="430"/>
      <c r="Y23" s="280"/>
      <c r="Z23" s="280"/>
      <c r="AA23" s="280"/>
      <c r="AB23" s="280"/>
      <c r="AC23" s="280"/>
      <c r="AD23" s="280"/>
      <c r="AE23" s="239"/>
      <c r="AF23" s="280"/>
      <c r="AG23" s="280"/>
      <c r="AH23" s="280"/>
      <c r="AI23" s="280"/>
      <c r="AJ23" s="280"/>
      <c r="AK23" s="280"/>
      <c r="AL23" s="280"/>
      <c r="AM23" s="280"/>
      <c r="AN23" s="280"/>
      <c r="AO23" s="280"/>
      <c r="AP23" s="280"/>
      <c r="AQ23" s="280"/>
      <c r="AR23" s="280"/>
      <c r="AS23" s="280"/>
      <c r="AT23" s="280"/>
      <c r="AU23" s="280"/>
      <c r="AV23" s="280"/>
      <c r="AW23" s="460"/>
      <c r="AX23" s="394"/>
      <c r="AY23" s="394"/>
      <c r="AZ23" s="394"/>
      <c r="BA23" s="278"/>
      <c r="BB23" s="278"/>
      <c r="BC23" s="394"/>
      <c r="BD23" s="394"/>
      <c r="BE23" s="394"/>
      <c r="BF23" s="394"/>
      <c r="BG23" s="278"/>
      <c r="BH23" s="391"/>
      <c r="BI23" s="460"/>
      <c r="BJ23" s="394"/>
      <c r="BK23" s="394"/>
      <c r="BL23" s="394"/>
      <c r="BM23" s="394"/>
      <c r="BN23" s="394"/>
      <c r="BO23" s="394"/>
      <c r="BP23" s="394"/>
      <c r="BQ23" s="394"/>
      <c r="BR23" s="394"/>
      <c r="BS23" s="278"/>
      <c r="BT23" s="391"/>
    </row>
    <row r="24" spans="1:72" x14ac:dyDescent="0.25">
      <c r="B24" s="390" t="s">
        <v>35</v>
      </c>
      <c r="C24" s="429">
        <v>11698</v>
      </c>
      <c r="D24" s="280">
        <v>11837</v>
      </c>
      <c r="E24" s="280">
        <v>11854</v>
      </c>
      <c r="F24" s="280">
        <v>12070</v>
      </c>
      <c r="G24" s="280">
        <v>11067</v>
      </c>
      <c r="H24" s="280">
        <v>10946</v>
      </c>
      <c r="I24" s="280">
        <v>10678</v>
      </c>
      <c r="J24" s="280">
        <v>9967</v>
      </c>
      <c r="K24" s="280">
        <v>10296</v>
      </c>
      <c r="L24" s="430">
        <v>10428</v>
      </c>
      <c r="M24" s="429">
        <v>10547</v>
      </c>
      <c r="N24" s="280">
        <v>11393</v>
      </c>
      <c r="O24" s="280">
        <v>12145</v>
      </c>
      <c r="P24" s="280">
        <v>12052</v>
      </c>
      <c r="Q24" s="280">
        <v>12469</v>
      </c>
      <c r="R24" s="280">
        <v>12527</v>
      </c>
      <c r="S24" s="280">
        <v>11678</v>
      </c>
      <c r="T24" s="280">
        <v>11819</v>
      </c>
      <c r="U24" s="280">
        <v>11817</v>
      </c>
      <c r="V24" s="280">
        <v>11182</v>
      </c>
      <c r="W24" s="280">
        <f>12325+58</f>
        <v>12383</v>
      </c>
      <c r="X24" s="430">
        <f>11924+180</f>
        <v>12104</v>
      </c>
      <c r="Y24" s="280">
        <f>11287+204</f>
        <v>11491</v>
      </c>
      <c r="Z24" s="280">
        <f>13807</f>
        <v>13807</v>
      </c>
      <c r="AA24" s="280">
        <f>12356+23</f>
        <v>12379</v>
      </c>
      <c r="AB24" s="280">
        <v>12447</v>
      </c>
      <c r="AC24" s="239">
        <v>10975</v>
      </c>
      <c r="AD24" s="239">
        <f>404+8196+190</f>
        <v>8790</v>
      </c>
      <c r="AE24" s="239">
        <v>9692</v>
      </c>
      <c r="AF24" s="239">
        <v>9428</v>
      </c>
      <c r="AG24" s="239">
        <f>505+9019+43</f>
        <v>9567</v>
      </c>
      <c r="AH24" s="239">
        <v>7751</v>
      </c>
      <c r="AI24" s="239">
        <f>463+7624+12</f>
        <v>8099</v>
      </c>
      <c r="AJ24" s="239">
        <f>509+7944+9</f>
        <v>8462</v>
      </c>
      <c r="AK24" s="239">
        <f>568+7028</f>
        <v>7596</v>
      </c>
      <c r="AL24" s="239">
        <f>417+6799+3</f>
        <v>7219</v>
      </c>
      <c r="AM24" s="239">
        <f>480+8262+32</f>
        <v>8774</v>
      </c>
      <c r="AN24" s="239">
        <f>472+8607+54</f>
        <v>9133</v>
      </c>
      <c r="AO24" s="239">
        <f>501+9725+6</f>
        <v>10232</v>
      </c>
      <c r="AP24" s="239">
        <f>SUM(593+11764)</f>
        <v>12357</v>
      </c>
      <c r="AQ24" s="239">
        <f>SUM(537+9858+2)</f>
        <v>10397</v>
      </c>
      <c r="AR24" s="239">
        <f>216+4848</f>
        <v>5064</v>
      </c>
      <c r="AS24" s="239">
        <f>507+8462+2</f>
        <v>8971</v>
      </c>
      <c r="AT24" s="239">
        <f>448+7310+12</f>
        <v>7770</v>
      </c>
      <c r="AU24" s="239">
        <f>503+7499+9</f>
        <v>8011</v>
      </c>
      <c r="AV24" s="239">
        <f>522+7662+4</f>
        <v>8188</v>
      </c>
      <c r="AW24" s="460">
        <f>488+6766+1</f>
        <v>7255</v>
      </c>
      <c r="AX24" s="394">
        <f>502+7206+2</f>
        <v>7710</v>
      </c>
      <c r="AY24" s="394">
        <f>471+7708+4</f>
        <v>8183</v>
      </c>
      <c r="AZ24" s="394">
        <f>SUM(478+8231+2)</f>
        <v>8711</v>
      </c>
      <c r="BA24" s="576">
        <f>SUM(554+11305+2)</f>
        <v>11861</v>
      </c>
      <c r="BB24" s="576">
        <v>9322</v>
      </c>
      <c r="BC24" s="394">
        <f>417+7520</f>
        <v>7937</v>
      </c>
      <c r="BD24" s="394">
        <f>(439+8046+2)</f>
        <v>8487</v>
      </c>
      <c r="BE24" s="394">
        <f>322+6070+4</f>
        <v>6396</v>
      </c>
      <c r="BF24" s="394">
        <f>310+5170+4</f>
        <v>5484</v>
      </c>
      <c r="BG24" s="278"/>
      <c r="BH24" s="391"/>
      <c r="BI24" s="460">
        <f t="shared" ref="BI24:BI29" si="25">AW24-AK24</f>
        <v>-341</v>
      </c>
      <c r="BJ24" s="394">
        <f t="shared" ref="BJ24:BJ29" si="26">AX24-AL24</f>
        <v>491</v>
      </c>
      <c r="BK24" s="394">
        <f t="shared" ref="BK24:BK29" si="27">AY24-AM24</f>
        <v>-591</v>
      </c>
      <c r="BL24" s="394">
        <f t="shared" ref="BL24:BO29" si="28">AZ24-AN24</f>
        <v>-422</v>
      </c>
      <c r="BM24" s="394">
        <f t="shared" si="28"/>
        <v>1629</v>
      </c>
      <c r="BN24" s="394">
        <f t="shared" si="28"/>
        <v>-3035</v>
      </c>
      <c r="BO24" s="394">
        <f t="shared" si="28"/>
        <v>-2460</v>
      </c>
      <c r="BP24" s="394">
        <f t="shared" ref="BP24:BP29" si="29">BD24-AR24</f>
        <v>3423</v>
      </c>
      <c r="BQ24" s="394">
        <f t="shared" ref="BQ24:BQ29" si="30">BE24-AS24</f>
        <v>-2575</v>
      </c>
      <c r="BR24" s="394">
        <f t="shared" ref="BR24:BR29" si="31">BF24-AT24</f>
        <v>-2286</v>
      </c>
      <c r="BS24" s="278"/>
      <c r="BT24" s="391"/>
    </row>
    <row r="25" spans="1:72" x14ac:dyDescent="0.25">
      <c r="B25" s="390" t="s">
        <v>36</v>
      </c>
      <c r="C25" s="429">
        <v>3712</v>
      </c>
      <c r="D25" s="280">
        <v>3846</v>
      </c>
      <c r="E25" s="280">
        <v>3523</v>
      </c>
      <c r="F25" s="280">
        <v>5172</v>
      </c>
      <c r="G25" s="280">
        <v>5089</v>
      </c>
      <c r="H25" s="280">
        <v>5050</v>
      </c>
      <c r="I25" s="280">
        <v>5087</v>
      </c>
      <c r="J25" s="280">
        <v>5069</v>
      </c>
      <c r="K25" s="280">
        <v>4965</v>
      </c>
      <c r="L25" s="430">
        <v>4293</v>
      </c>
      <c r="M25" s="429">
        <v>3487</v>
      </c>
      <c r="N25" s="280">
        <v>3131</v>
      </c>
      <c r="O25" s="280">
        <v>3269</v>
      </c>
      <c r="P25" s="280">
        <v>3878</v>
      </c>
      <c r="Q25" s="280">
        <v>3986</v>
      </c>
      <c r="R25" s="280">
        <v>4091</v>
      </c>
      <c r="S25" s="280">
        <v>3913</v>
      </c>
      <c r="T25" s="280">
        <v>4371</v>
      </c>
      <c r="U25" s="280">
        <v>4712</v>
      </c>
      <c r="V25" s="280">
        <v>4654</v>
      </c>
      <c r="W25" s="280">
        <v>5223</v>
      </c>
      <c r="X25" s="430">
        <v>5339</v>
      </c>
      <c r="Y25" s="280">
        <v>5520</v>
      </c>
      <c r="Z25" s="280">
        <v>5652</v>
      </c>
      <c r="AA25" s="280">
        <v>4702</v>
      </c>
      <c r="AB25" s="280">
        <v>4094</v>
      </c>
      <c r="AC25" s="239">
        <v>2238</v>
      </c>
      <c r="AD25" s="239">
        <f>81+3346</f>
        <v>3427</v>
      </c>
      <c r="AE25" s="239">
        <v>4354</v>
      </c>
      <c r="AF25" s="239">
        <v>3196</v>
      </c>
      <c r="AG25" s="239">
        <f>63+2755</f>
        <v>2818</v>
      </c>
      <c r="AH25" s="239">
        <v>3442</v>
      </c>
      <c r="AI25" s="239">
        <f>74+1896</f>
        <v>1970</v>
      </c>
      <c r="AJ25" s="239">
        <f>82+1920</f>
        <v>2002</v>
      </c>
      <c r="AK25" s="239">
        <f>84+2108</f>
        <v>2192</v>
      </c>
      <c r="AL25" s="239">
        <f>707+2051</f>
        <v>2758</v>
      </c>
      <c r="AM25" s="239">
        <f>74+2285</f>
        <v>2359</v>
      </c>
      <c r="AN25" s="239">
        <f>91+3040</f>
        <v>3131</v>
      </c>
      <c r="AO25" s="239">
        <f>97+2997</f>
        <v>3094</v>
      </c>
      <c r="AP25" s="239">
        <f>SUM(117+7569)</f>
        <v>7686</v>
      </c>
      <c r="AQ25" s="239">
        <f>SUM(94+3191+0)</f>
        <v>3285</v>
      </c>
      <c r="AR25" s="239">
        <f>43+1444+0</f>
        <v>1487</v>
      </c>
      <c r="AS25" s="239">
        <f>88+2720</f>
        <v>2808</v>
      </c>
      <c r="AT25" s="239">
        <f>79+2578</f>
        <v>2657</v>
      </c>
      <c r="AU25" s="239">
        <f>75+2449</f>
        <v>2524</v>
      </c>
      <c r="AV25" s="239">
        <f>80+2667</f>
        <v>2747</v>
      </c>
      <c r="AW25" s="460">
        <f>116+3172</f>
        <v>3288</v>
      </c>
      <c r="AX25" s="394">
        <f>90+2929</f>
        <v>3019</v>
      </c>
      <c r="AY25" s="394">
        <f>98+3072</f>
        <v>3170</v>
      </c>
      <c r="AZ25" s="394">
        <f>SUM(3436+125)</f>
        <v>3561</v>
      </c>
      <c r="BA25" s="576">
        <v>3357</v>
      </c>
      <c r="BB25" s="576">
        <v>3399</v>
      </c>
      <c r="BC25" s="394">
        <f>109+3245</f>
        <v>3354</v>
      </c>
      <c r="BD25" s="394">
        <f>(112+3409)</f>
        <v>3521</v>
      </c>
      <c r="BE25" s="394">
        <f>108+3161</f>
        <v>3269</v>
      </c>
      <c r="BF25" s="394">
        <f>98+2976</f>
        <v>3074</v>
      </c>
      <c r="BG25" s="278"/>
      <c r="BH25" s="391"/>
      <c r="BI25" s="460">
        <f t="shared" si="25"/>
        <v>1096</v>
      </c>
      <c r="BJ25" s="394">
        <f t="shared" si="26"/>
        <v>261</v>
      </c>
      <c r="BK25" s="394">
        <f t="shared" si="27"/>
        <v>811</v>
      </c>
      <c r="BL25" s="394">
        <f t="shared" si="28"/>
        <v>430</v>
      </c>
      <c r="BM25" s="394">
        <f t="shared" si="28"/>
        <v>263</v>
      </c>
      <c r="BN25" s="394">
        <f t="shared" si="28"/>
        <v>-4287</v>
      </c>
      <c r="BO25" s="394">
        <f t="shared" si="28"/>
        <v>69</v>
      </c>
      <c r="BP25" s="394">
        <f t="shared" si="29"/>
        <v>2034</v>
      </c>
      <c r="BQ25" s="394">
        <f t="shared" si="30"/>
        <v>461</v>
      </c>
      <c r="BR25" s="394">
        <f t="shared" si="31"/>
        <v>417</v>
      </c>
      <c r="BS25" s="278"/>
      <c r="BT25" s="391"/>
    </row>
    <row r="26" spans="1:72" x14ac:dyDescent="0.25">
      <c r="B26" s="390" t="s">
        <v>37</v>
      </c>
      <c r="C26" s="429">
        <v>547</v>
      </c>
      <c r="D26" s="280">
        <v>583</v>
      </c>
      <c r="E26" s="280">
        <v>580</v>
      </c>
      <c r="F26" s="280">
        <v>574</v>
      </c>
      <c r="G26" s="280">
        <v>525</v>
      </c>
      <c r="H26" s="280">
        <v>573</v>
      </c>
      <c r="I26" s="280">
        <v>521</v>
      </c>
      <c r="J26" s="280">
        <v>419</v>
      </c>
      <c r="K26" s="280">
        <v>486</v>
      </c>
      <c r="L26" s="430">
        <v>460</v>
      </c>
      <c r="M26" s="429">
        <v>531</v>
      </c>
      <c r="N26" s="280">
        <v>586</v>
      </c>
      <c r="O26" s="280">
        <v>579</v>
      </c>
      <c r="P26" s="280">
        <v>801</v>
      </c>
      <c r="Q26" s="280">
        <v>924</v>
      </c>
      <c r="R26" s="280">
        <v>664</v>
      </c>
      <c r="S26" s="280">
        <v>556</v>
      </c>
      <c r="T26" s="280">
        <v>561</v>
      </c>
      <c r="U26" s="280">
        <v>560</v>
      </c>
      <c r="V26" s="280">
        <v>587</v>
      </c>
      <c r="W26" s="280">
        <v>683</v>
      </c>
      <c r="X26" s="430">
        <v>680</v>
      </c>
      <c r="Y26" s="280">
        <v>704</v>
      </c>
      <c r="Z26" s="280">
        <v>868</v>
      </c>
      <c r="AA26" s="280">
        <v>589</v>
      </c>
      <c r="AB26" s="280">
        <v>590</v>
      </c>
      <c r="AC26" s="239">
        <v>471</v>
      </c>
      <c r="AD26" s="239">
        <f>322+52+75+11</f>
        <v>460</v>
      </c>
      <c r="AE26" s="239">
        <v>497</v>
      </c>
      <c r="AF26" s="239">
        <v>430</v>
      </c>
      <c r="AG26" s="239">
        <v>413</v>
      </c>
      <c r="AH26" s="239">
        <v>325</v>
      </c>
      <c r="AI26" s="239">
        <f>309+62+3</f>
        <v>374</v>
      </c>
      <c r="AJ26" s="239">
        <v>369</v>
      </c>
      <c r="AK26" s="239">
        <v>323</v>
      </c>
      <c r="AL26" s="239">
        <v>325</v>
      </c>
      <c r="AM26" s="239">
        <f>289+58+42+9</f>
        <v>398</v>
      </c>
      <c r="AN26" s="239">
        <f>337+57+5+6</f>
        <v>405</v>
      </c>
      <c r="AO26" s="239">
        <f>451+82+9+6</f>
        <v>548</v>
      </c>
      <c r="AP26" s="239">
        <f>609+88+50+12</f>
        <v>759</v>
      </c>
      <c r="AQ26" s="239">
        <f>SUM(360+68+3+5)</f>
        <v>436</v>
      </c>
      <c r="AR26" s="239">
        <f>187+26+2+2</f>
        <v>217</v>
      </c>
      <c r="AS26" s="239">
        <f>347+66+2+5</f>
        <v>420</v>
      </c>
      <c r="AT26" s="239">
        <f>302+57+2+5</f>
        <v>366</v>
      </c>
      <c r="AU26" s="239">
        <f>311+63+2+5</f>
        <v>381</v>
      </c>
      <c r="AV26" s="239">
        <f>309+63+2+3</f>
        <v>377</v>
      </c>
      <c r="AW26" s="460">
        <f>278+72+1+6</f>
        <v>357</v>
      </c>
      <c r="AX26" s="394">
        <f>296+78+3</f>
        <v>377</v>
      </c>
      <c r="AY26" s="394">
        <f>267+64+40+8</f>
        <v>379</v>
      </c>
      <c r="AZ26" s="394">
        <f>SUM(220+57+7)</f>
        <v>284</v>
      </c>
      <c r="BA26" s="576">
        <f>SUM(259+56+39+3)</f>
        <v>357</v>
      </c>
      <c r="BB26" s="576">
        <v>420</v>
      </c>
      <c r="BC26" s="394">
        <f>207+49+5+4</f>
        <v>265</v>
      </c>
      <c r="BD26" s="394">
        <f>(257+49+7+3)</f>
        <v>316</v>
      </c>
      <c r="BE26" s="394">
        <f>185+61+7+2</f>
        <v>255</v>
      </c>
      <c r="BF26" s="394">
        <f>161+38+6</f>
        <v>205</v>
      </c>
      <c r="BG26" s="278"/>
      <c r="BH26" s="391"/>
      <c r="BI26" s="460">
        <f t="shared" si="25"/>
        <v>34</v>
      </c>
      <c r="BJ26" s="394">
        <f t="shared" si="26"/>
        <v>52</v>
      </c>
      <c r="BK26" s="394">
        <f t="shared" si="27"/>
        <v>-19</v>
      </c>
      <c r="BL26" s="394">
        <f t="shared" si="28"/>
        <v>-121</v>
      </c>
      <c r="BM26" s="394">
        <f t="shared" si="28"/>
        <v>-191</v>
      </c>
      <c r="BN26" s="394">
        <f t="shared" si="28"/>
        <v>-339</v>
      </c>
      <c r="BO26" s="394">
        <f t="shared" si="28"/>
        <v>-171</v>
      </c>
      <c r="BP26" s="394">
        <f t="shared" si="29"/>
        <v>99</v>
      </c>
      <c r="BQ26" s="394">
        <f t="shared" si="30"/>
        <v>-165</v>
      </c>
      <c r="BR26" s="394">
        <f t="shared" si="31"/>
        <v>-161</v>
      </c>
      <c r="BS26" s="278"/>
      <c r="BT26" s="391"/>
    </row>
    <row r="27" spans="1:72" x14ac:dyDescent="0.25">
      <c r="B27" s="390" t="s">
        <v>38</v>
      </c>
      <c r="C27" s="429">
        <v>63</v>
      </c>
      <c r="D27" s="280">
        <v>65</v>
      </c>
      <c r="E27" s="280">
        <v>65</v>
      </c>
      <c r="F27" s="280">
        <v>66</v>
      </c>
      <c r="G27" s="280">
        <v>51</v>
      </c>
      <c r="H27" s="280">
        <v>62</v>
      </c>
      <c r="I27" s="280">
        <v>57</v>
      </c>
      <c r="J27" s="280">
        <v>36</v>
      </c>
      <c r="K27" s="280">
        <v>50</v>
      </c>
      <c r="L27" s="430">
        <v>50</v>
      </c>
      <c r="M27" s="429">
        <v>55</v>
      </c>
      <c r="N27" s="280">
        <v>61</v>
      </c>
      <c r="O27" s="280">
        <v>71</v>
      </c>
      <c r="P27" s="280">
        <v>107</v>
      </c>
      <c r="Q27" s="280">
        <v>117</v>
      </c>
      <c r="R27" s="280">
        <v>97</v>
      </c>
      <c r="S27" s="280">
        <v>80</v>
      </c>
      <c r="T27" s="280">
        <v>73</v>
      </c>
      <c r="U27" s="280">
        <v>63</v>
      </c>
      <c r="V27" s="280">
        <v>65</v>
      </c>
      <c r="W27" s="280">
        <v>85</v>
      </c>
      <c r="X27" s="430">
        <v>109</v>
      </c>
      <c r="Y27" s="280">
        <v>108</v>
      </c>
      <c r="Z27" s="280">
        <v>153</v>
      </c>
      <c r="AA27" s="280">
        <v>71</v>
      </c>
      <c r="AB27" s="280">
        <v>68</v>
      </c>
      <c r="AC27" s="239">
        <v>60</v>
      </c>
      <c r="AD27" s="239">
        <f>14+9+46+8</f>
        <v>77</v>
      </c>
      <c r="AE27" s="239">
        <v>41</v>
      </c>
      <c r="AF27" s="239">
        <v>38</v>
      </c>
      <c r="AG27" s="239">
        <v>34</v>
      </c>
      <c r="AH27" s="239">
        <v>35</v>
      </c>
      <c r="AI27" s="239">
        <f>11+6+12+3</f>
        <v>32</v>
      </c>
      <c r="AJ27" s="239">
        <v>27</v>
      </c>
      <c r="AK27" s="239">
        <v>20</v>
      </c>
      <c r="AL27" s="239">
        <v>19</v>
      </c>
      <c r="AM27" s="239">
        <v>35</v>
      </c>
      <c r="AN27" s="239">
        <f>10+6+11+4</f>
        <v>31</v>
      </c>
      <c r="AO27" s="239">
        <f>21+12+18+8</f>
        <v>59</v>
      </c>
      <c r="AP27" s="239">
        <f>33+12+24+12</f>
        <v>81</v>
      </c>
      <c r="AQ27" s="239">
        <f>SUM(16+10+3+5)</f>
        <v>34</v>
      </c>
      <c r="AR27" s="239">
        <f>4+4+7+2</f>
        <v>17</v>
      </c>
      <c r="AS27" s="239">
        <f>17+11+12+6</f>
        <v>46</v>
      </c>
      <c r="AT27" s="239">
        <f>11+6+11+4</f>
        <v>32</v>
      </c>
      <c r="AU27" s="239">
        <f>11+6+6+4</f>
        <v>27</v>
      </c>
      <c r="AV27" s="239">
        <f>13+6+7+5</f>
        <v>31</v>
      </c>
      <c r="AW27" s="460">
        <f>8+7+6+7</f>
        <v>28</v>
      </c>
      <c r="AX27" s="394">
        <f>9+8+4+8</f>
        <v>29</v>
      </c>
      <c r="AY27" s="394">
        <f>10+9+27+7</f>
        <v>53</v>
      </c>
      <c r="AZ27" s="394">
        <f>SUM(12+8+14+5)</f>
        <v>39</v>
      </c>
      <c r="BA27" s="576">
        <f>SUM(9+6+15+6)</f>
        <v>36</v>
      </c>
      <c r="BB27" s="576">
        <v>39</v>
      </c>
      <c r="BC27" s="394">
        <f>12+6+9+2</f>
        <v>29</v>
      </c>
      <c r="BD27" s="394">
        <f>(12+7+8+2)</f>
        <v>29</v>
      </c>
      <c r="BE27" s="394">
        <f>8+2+11+2</f>
        <v>23</v>
      </c>
      <c r="BF27" s="394">
        <f>8+2+3+3</f>
        <v>16</v>
      </c>
      <c r="BG27" s="278"/>
      <c r="BH27" s="391"/>
      <c r="BI27" s="460">
        <f t="shared" si="25"/>
        <v>8</v>
      </c>
      <c r="BJ27" s="394">
        <f t="shared" si="26"/>
        <v>10</v>
      </c>
      <c r="BK27" s="394">
        <f t="shared" si="27"/>
        <v>18</v>
      </c>
      <c r="BL27" s="394">
        <f t="shared" si="28"/>
        <v>8</v>
      </c>
      <c r="BM27" s="394">
        <f t="shared" si="28"/>
        <v>-23</v>
      </c>
      <c r="BN27" s="394">
        <f t="shared" si="28"/>
        <v>-42</v>
      </c>
      <c r="BO27" s="394">
        <f t="shared" si="28"/>
        <v>-5</v>
      </c>
      <c r="BP27" s="394">
        <f t="shared" si="29"/>
        <v>12</v>
      </c>
      <c r="BQ27" s="394">
        <f t="shared" si="30"/>
        <v>-23</v>
      </c>
      <c r="BR27" s="394">
        <f t="shared" si="31"/>
        <v>-16</v>
      </c>
      <c r="BS27" s="278"/>
      <c r="BT27" s="391"/>
    </row>
    <row r="28" spans="1:72" x14ac:dyDescent="0.25">
      <c r="B28" s="390" t="s">
        <v>39</v>
      </c>
      <c r="C28" s="429">
        <v>0</v>
      </c>
      <c r="D28" s="280">
        <v>2</v>
      </c>
      <c r="E28" s="280">
        <v>1</v>
      </c>
      <c r="F28" s="280">
        <v>3</v>
      </c>
      <c r="G28" s="280">
        <v>1</v>
      </c>
      <c r="H28" s="280">
        <v>2</v>
      </c>
      <c r="I28" s="280">
        <v>1</v>
      </c>
      <c r="J28" s="280">
        <v>1</v>
      </c>
      <c r="K28" s="280">
        <v>2</v>
      </c>
      <c r="L28" s="430">
        <v>1</v>
      </c>
      <c r="M28" s="429">
        <v>1</v>
      </c>
      <c r="N28" s="280">
        <v>1</v>
      </c>
      <c r="O28" s="280">
        <v>0</v>
      </c>
      <c r="P28" s="280">
        <v>4</v>
      </c>
      <c r="Q28" s="280">
        <v>6</v>
      </c>
      <c r="R28" s="280">
        <v>6</v>
      </c>
      <c r="S28" s="280">
        <v>3</v>
      </c>
      <c r="T28" s="280">
        <v>4</v>
      </c>
      <c r="U28" s="280">
        <v>4</v>
      </c>
      <c r="V28" s="280">
        <v>1</v>
      </c>
      <c r="W28" s="280">
        <v>3</v>
      </c>
      <c r="X28" s="430">
        <v>4</v>
      </c>
      <c r="Y28" s="280">
        <v>2</v>
      </c>
      <c r="Z28" s="280">
        <v>5</v>
      </c>
      <c r="AA28" s="280">
        <v>1</v>
      </c>
      <c r="AB28" s="280">
        <v>3</v>
      </c>
      <c r="AC28" s="239">
        <v>1</v>
      </c>
      <c r="AD28" s="239">
        <v>1</v>
      </c>
      <c r="AE28" s="239">
        <v>3</v>
      </c>
      <c r="AF28" s="239">
        <v>3</v>
      </c>
      <c r="AG28" s="239">
        <v>2</v>
      </c>
      <c r="AH28" s="239">
        <v>1</v>
      </c>
      <c r="AI28" s="239">
        <f>2</f>
        <v>2</v>
      </c>
      <c r="AJ28" s="239">
        <v>2</v>
      </c>
      <c r="AK28" s="239">
        <v>1</v>
      </c>
      <c r="AL28" s="239">
        <v>1</v>
      </c>
      <c r="AM28" s="239">
        <v>2</v>
      </c>
      <c r="AN28" s="239">
        <f>1</f>
        <v>1</v>
      </c>
      <c r="AO28" s="239">
        <v>0</v>
      </c>
      <c r="AP28" s="239">
        <v>0</v>
      </c>
      <c r="AQ28" s="239">
        <v>0</v>
      </c>
      <c r="AR28" s="239">
        <v>0</v>
      </c>
      <c r="AS28" s="239">
        <v>0</v>
      </c>
      <c r="AT28" s="239">
        <v>0</v>
      </c>
      <c r="AU28" s="239">
        <v>0</v>
      </c>
      <c r="AV28" s="239">
        <v>1</v>
      </c>
      <c r="AW28" s="460">
        <v>1</v>
      </c>
      <c r="AX28" s="394">
        <v>1</v>
      </c>
      <c r="AY28" s="394">
        <f>1</f>
        <v>1</v>
      </c>
      <c r="AZ28" s="394">
        <f>SUM(1)</f>
        <v>1</v>
      </c>
      <c r="BA28" s="576">
        <f>SUM(1+1)</f>
        <v>2</v>
      </c>
      <c r="BB28" s="576">
        <v>1</v>
      </c>
      <c r="BC28" s="394">
        <v>0</v>
      </c>
      <c r="BD28" s="394">
        <f>(1+1)</f>
        <v>2</v>
      </c>
      <c r="BE28" s="394">
        <v>0</v>
      </c>
      <c r="BF28" s="394">
        <v>1</v>
      </c>
      <c r="BG28" s="278"/>
      <c r="BH28" s="391"/>
      <c r="BI28" s="460">
        <f t="shared" si="25"/>
        <v>0</v>
      </c>
      <c r="BJ28" s="394">
        <f t="shared" si="26"/>
        <v>0</v>
      </c>
      <c r="BK28" s="394">
        <f t="shared" si="27"/>
        <v>-1</v>
      </c>
      <c r="BL28" s="394">
        <f t="shared" si="28"/>
        <v>0</v>
      </c>
      <c r="BM28" s="394">
        <f t="shared" si="28"/>
        <v>2</v>
      </c>
      <c r="BN28" s="394">
        <f t="shared" si="28"/>
        <v>1</v>
      </c>
      <c r="BO28" s="394">
        <f t="shared" si="28"/>
        <v>0</v>
      </c>
      <c r="BP28" s="394">
        <f t="shared" si="29"/>
        <v>2</v>
      </c>
      <c r="BQ28" s="394">
        <f t="shared" si="30"/>
        <v>0</v>
      </c>
      <c r="BR28" s="394">
        <f t="shared" si="31"/>
        <v>1</v>
      </c>
      <c r="BS28" s="278"/>
      <c r="BT28" s="391"/>
    </row>
    <row r="29" spans="1:72" x14ac:dyDescent="0.25">
      <c r="B29" s="390" t="s">
        <v>40</v>
      </c>
      <c r="C29" s="429">
        <f t="shared" ref="C29:AF29" si="32">SUM(C24:C28)</f>
        <v>16020</v>
      </c>
      <c r="D29" s="280">
        <f t="shared" si="32"/>
        <v>16333</v>
      </c>
      <c r="E29" s="280">
        <f t="shared" si="32"/>
        <v>16023</v>
      </c>
      <c r="F29" s="280">
        <f t="shared" si="32"/>
        <v>17885</v>
      </c>
      <c r="G29" s="280">
        <f t="shared" si="32"/>
        <v>16733</v>
      </c>
      <c r="H29" s="280">
        <f t="shared" si="32"/>
        <v>16633</v>
      </c>
      <c r="I29" s="280">
        <f t="shared" si="32"/>
        <v>16344</v>
      </c>
      <c r="J29" s="280">
        <f t="shared" si="32"/>
        <v>15492</v>
      </c>
      <c r="K29" s="280">
        <f t="shared" si="32"/>
        <v>15799</v>
      </c>
      <c r="L29" s="430">
        <f t="shared" si="32"/>
        <v>15232</v>
      </c>
      <c r="M29" s="429">
        <f t="shared" si="32"/>
        <v>14621</v>
      </c>
      <c r="N29" s="280">
        <f t="shared" si="32"/>
        <v>15172</v>
      </c>
      <c r="O29" s="280">
        <f t="shared" si="32"/>
        <v>16064</v>
      </c>
      <c r="P29" s="280">
        <f t="shared" si="32"/>
        <v>16842</v>
      </c>
      <c r="Q29" s="280">
        <f t="shared" si="32"/>
        <v>17502</v>
      </c>
      <c r="R29" s="280">
        <f t="shared" si="32"/>
        <v>17385</v>
      </c>
      <c r="S29" s="280">
        <f t="shared" si="32"/>
        <v>16230</v>
      </c>
      <c r="T29" s="280">
        <f t="shared" si="32"/>
        <v>16828</v>
      </c>
      <c r="U29" s="280">
        <f t="shared" si="32"/>
        <v>17156</v>
      </c>
      <c r="V29" s="280">
        <f t="shared" si="32"/>
        <v>16489</v>
      </c>
      <c r="W29" s="280">
        <f t="shared" si="32"/>
        <v>18377</v>
      </c>
      <c r="X29" s="430">
        <f t="shared" si="32"/>
        <v>18236</v>
      </c>
      <c r="Y29" s="280">
        <f t="shared" si="32"/>
        <v>17825</v>
      </c>
      <c r="Z29" s="280">
        <f t="shared" si="32"/>
        <v>20485</v>
      </c>
      <c r="AA29" s="280">
        <f t="shared" si="32"/>
        <v>17742</v>
      </c>
      <c r="AB29" s="280">
        <f t="shared" si="32"/>
        <v>17202</v>
      </c>
      <c r="AC29" s="280">
        <f t="shared" si="32"/>
        <v>13745</v>
      </c>
      <c r="AD29" s="280">
        <f t="shared" si="32"/>
        <v>12755</v>
      </c>
      <c r="AE29" s="280">
        <f t="shared" si="32"/>
        <v>14587</v>
      </c>
      <c r="AF29" s="280">
        <f t="shared" si="32"/>
        <v>13095</v>
      </c>
      <c r="AG29" s="280">
        <f t="shared" ref="AG29:AN29" si="33">SUM(AG24:AG28)</f>
        <v>12834</v>
      </c>
      <c r="AH29" s="280">
        <f t="shared" si="33"/>
        <v>11554</v>
      </c>
      <c r="AI29" s="280">
        <f t="shared" si="33"/>
        <v>10477</v>
      </c>
      <c r="AJ29" s="280">
        <f t="shared" si="33"/>
        <v>10862</v>
      </c>
      <c r="AK29" s="280">
        <f t="shared" si="33"/>
        <v>10132</v>
      </c>
      <c r="AL29" s="280">
        <f t="shared" si="33"/>
        <v>10322</v>
      </c>
      <c r="AM29" s="280">
        <f t="shared" si="33"/>
        <v>11568</v>
      </c>
      <c r="AN29" s="280">
        <f t="shared" si="33"/>
        <v>12701</v>
      </c>
      <c r="AO29" s="280">
        <f t="shared" ref="AO29:AT29" si="34">SUM(AO24:AO28)</f>
        <v>13933</v>
      </c>
      <c r="AP29" s="280">
        <f t="shared" si="34"/>
        <v>20883</v>
      </c>
      <c r="AQ29" s="280">
        <f t="shared" si="34"/>
        <v>14152</v>
      </c>
      <c r="AR29" s="280">
        <f t="shared" si="34"/>
        <v>6785</v>
      </c>
      <c r="AS29" s="280">
        <f t="shared" si="34"/>
        <v>12245</v>
      </c>
      <c r="AT29" s="280">
        <f t="shared" si="34"/>
        <v>10825</v>
      </c>
      <c r="AU29" s="280">
        <f t="shared" ref="AU29:BB29" si="35">SUM(AU24:AU28)</f>
        <v>10943</v>
      </c>
      <c r="AV29" s="280">
        <f t="shared" si="35"/>
        <v>11344</v>
      </c>
      <c r="AW29" s="462">
        <f t="shared" si="35"/>
        <v>10929</v>
      </c>
      <c r="AX29" s="395">
        <f t="shared" si="35"/>
        <v>11136</v>
      </c>
      <c r="AY29" s="395">
        <f t="shared" si="35"/>
        <v>11786</v>
      </c>
      <c r="AZ29" s="394">
        <f t="shared" si="35"/>
        <v>12596</v>
      </c>
      <c r="BA29" s="394">
        <f t="shared" si="35"/>
        <v>15613</v>
      </c>
      <c r="BB29" s="394">
        <f t="shared" si="35"/>
        <v>13181</v>
      </c>
      <c r="BC29" s="394">
        <f>SUM(BC24:BC28)</f>
        <v>11585</v>
      </c>
      <c r="BD29" s="394">
        <f>SUM(BD24:BD28)</f>
        <v>12355</v>
      </c>
      <c r="BE29" s="394">
        <f>SUM(BE24:BE28)</f>
        <v>9943</v>
      </c>
      <c r="BF29" s="394">
        <f>SUM(BF24:BF28)</f>
        <v>8780</v>
      </c>
      <c r="BG29" s="278"/>
      <c r="BH29" s="391"/>
      <c r="BI29" s="460">
        <f t="shared" si="25"/>
        <v>797</v>
      </c>
      <c r="BJ29" s="395">
        <f t="shared" si="26"/>
        <v>814</v>
      </c>
      <c r="BK29" s="395">
        <f t="shared" si="27"/>
        <v>218</v>
      </c>
      <c r="BL29" s="394">
        <f t="shared" si="28"/>
        <v>-105</v>
      </c>
      <c r="BM29" s="394">
        <f t="shared" si="28"/>
        <v>1680</v>
      </c>
      <c r="BN29" s="394">
        <f t="shared" si="28"/>
        <v>-7702</v>
      </c>
      <c r="BO29" s="394">
        <f t="shared" si="28"/>
        <v>-2567</v>
      </c>
      <c r="BP29" s="394">
        <f t="shared" si="29"/>
        <v>5570</v>
      </c>
      <c r="BQ29" s="394">
        <f t="shared" si="30"/>
        <v>-2302</v>
      </c>
      <c r="BR29" s="394">
        <f t="shared" si="31"/>
        <v>-2045</v>
      </c>
      <c r="BS29" s="278"/>
      <c r="BT29" s="391"/>
    </row>
    <row r="30" spans="1:72" x14ac:dyDescent="0.25">
      <c r="A30" s="341">
        <f>+A23+1</f>
        <v>4</v>
      </c>
      <c r="B30" s="397" t="s">
        <v>22</v>
      </c>
      <c r="C30" s="429"/>
      <c r="D30" s="280"/>
      <c r="E30" s="280"/>
      <c r="F30" s="280"/>
      <c r="G30" s="280"/>
      <c r="H30" s="280"/>
      <c r="I30" s="280"/>
      <c r="J30" s="280"/>
      <c r="K30" s="280"/>
      <c r="L30" s="430"/>
      <c r="M30" s="429"/>
      <c r="N30" s="280"/>
      <c r="O30" s="280"/>
      <c r="P30" s="280"/>
      <c r="Q30" s="280"/>
      <c r="R30" s="280"/>
      <c r="S30" s="280"/>
      <c r="T30" s="280"/>
      <c r="U30" s="280"/>
      <c r="V30" s="280"/>
      <c r="W30" s="280"/>
      <c r="X30" s="430"/>
      <c r="Y30" s="280"/>
      <c r="Z30" s="280"/>
      <c r="AA30" s="280"/>
      <c r="AB30" s="280"/>
      <c r="AC30" s="280"/>
      <c r="AD30" s="239"/>
      <c r="AE30" s="239"/>
      <c r="AF30" s="239"/>
      <c r="AG30" s="239"/>
      <c r="AH30" s="239"/>
      <c r="AI30" s="239"/>
      <c r="AJ30" s="239"/>
      <c r="AK30" s="239"/>
      <c r="AL30" s="239"/>
      <c r="AM30" s="239"/>
      <c r="AN30" s="239"/>
      <c r="AO30" s="239"/>
      <c r="AP30" s="239"/>
      <c r="AQ30" s="239"/>
      <c r="AR30" s="239"/>
      <c r="AS30" s="239"/>
      <c r="AT30" s="239"/>
      <c r="AU30" s="239"/>
      <c r="AV30" s="239"/>
      <c r="AW30" s="460"/>
      <c r="AX30" s="394"/>
      <c r="AY30" s="394"/>
      <c r="AZ30" s="394"/>
      <c r="BA30" s="278"/>
      <c r="BB30" s="278"/>
      <c r="BC30" s="394"/>
      <c r="BD30" s="394"/>
      <c r="BE30" s="394"/>
      <c r="BF30" s="394"/>
      <c r="BG30" s="278"/>
      <c r="BH30" s="391"/>
      <c r="BI30" s="460"/>
      <c r="BJ30" s="394"/>
      <c r="BK30" s="394"/>
      <c r="BL30" s="394"/>
      <c r="BM30" s="394"/>
      <c r="BN30" s="394"/>
      <c r="BO30" s="394"/>
      <c r="BP30" s="394"/>
      <c r="BQ30" s="394"/>
      <c r="BR30" s="394"/>
      <c r="BS30" s="278"/>
      <c r="BT30" s="391"/>
    </row>
    <row r="31" spans="1:72" x14ac:dyDescent="0.25">
      <c r="A31" s="341"/>
      <c r="B31" s="390" t="s">
        <v>35</v>
      </c>
      <c r="C31" s="429">
        <v>5293</v>
      </c>
      <c r="D31" s="280">
        <v>6308</v>
      </c>
      <c r="E31" s="280">
        <v>6644</v>
      </c>
      <c r="F31" s="280">
        <v>8013</v>
      </c>
      <c r="G31" s="280">
        <v>7461</v>
      </c>
      <c r="H31" s="280">
        <v>7683</v>
      </c>
      <c r="I31" s="280">
        <v>7520</v>
      </c>
      <c r="J31" s="280">
        <v>6955</v>
      </c>
      <c r="K31" s="280">
        <v>6941</v>
      </c>
      <c r="L31" s="430">
        <v>6508</v>
      </c>
      <c r="M31" s="429">
        <v>5859</v>
      </c>
      <c r="N31" s="280">
        <v>5888</v>
      </c>
      <c r="O31" s="280">
        <v>7002</v>
      </c>
      <c r="P31" s="280">
        <v>7875</v>
      </c>
      <c r="Q31" s="280">
        <v>8468</v>
      </c>
      <c r="R31" s="280">
        <v>8954</v>
      </c>
      <c r="S31" s="280">
        <v>8841</v>
      </c>
      <c r="T31" s="280">
        <v>8730</v>
      </c>
      <c r="U31" s="280">
        <v>8837</v>
      </c>
      <c r="V31" s="280">
        <v>8466</v>
      </c>
      <c r="W31" s="280">
        <f>8331+21</f>
        <v>8352</v>
      </c>
      <c r="X31" s="430">
        <f>8236+15</f>
        <v>8251</v>
      </c>
      <c r="Y31" s="280">
        <f>8120+14</f>
        <v>8134</v>
      </c>
      <c r="Z31" s="280">
        <f>7691</f>
        <v>7691</v>
      </c>
      <c r="AA31" s="280">
        <v>8442</v>
      </c>
      <c r="AB31" s="280">
        <v>8672</v>
      </c>
      <c r="AC31" s="239">
        <v>7642</v>
      </c>
      <c r="AD31" s="239">
        <f>345+6141+26</f>
        <v>6512</v>
      </c>
      <c r="AE31" s="239">
        <v>5955</v>
      </c>
      <c r="AF31" s="239">
        <v>7670</v>
      </c>
      <c r="AG31" s="239">
        <v>8773</v>
      </c>
      <c r="AH31" s="239">
        <v>7672</v>
      </c>
      <c r="AI31" s="239">
        <f>309+5819+8</f>
        <v>6136</v>
      </c>
      <c r="AJ31" s="239">
        <f>371+6244+6</f>
        <v>6621</v>
      </c>
      <c r="AK31" s="239">
        <f>397+5865</f>
        <v>6262</v>
      </c>
      <c r="AL31" s="239">
        <f>382+5381</f>
        <v>5763</v>
      </c>
      <c r="AM31" s="239">
        <f>327+4993</f>
        <v>5320</v>
      </c>
      <c r="AN31" s="239">
        <f>378+5905</f>
        <v>6283</v>
      </c>
      <c r="AO31" s="239">
        <f>452+8784+6</f>
        <v>9242</v>
      </c>
      <c r="AP31" s="239">
        <f>472+9342</f>
        <v>9814</v>
      </c>
      <c r="AQ31" s="239">
        <f>SUM(441+8774+1)</f>
        <v>9216</v>
      </c>
      <c r="AR31" s="239">
        <f>386+7251+2</f>
        <v>7639</v>
      </c>
      <c r="AS31" s="239">
        <f>357+6482+2</f>
        <v>6841</v>
      </c>
      <c r="AT31" s="239">
        <f>422+6853+2</f>
        <v>7277</v>
      </c>
      <c r="AU31" s="239">
        <f>366+5865+9</f>
        <v>6240</v>
      </c>
      <c r="AV31" s="239">
        <f>439+6280+4</f>
        <v>6723</v>
      </c>
      <c r="AW31" s="460">
        <f>386+5304+1</f>
        <v>5691</v>
      </c>
      <c r="AX31" s="394">
        <f>387+5311</f>
        <v>5698</v>
      </c>
      <c r="AY31" s="394">
        <f>369+5224+2</f>
        <v>5595</v>
      </c>
      <c r="AZ31" s="394">
        <f>SUM(383+5907+2)</f>
        <v>6292</v>
      </c>
      <c r="BA31" s="394">
        <v>9837</v>
      </c>
      <c r="BB31" s="394">
        <v>7751</v>
      </c>
      <c r="BC31" s="394">
        <f>351+6535</f>
        <v>6886</v>
      </c>
      <c r="BD31" s="394">
        <f>(348+6765)</f>
        <v>7113</v>
      </c>
      <c r="BE31" s="394">
        <f>260+5005+1</f>
        <v>5266</v>
      </c>
      <c r="BF31" s="394">
        <f>251+4630+2</f>
        <v>4883</v>
      </c>
      <c r="BG31" s="278"/>
      <c r="BH31" s="391"/>
      <c r="BI31" s="460">
        <f t="shared" ref="BI31:BI32" si="36">AW31-AK31</f>
        <v>-571</v>
      </c>
      <c r="BJ31" s="394">
        <f t="shared" ref="BJ31:BJ36" si="37">AX31-AL31</f>
        <v>-65</v>
      </c>
      <c r="BK31" s="394">
        <f t="shared" ref="BK31:BK36" si="38">AY31-AM31</f>
        <v>275</v>
      </c>
      <c r="BL31" s="394">
        <f t="shared" ref="BL31:BO36" si="39">AZ31-AN31</f>
        <v>9</v>
      </c>
      <c r="BM31" s="394">
        <f t="shared" si="39"/>
        <v>595</v>
      </c>
      <c r="BN31" s="394">
        <f t="shared" si="39"/>
        <v>-2063</v>
      </c>
      <c r="BO31" s="394">
        <f t="shared" si="39"/>
        <v>-2330</v>
      </c>
      <c r="BP31" s="394">
        <f t="shared" ref="BP31:BP36" si="40">BD31-AR31</f>
        <v>-526</v>
      </c>
      <c r="BQ31" s="394">
        <f t="shared" ref="BQ31:BQ36" si="41">BE31-AS31</f>
        <v>-1575</v>
      </c>
      <c r="BR31" s="394">
        <f t="shared" ref="BR31:BR36" si="42">BF31-AT31</f>
        <v>-2394</v>
      </c>
      <c r="BS31" s="278"/>
      <c r="BT31" s="391"/>
    </row>
    <row r="32" spans="1:72" x14ac:dyDescent="0.25">
      <c r="A32" s="341"/>
      <c r="B32" s="390" t="s">
        <v>36</v>
      </c>
      <c r="C32" s="429">
        <v>2441</v>
      </c>
      <c r="D32" s="280">
        <v>2594</v>
      </c>
      <c r="E32" s="280">
        <v>2446</v>
      </c>
      <c r="F32" s="280">
        <v>2850</v>
      </c>
      <c r="G32" s="280">
        <v>4252</v>
      </c>
      <c r="H32" s="280">
        <v>4312</v>
      </c>
      <c r="I32" s="280">
        <v>4316</v>
      </c>
      <c r="J32" s="280">
        <v>4296</v>
      </c>
      <c r="K32" s="280">
        <v>4090</v>
      </c>
      <c r="L32" s="430">
        <v>3276</v>
      </c>
      <c r="M32" s="429">
        <v>2727</v>
      </c>
      <c r="N32" s="280">
        <v>2693</v>
      </c>
      <c r="O32" s="280">
        <v>2589</v>
      </c>
      <c r="P32" s="280">
        <v>2805</v>
      </c>
      <c r="Q32" s="280">
        <v>2863</v>
      </c>
      <c r="R32" s="280">
        <v>1662</v>
      </c>
      <c r="S32" s="280">
        <v>3081</v>
      </c>
      <c r="T32" s="280">
        <v>3234</v>
      </c>
      <c r="U32" s="280">
        <v>3818</v>
      </c>
      <c r="V32" s="280">
        <v>3897</v>
      </c>
      <c r="W32" s="280">
        <v>4086</v>
      </c>
      <c r="X32" s="430">
        <v>4106</v>
      </c>
      <c r="Y32" s="280">
        <v>4264</v>
      </c>
      <c r="Z32" s="280">
        <v>3875</v>
      </c>
      <c r="AA32" s="280">
        <v>3727</v>
      </c>
      <c r="AB32" s="280">
        <v>3371</v>
      </c>
      <c r="AC32" s="239">
        <v>1752</v>
      </c>
      <c r="AD32" s="239">
        <f>77+2812</f>
        <v>2889</v>
      </c>
      <c r="AE32" s="239">
        <v>2626</v>
      </c>
      <c r="AF32" s="239">
        <v>3903</v>
      </c>
      <c r="AG32" s="239">
        <v>3020</v>
      </c>
      <c r="AH32" s="239">
        <v>2512</v>
      </c>
      <c r="AI32" s="239">
        <f>50+1624</f>
        <v>1674</v>
      </c>
      <c r="AJ32" s="239">
        <f>66+1705</f>
        <v>1771</v>
      </c>
      <c r="AK32" s="239">
        <f>71+1779</f>
        <v>1850</v>
      </c>
      <c r="AL32" s="239">
        <f>67+1694</f>
        <v>1761</v>
      </c>
      <c r="AM32" s="239">
        <f>61+1738</f>
        <v>1799</v>
      </c>
      <c r="AN32" s="239">
        <f>79+2236</f>
        <v>2315</v>
      </c>
      <c r="AO32" s="239">
        <f>105+6078</f>
        <v>6183</v>
      </c>
      <c r="AP32" s="239">
        <f>107+3235</f>
        <v>3342</v>
      </c>
      <c r="AQ32" s="239">
        <f>SUM(100+3090+0)</f>
        <v>3190</v>
      </c>
      <c r="AR32" s="239">
        <f>67+2139</f>
        <v>2206</v>
      </c>
      <c r="AS32" s="239">
        <f>68+2405</f>
        <v>2473</v>
      </c>
      <c r="AT32" s="239">
        <f>78+2415</f>
        <v>2493</v>
      </c>
      <c r="AU32" s="239">
        <f>57+2138</f>
        <v>2195</v>
      </c>
      <c r="AV32" s="239">
        <f>70+2372</f>
        <v>2442</v>
      </c>
      <c r="AW32" s="460">
        <f>87+2260</f>
        <v>2347</v>
      </c>
      <c r="AX32" s="394">
        <f>74+2363</f>
        <v>2437</v>
      </c>
      <c r="AY32" s="394">
        <f>78+2386</f>
        <v>2464</v>
      </c>
      <c r="AZ32" s="394">
        <f>SUM(103+2864)</f>
        <v>2967</v>
      </c>
      <c r="BA32" s="394">
        <v>3059</v>
      </c>
      <c r="BB32" s="394">
        <v>3122</v>
      </c>
      <c r="BC32" s="394">
        <f>99+2789</f>
        <v>2888</v>
      </c>
      <c r="BD32" s="394">
        <f>(94+3137)</f>
        <v>3231</v>
      </c>
      <c r="BE32" s="394">
        <f>93+2903</f>
        <v>2996</v>
      </c>
      <c r="BF32" s="394">
        <f>96+2820</f>
        <v>2916</v>
      </c>
      <c r="BG32" s="278"/>
      <c r="BH32" s="391"/>
      <c r="BI32" s="460">
        <f t="shared" si="36"/>
        <v>497</v>
      </c>
      <c r="BJ32" s="394">
        <f t="shared" si="37"/>
        <v>676</v>
      </c>
      <c r="BK32" s="394">
        <f t="shared" si="38"/>
        <v>665</v>
      </c>
      <c r="BL32" s="394">
        <f t="shared" si="39"/>
        <v>652</v>
      </c>
      <c r="BM32" s="394">
        <f t="shared" si="39"/>
        <v>-3124</v>
      </c>
      <c r="BN32" s="394">
        <f t="shared" si="39"/>
        <v>-220</v>
      </c>
      <c r="BO32" s="394">
        <f t="shared" si="39"/>
        <v>-302</v>
      </c>
      <c r="BP32" s="394">
        <f t="shared" si="40"/>
        <v>1025</v>
      </c>
      <c r="BQ32" s="394">
        <f t="shared" si="41"/>
        <v>523</v>
      </c>
      <c r="BR32" s="394">
        <f t="shared" si="42"/>
        <v>423</v>
      </c>
      <c r="BS32" s="278"/>
      <c r="BT32" s="391"/>
    </row>
    <row r="33" spans="1:72" x14ac:dyDescent="0.25">
      <c r="A33" s="341"/>
      <c r="B33" s="390" t="s">
        <v>37</v>
      </c>
      <c r="C33" s="429">
        <v>177</v>
      </c>
      <c r="D33" s="280">
        <v>213</v>
      </c>
      <c r="E33" s="280">
        <v>253</v>
      </c>
      <c r="F33" s="280">
        <v>282</v>
      </c>
      <c r="G33" s="280">
        <v>282</v>
      </c>
      <c r="H33" s="280">
        <v>289</v>
      </c>
      <c r="I33" s="280">
        <v>271</v>
      </c>
      <c r="J33" s="280">
        <v>229</v>
      </c>
      <c r="K33" s="280">
        <v>229</v>
      </c>
      <c r="L33" s="430">
        <v>222</v>
      </c>
      <c r="M33" s="429">
        <v>184</v>
      </c>
      <c r="N33" s="280">
        <v>231</v>
      </c>
      <c r="O33" s="280">
        <v>209</v>
      </c>
      <c r="P33" s="280">
        <v>362</v>
      </c>
      <c r="Q33" s="280">
        <v>486</v>
      </c>
      <c r="R33" s="280">
        <v>387</v>
      </c>
      <c r="S33" s="280">
        <v>347</v>
      </c>
      <c r="T33" s="280">
        <v>329</v>
      </c>
      <c r="U33" s="280">
        <v>292</v>
      </c>
      <c r="V33" s="280">
        <v>302</v>
      </c>
      <c r="W33" s="280">
        <v>352</v>
      </c>
      <c r="X33" s="430">
        <v>329</v>
      </c>
      <c r="Y33" s="280">
        <v>302</v>
      </c>
      <c r="Z33" s="280">
        <v>307</v>
      </c>
      <c r="AA33" s="280">
        <v>258</v>
      </c>
      <c r="AB33" s="280">
        <v>256</v>
      </c>
      <c r="AC33" s="239">
        <v>210</v>
      </c>
      <c r="AD33" s="239">
        <f>202+31+33+5</f>
        <v>271</v>
      </c>
      <c r="AE33" s="239">
        <v>226</v>
      </c>
      <c r="AF33" s="239">
        <v>347</v>
      </c>
      <c r="AG33" s="239">
        <v>294</v>
      </c>
      <c r="AH33" s="239">
        <v>313</v>
      </c>
      <c r="AI33" s="239">
        <f>206+36+2</f>
        <v>244</v>
      </c>
      <c r="AJ33" s="239">
        <v>263</v>
      </c>
      <c r="AK33" s="239">
        <v>262</v>
      </c>
      <c r="AL33" s="239">
        <v>263</v>
      </c>
      <c r="AM33" s="239">
        <v>222</v>
      </c>
      <c r="AN33" s="239">
        <f>214+40+37+7</f>
        <v>298</v>
      </c>
      <c r="AO33" s="239">
        <f>383+56+6+6</f>
        <v>451</v>
      </c>
      <c r="AP33" s="239">
        <f>409+68+6+4</f>
        <v>487</v>
      </c>
      <c r="AQ33" s="239">
        <f>SUM(320+56+1+3)</f>
        <v>380</v>
      </c>
      <c r="AR33" s="239">
        <f>272+46+2+4</f>
        <v>324</v>
      </c>
      <c r="AS33" s="239">
        <f>254+47+3+4</f>
        <v>308</v>
      </c>
      <c r="AT33" s="239">
        <f>241+46+2+4</f>
        <v>293</v>
      </c>
      <c r="AU33" s="239">
        <f>222+39+1+5</f>
        <v>267</v>
      </c>
      <c r="AV33" s="239">
        <f>239+47+1+3</f>
        <v>290</v>
      </c>
      <c r="AW33" s="460">
        <f>214+51+1+3</f>
        <v>269</v>
      </c>
      <c r="AX33" s="394">
        <f>217+62+3</f>
        <v>282</v>
      </c>
      <c r="AY33" s="394">
        <f>175+43+0+2</f>
        <v>220</v>
      </c>
      <c r="AZ33" s="394">
        <f>SUM(136+41+3)</f>
        <v>180</v>
      </c>
      <c r="BA33" s="394">
        <v>183</v>
      </c>
      <c r="BB33" s="394">
        <v>243</v>
      </c>
      <c r="BC33" s="394">
        <f>175+34+2</f>
        <v>211</v>
      </c>
      <c r="BD33" s="394">
        <f>(188+34+2+2)</f>
        <v>226</v>
      </c>
      <c r="BE33" s="394">
        <f>127+30+4+2</f>
        <v>163</v>
      </c>
      <c r="BF33" s="394">
        <f>103+21+2</f>
        <v>126</v>
      </c>
      <c r="BG33" s="278"/>
      <c r="BH33" s="391"/>
      <c r="BI33" s="460">
        <f>AW33-AK33</f>
        <v>7</v>
      </c>
      <c r="BJ33" s="394">
        <f t="shared" si="37"/>
        <v>19</v>
      </c>
      <c r="BK33" s="394">
        <f t="shared" si="38"/>
        <v>-2</v>
      </c>
      <c r="BL33" s="394">
        <f t="shared" si="39"/>
        <v>-118</v>
      </c>
      <c r="BM33" s="394">
        <f t="shared" si="39"/>
        <v>-268</v>
      </c>
      <c r="BN33" s="394">
        <f t="shared" si="39"/>
        <v>-244</v>
      </c>
      <c r="BO33" s="394">
        <f t="shared" si="39"/>
        <v>-169</v>
      </c>
      <c r="BP33" s="394">
        <f t="shared" si="40"/>
        <v>-98</v>
      </c>
      <c r="BQ33" s="394">
        <f t="shared" si="41"/>
        <v>-145</v>
      </c>
      <c r="BR33" s="394">
        <f t="shared" si="42"/>
        <v>-167</v>
      </c>
      <c r="BS33" s="278"/>
      <c r="BT33" s="391"/>
    </row>
    <row r="34" spans="1:72" x14ac:dyDescent="0.25">
      <c r="A34" s="341"/>
      <c r="B34" s="390" t="s">
        <v>38</v>
      </c>
      <c r="C34" s="429">
        <v>8</v>
      </c>
      <c r="D34" s="280">
        <v>14</v>
      </c>
      <c r="E34" s="280">
        <v>16</v>
      </c>
      <c r="F34" s="280">
        <v>21</v>
      </c>
      <c r="G34" s="280">
        <v>20</v>
      </c>
      <c r="H34" s="280">
        <v>23</v>
      </c>
      <c r="I34" s="280">
        <v>18</v>
      </c>
      <c r="J34" s="280">
        <v>17</v>
      </c>
      <c r="K34" s="280">
        <v>22</v>
      </c>
      <c r="L34" s="430">
        <v>11</v>
      </c>
      <c r="M34" s="429">
        <v>8</v>
      </c>
      <c r="N34" s="280">
        <v>12</v>
      </c>
      <c r="O34" s="280">
        <v>20</v>
      </c>
      <c r="P34" s="280">
        <v>49</v>
      </c>
      <c r="Q34" s="280">
        <v>52</v>
      </c>
      <c r="R34" s="280">
        <v>47</v>
      </c>
      <c r="S34" s="280">
        <v>40</v>
      </c>
      <c r="T34" s="280">
        <v>40</v>
      </c>
      <c r="U34" s="280">
        <v>37</v>
      </c>
      <c r="V34" s="280">
        <v>33</v>
      </c>
      <c r="W34" s="280">
        <v>34</v>
      </c>
      <c r="X34" s="430">
        <v>27</v>
      </c>
      <c r="Y34" s="280">
        <v>29</v>
      </c>
      <c r="Z34" s="280">
        <v>36</v>
      </c>
      <c r="AA34" s="280">
        <v>28</v>
      </c>
      <c r="AB34" s="280">
        <v>29</v>
      </c>
      <c r="AC34" s="239">
        <v>18</v>
      </c>
      <c r="AD34" s="239">
        <f>9+5+20</f>
        <v>34</v>
      </c>
      <c r="AE34" s="239">
        <v>19</v>
      </c>
      <c r="AF34" s="239">
        <v>26</v>
      </c>
      <c r="AG34" s="239">
        <v>23</v>
      </c>
      <c r="AH34" s="239">
        <v>23</v>
      </c>
      <c r="AI34" s="239">
        <f>6+5+6+2</f>
        <v>19</v>
      </c>
      <c r="AJ34" s="239">
        <v>18</v>
      </c>
      <c r="AK34" s="239">
        <v>12</v>
      </c>
      <c r="AL34" s="239">
        <v>13</v>
      </c>
      <c r="AM34" s="239">
        <v>10</v>
      </c>
      <c r="AN34" s="239">
        <f>5+3+12+7</f>
        <v>27</v>
      </c>
      <c r="AO34" s="239">
        <f>15+9+15+3</f>
        <v>42</v>
      </c>
      <c r="AP34" s="239">
        <f>18+9+6+4</f>
        <v>37</v>
      </c>
      <c r="AQ34" s="239">
        <f>SUM(17+5+3+4)</f>
        <v>29</v>
      </c>
      <c r="AR34" s="239">
        <f>12+7+5+3</f>
        <v>27</v>
      </c>
      <c r="AS34" s="239">
        <f>11+7+5+4</f>
        <v>27</v>
      </c>
      <c r="AT34" s="239">
        <f>10+6+7+3</f>
        <v>26</v>
      </c>
      <c r="AU34" s="239">
        <f>5+4+4+3</f>
        <v>16</v>
      </c>
      <c r="AV34" s="239">
        <f>9+5+2+3</f>
        <v>19</v>
      </c>
      <c r="AW34" s="460">
        <f>3+5+2+3</f>
        <v>13</v>
      </c>
      <c r="AX34" s="394">
        <f>6+4+2+2</f>
        <v>14</v>
      </c>
      <c r="AY34" s="394">
        <f>4+3+1+3</f>
        <v>11</v>
      </c>
      <c r="AZ34" s="394">
        <f>SUM(5+7+2+2)</f>
        <v>16</v>
      </c>
      <c r="BA34" s="394">
        <v>13</v>
      </c>
      <c r="BB34" s="394">
        <v>17</v>
      </c>
      <c r="BC34" s="394">
        <f>10+3+4+1</f>
        <v>18</v>
      </c>
      <c r="BD34" s="394">
        <f>(8+4+1+2)</f>
        <v>15</v>
      </c>
      <c r="BE34" s="394">
        <f>8+2+5+1</f>
        <v>16</v>
      </c>
      <c r="BF34" s="394">
        <f>6+2+2+1</f>
        <v>11</v>
      </c>
      <c r="BG34" s="278"/>
      <c r="BH34" s="391"/>
      <c r="BI34" s="460">
        <f t="shared" ref="BI34:BI36" si="43">AW34-AK34</f>
        <v>1</v>
      </c>
      <c r="BJ34" s="394">
        <f t="shared" si="37"/>
        <v>1</v>
      </c>
      <c r="BK34" s="394">
        <f t="shared" si="38"/>
        <v>1</v>
      </c>
      <c r="BL34" s="394">
        <f t="shared" si="39"/>
        <v>-11</v>
      </c>
      <c r="BM34" s="394">
        <f t="shared" si="39"/>
        <v>-29</v>
      </c>
      <c r="BN34" s="394">
        <f t="shared" si="39"/>
        <v>-20</v>
      </c>
      <c r="BO34" s="394">
        <f t="shared" si="39"/>
        <v>-11</v>
      </c>
      <c r="BP34" s="394">
        <f t="shared" si="40"/>
        <v>-12</v>
      </c>
      <c r="BQ34" s="394">
        <f t="shared" si="41"/>
        <v>-11</v>
      </c>
      <c r="BR34" s="394">
        <f t="shared" si="42"/>
        <v>-15</v>
      </c>
      <c r="BS34" s="278"/>
      <c r="BT34" s="391"/>
    </row>
    <row r="35" spans="1:72" x14ac:dyDescent="0.25">
      <c r="A35" s="341"/>
      <c r="B35" s="390" t="s">
        <v>39</v>
      </c>
      <c r="C35" s="429">
        <v>0</v>
      </c>
      <c r="D35" s="280">
        <v>0</v>
      </c>
      <c r="E35" s="280">
        <v>0</v>
      </c>
      <c r="F35" s="280">
        <v>0</v>
      </c>
      <c r="G35" s="280">
        <v>0</v>
      </c>
      <c r="H35" s="280">
        <v>0</v>
      </c>
      <c r="I35" s="280">
        <v>1</v>
      </c>
      <c r="J35" s="280">
        <v>0</v>
      </c>
      <c r="K35" s="280">
        <v>1</v>
      </c>
      <c r="L35" s="430">
        <v>0</v>
      </c>
      <c r="M35" s="429">
        <v>1</v>
      </c>
      <c r="N35" s="280">
        <v>1</v>
      </c>
      <c r="O35" s="280">
        <v>0</v>
      </c>
      <c r="P35" s="280">
        <v>0</v>
      </c>
      <c r="Q35" s="280">
        <v>3</v>
      </c>
      <c r="R35" s="280">
        <v>4</v>
      </c>
      <c r="S35" s="280">
        <v>1</v>
      </c>
      <c r="T35" s="280">
        <v>2</v>
      </c>
      <c r="U35" s="280">
        <v>1</v>
      </c>
      <c r="V35" s="280">
        <v>1</v>
      </c>
      <c r="W35" s="280">
        <v>1</v>
      </c>
      <c r="X35" s="430">
        <v>0</v>
      </c>
      <c r="Y35" s="280">
        <v>1</v>
      </c>
      <c r="Z35" s="280">
        <v>0</v>
      </c>
      <c r="AA35" s="280">
        <v>0</v>
      </c>
      <c r="AB35" s="280">
        <v>0</v>
      </c>
      <c r="AC35" s="239">
        <v>1</v>
      </c>
      <c r="AD35" s="239">
        <v>1</v>
      </c>
      <c r="AE35" s="239">
        <v>1</v>
      </c>
      <c r="AF35" s="239">
        <v>1</v>
      </c>
      <c r="AG35" s="239">
        <v>2</v>
      </c>
      <c r="AH35" s="239">
        <v>1</v>
      </c>
      <c r="AI35" s="239">
        <f>1</f>
        <v>1</v>
      </c>
      <c r="AJ35" s="239">
        <v>1</v>
      </c>
      <c r="AK35" s="239">
        <v>1</v>
      </c>
      <c r="AL35" s="239">
        <v>1</v>
      </c>
      <c r="AM35" s="239">
        <v>0</v>
      </c>
      <c r="AN35" s="239">
        <v>1</v>
      </c>
      <c r="AO35" s="239">
        <v>0</v>
      </c>
      <c r="AP35" s="239">
        <v>0</v>
      </c>
      <c r="AQ35" s="239">
        <v>0</v>
      </c>
      <c r="AR35" s="239">
        <v>0</v>
      </c>
      <c r="AS35" s="239">
        <v>0</v>
      </c>
      <c r="AT35" s="239">
        <v>0</v>
      </c>
      <c r="AU35" s="239">
        <v>0</v>
      </c>
      <c r="AV35" s="239">
        <v>0</v>
      </c>
      <c r="AW35" s="460">
        <v>1</v>
      </c>
      <c r="AX35" s="394">
        <v>0</v>
      </c>
      <c r="AY35" s="418">
        <v>1</v>
      </c>
      <c r="AZ35" s="394">
        <f>SUM(1)</f>
        <v>1</v>
      </c>
      <c r="BA35" s="394">
        <v>1</v>
      </c>
      <c r="BB35" s="394">
        <v>1</v>
      </c>
      <c r="BC35" s="394">
        <v>0</v>
      </c>
      <c r="BD35" s="394"/>
      <c r="BE35" s="394">
        <v>0</v>
      </c>
      <c r="BF35" s="394">
        <v>0</v>
      </c>
      <c r="BG35" s="278"/>
      <c r="BH35" s="391"/>
      <c r="BI35" s="460">
        <f t="shared" si="43"/>
        <v>0</v>
      </c>
      <c r="BJ35" s="394">
        <f t="shared" si="37"/>
        <v>-1</v>
      </c>
      <c r="BK35" s="418">
        <f t="shared" si="38"/>
        <v>1</v>
      </c>
      <c r="BL35" s="394">
        <f t="shared" si="39"/>
        <v>0</v>
      </c>
      <c r="BM35" s="394">
        <f t="shared" si="39"/>
        <v>1</v>
      </c>
      <c r="BN35" s="394">
        <f t="shared" si="39"/>
        <v>1</v>
      </c>
      <c r="BO35" s="394">
        <f t="shared" si="39"/>
        <v>0</v>
      </c>
      <c r="BP35" s="394">
        <f t="shared" si="40"/>
        <v>0</v>
      </c>
      <c r="BQ35" s="394">
        <f t="shared" si="41"/>
        <v>0</v>
      </c>
      <c r="BR35" s="394">
        <f t="shared" si="42"/>
        <v>0</v>
      </c>
      <c r="BS35" s="278"/>
      <c r="BT35" s="391"/>
    </row>
    <row r="36" spans="1:72" x14ac:dyDescent="0.25">
      <c r="A36" s="341"/>
      <c r="B36" s="390" t="s">
        <v>40</v>
      </c>
      <c r="C36" s="429">
        <f t="shared" ref="C36:AF36" si="44">SUM(C31:C35)</f>
        <v>7919</v>
      </c>
      <c r="D36" s="280">
        <f t="shared" si="44"/>
        <v>9129</v>
      </c>
      <c r="E36" s="280">
        <f t="shared" si="44"/>
        <v>9359</v>
      </c>
      <c r="F36" s="280">
        <f t="shared" si="44"/>
        <v>11166</v>
      </c>
      <c r="G36" s="280">
        <f t="shared" si="44"/>
        <v>12015</v>
      </c>
      <c r="H36" s="280">
        <f t="shared" si="44"/>
        <v>12307</v>
      </c>
      <c r="I36" s="280">
        <f t="shared" si="44"/>
        <v>12126</v>
      </c>
      <c r="J36" s="280">
        <f t="shared" si="44"/>
        <v>11497</v>
      </c>
      <c r="K36" s="280">
        <f t="shared" si="44"/>
        <v>11283</v>
      </c>
      <c r="L36" s="430">
        <f t="shared" si="44"/>
        <v>10017</v>
      </c>
      <c r="M36" s="429">
        <f t="shared" si="44"/>
        <v>8779</v>
      </c>
      <c r="N36" s="280">
        <f t="shared" si="44"/>
        <v>8825</v>
      </c>
      <c r="O36" s="280">
        <f t="shared" si="44"/>
        <v>9820</v>
      </c>
      <c r="P36" s="280">
        <f t="shared" si="44"/>
        <v>11091</v>
      </c>
      <c r="Q36" s="280">
        <f t="shared" si="44"/>
        <v>11872</v>
      </c>
      <c r="R36" s="280">
        <f t="shared" si="44"/>
        <v>11054</v>
      </c>
      <c r="S36" s="280">
        <f t="shared" si="44"/>
        <v>12310</v>
      </c>
      <c r="T36" s="280">
        <f t="shared" si="44"/>
        <v>12335</v>
      </c>
      <c r="U36" s="280">
        <f t="shared" si="44"/>
        <v>12985</v>
      </c>
      <c r="V36" s="280">
        <f t="shared" si="44"/>
        <v>12699</v>
      </c>
      <c r="W36" s="280">
        <f t="shared" si="44"/>
        <v>12825</v>
      </c>
      <c r="X36" s="430">
        <f t="shared" si="44"/>
        <v>12713</v>
      </c>
      <c r="Y36" s="280">
        <f t="shared" si="44"/>
        <v>12730</v>
      </c>
      <c r="Z36" s="280">
        <f t="shared" si="44"/>
        <v>11909</v>
      </c>
      <c r="AA36" s="280">
        <f t="shared" si="44"/>
        <v>12455</v>
      </c>
      <c r="AB36" s="280">
        <f t="shared" si="44"/>
        <v>12328</v>
      </c>
      <c r="AC36" s="280">
        <f t="shared" si="44"/>
        <v>9623</v>
      </c>
      <c r="AD36" s="280">
        <f t="shared" si="44"/>
        <v>9707</v>
      </c>
      <c r="AE36" s="280">
        <f t="shared" si="44"/>
        <v>8827</v>
      </c>
      <c r="AF36" s="280">
        <f t="shared" si="44"/>
        <v>11947</v>
      </c>
      <c r="AG36" s="280">
        <f t="shared" ref="AG36:AN36" si="45">SUM(AG31:AG35)</f>
        <v>12112</v>
      </c>
      <c r="AH36" s="280">
        <f t="shared" si="45"/>
        <v>10521</v>
      </c>
      <c r="AI36" s="280">
        <f t="shared" si="45"/>
        <v>8074</v>
      </c>
      <c r="AJ36" s="280">
        <f t="shared" si="45"/>
        <v>8674</v>
      </c>
      <c r="AK36" s="280">
        <f t="shared" si="45"/>
        <v>8387</v>
      </c>
      <c r="AL36" s="280">
        <f t="shared" si="45"/>
        <v>7801</v>
      </c>
      <c r="AM36" s="280">
        <f t="shared" si="45"/>
        <v>7351</v>
      </c>
      <c r="AN36" s="280">
        <f t="shared" si="45"/>
        <v>8924</v>
      </c>
      <c r="AO36" s="280">
        <f t="shared" ref="AO36:AT36" si="46">SUM(AO31:AO35)</f>
        <v>15918</v>
      </c>
      <c r="AP36" s="280">
        <f t="shared" si="46"/>
        <v>13680</v>
      </c>
      <c r="AQ36" s="280">
        <f t="shared" si="46"/>
        <v>12815</v>
      </c>
      <c r="AR36" s="280">
        <f t="shared" si="46"/>
        <v>10196</v>
      </c>
      <c r="AS36" s="280">
        <f t="shared" si="46"/>
        <v>9649</v>
      </c>
      <c r="AT36" s="280">
        <f t="shared" si="46"/>
        <v>10089</v>
      </c>
      <c r="AU36" s="280">
        <f t="shared" ref="AU36:BB36" si="47">SUM(AU31:AU35)</f>
        <v>8718</v>
      </c>
      <c r="AV36" s="280">
        <f t="shared" si="47"/>
        <v>9474</v>
      </c>
      <c r="AW36" s="462">
        <f t="shared" si="47"/>
        <v>8321</v>
      </c>
      <c r="AX36" s="395">
        <f t="shared" si="47"/>
        <v>8431</v>
      </c>
      <c r="AY36" s="395">
        <f t="shared" si="47"/>
        <v>8291</v>
      </c>
      <c r="AZ36" s="394">
        <f t="shared" si="47"/>
        <v>9456</v>
      </c>
      <c r="BA36" s="394">
        <f t="shared" si="47"/>
        <v>13093</v>
      </c>
      <c r="BB36" s="394">
        <f t="shared" si="47"/>
        <v>11134</v>
      </c>
      <c r="BC36" s="394">
        <f>SUM(BC31:BC35)</f>
        <v>10003</v>
      </c>
      <c r="BD36" s="394">
        <f>SUM(BD31:BD35)</f>
        <v>10585</v>
      </c>
      <c r="BE36" s="394">
        <f>SUM(BE31:BE35)</f>
        <v>8441</v>
      </c>
      <c r="BF36" s="394">
        <f>SUM(BF31:BF35)</f>
        <v>7936</v>
      </c>
      <c r="BG36" s="278"/>
      <c r="BH36" s="391"/>
      <c r="BI36" s="460">
        <f t="shared" si="43"/>
        <v>-66</v>
      </c>
      <c r="BJ36" s="395">
        <f t="shared" si="37"/>
        <v>630</v>
      </c>
      <c r="BK36" s="395">
        <f t="shared" si="38"/>
        <v>940</v>
      </c>
      <c r="BL36" s="394">
        <f t="shared" si="39"/>
        <v>532</v>
      </c>
      <c r="BM36" s="394">
        <f t="shared" si="39"/>
        <v>-2825</v>
      </c>
      <c r="BN36" s="394">
        <f t="shared" si="39"/>
        <v>-2546</v>
      </c>
      <c r="BO36" s="394">
        <f t="shared" si="39"/>
        <v>-2812</v>
      </c>
      <c r="BP36" s="394">
        <f t="shared" si="40"/>
        <v>389</v>
      </c>
      <c r="BQ36" s="394">
        <f t="shared" si="41"/>
        <v>-1208</v>
      </c>
      <c r="BR36" s="394">
        <f t="shared" si="42"/>
        <v>-2153</v>
      </c>
      <c r="BS36" s="278"/>
      <c r="BT36" s="391"/>
    </row>
    <row r="37" spans="1:72" x14ac:dyDescent="0.25">
      <c r="A37" s="341">
        <f>+A30+1</f>
        <v>5</v>
      </c>
      <c r="B37" s="397" t="s">
        <v>23</v>
      </c>
      <c r="C37" s="429"/>
      <c r="D37" s="280"/>
      <c r="E37" s="280"/>
      <c r="F37" s="280"/>
      <c r="G37" s="280"/>
      <c r="H37" s="280"/>
      <c r="I37" s="280"/>
      <c r="J37" s="280"/>
      <c r="K37" s="280"/>
      <c r="L37" s="430"/>
      <c r="M37" s="429"/>
      <c r="N37" s="280"/>
      <c r="O37" s="280"/>
      <c r="P37" s="280"/>
      <c r="Q37" s="280"/>
      <c r="R37" s="280"/>
      <c r="S37" s="280"/>
      <c r="T37" s="280"/>
      <c r="U37" s="280"/>
      <c r="V37" s="280"/>
      <c r="W37" s="280"/>
      <c r="X37" s="430"/>
      <c r="Y37" s="280"/>
      <c r="Z37" s="280"/>
      <c r="AA37" s="280"/>
      <c r="AB37" s="280"/>
      <c r="AC37" s="280"/>
      <c r="AD37" s="239"/>
      <c r="AE37" s="239"/>
      <c r="AF37" s="239"/>
      <c r="AG37" s="239"/>
      <c r="AH37" s="239"/>
      <c r="AI37" s="239"/>
      <c r="AJ37" s="239"/>
      <c r="AK37" s="239"/>
      <c r="AL37" s="239"/>
      <c r="AM37" s="239"/>
      <c r="AN37" s="239"/>
      <c r="AO37" s="239"/>
      <c r="AP37" s="239"/>
      <c r="AQ37" s="239"/>
      <c r="AR37" s="239"/>
      <c r="AS37" s="239"/>
      <c r="AT37" s="239"/>
      <c r="AU37" s="239"/>
      <c r="AV37" s="239"/>
      <c r="AW37" s="460"/>
      <c r="AX37" s="394"/>
      <c r="AY37" s="394"/>
      <c r="AZ37" s="394"/>
      <c r="BA37" s="278"/>
      <c r="BB37" s="278"/>
      <c r="BC37" s="394"/>
      <c r="BD37" s="394"/>
      <c r="BE37" s="394"/>
      <c r="BF37" s="394"/>
      <c r="BG37" s="278"/>
      <c r="BH37" s="391"/>
      <c r="BI37" s="460"/>
      <c r="BJ37" s="394"/>
      <c r="BK37" s="394"/>
      <c r="BL37" s="394"/>
      <c r="BM37" s="394"/>
      <c r="BN37" s="394"/>
      <c r="BO37" s="394"/>
      <c r="BP37" s="394"/>
      <c r="BQ37" s="394"/>
      <c r="BR37" s="394"/>
      <c r="BS37" s="278"/>
      <c r="BT37" s="391"/>
    </row>
    <row r="38" spans="1:72" x14ac:dyDescent="0.25">
      <c r="A38" s="341"/>
      <c r="B38" s="390" t="s">
        <v>35</v>
      </c>
      <c r="C38" s="429">
        <v>3667</v>
      </c>
      <c r="D38" s="280">
        <v>3500</v>
      </c>
      <c r="E38" s="280">
        <v>3951</v>
      </c>
      <c r="F38" s="280">
        <v>5033</v>
      </c>
      <c r="G38" s="280">
        <v>6056</v>
      </c>
      <c r="H38" s="280">
        <v>6331</v>
      </c>
      <c r="I38" s="280">
        <v>6164</v>
      </c>
      <c r="J38" s="280">
        <v>5868</v>
      </c>
      <c r="K38" s="280">
        <v>5709</v>
      </c>
      <c r="L38" s="430">
        <v>5403</v>
      </c>
      <c r="M38" s="429">
        <v>4593</v>
      </c>
      <c r="N38" s="280">
        <v>3723</v>
      </c>
      <c r="O38" s="280">
        <v>3891</v>
      </c>
      <c r="P38" s="280">
        <v>5009</v>
      </c>
      <c r="Q38" s="280">
        <v>5980</v>
      </c>
      <c r="R38" s="280">
        <v>7051</v>
      </c>
      <c r="S38" s="280">
        <v>7183</v>
      </c>
      <c r="T38" s="280">
        <v>7761</v>
      </c>
      <c r="U38" s="280">
        <v>7602</v>
      </c>
      <c r="V38" s="280">
        <v>7307</v>
      </c>
      <c r="W38" s="280">
        <f>7396+16</f>
        <v>7412</v>
      </c>
      <c r="X38" s="430">
        <f>7227+5</f>
        <v>7232</v>
      </c>
      <c r="Y38" s="280">
        <f>7252+4</f>
        <v>7256</v>
      </c>
      <c r="Z38" s="280">
        <f>7185</f>
        <v>7185</v>
      </c>
      <c r="AA38" s="280">
        <v>6968</v>
      </c>
      <c r="AB38" s="280">
        <v>7440</v>
      </c>
      <c r="AC38" s="239">
        <v>6312</v>
      </c>
      <c r="AD38" s="239">
        <f>298+5326+4</f>
        <v>5628</v>
      </c>
      <c r="AE38" s="239">
        <v>6533</v>
      </c>
      <c r="AF38" s="239">
        <v>6426</v>
      </c>
      <c r="AG38" s="239">
        <f>325+5952+8</f>
        <v>6285</v>
      </c>
      <c r="AH38" s="239">
        <v>6614</v>
      </c>
      <c r="AI38" s="239">
        <f>303+6144+6</f>
        <v>6453</v>
      </c>
      <c r="AJ38" s="239">
        <f>310+6047+5</f>
        <v>6362</v>
      </c>
      <c r="AK38" s="239">
        <f>344+5692</f>
        <v>6036</v>
      </c>
      <c r="AL38" s="239">
        <f>340+5287</f>
        <v>5627</v>
      </c>
      <c r="AM38" s="239">
        <f>329+4769</f>
        <v>5098</v>
      </c>
      <c r="AN38" s="239">
        <f>319+4474</f>
        <v>4793</v>
      </c>
      <c r="AO38" s="239">
        <f>1412+23124+60</f>
        <v>24596</v>
      </c>
      <c r="AP38" s="239">
        <f>385+343+415+255+7121+5766+6570+4065</f>
        <v>24920</v>
      </c>
      <c r="AQ38" s="239">
        <f>SUM(1401+24009+2)</f>
        <v>25412</v>
      </c>
      <c r="AR38" s="239">
        <f>1345+24179+3</f>
        <v>25527</v>
      </c>
      <c r="AS38" s="239">
        <f>1076+17083+3</f>
        <v>18162</v>
      </c>
      <c r="AT38" s="239">
        <f>1101+17199+3</f>
        <v>18303</v>
      </c>
      <c r="AU38" s="239">
        <f>1142+16490+3</f>
        <v>17635</v>
      </c>
      <c r="AV38" s="239">
        <f>1107+15844+3</f>
        <v>16954</v>
      </c>
      <c r="AW38" s="460">
        <f>1038+14041</f>
        <v>15079</v>
      </c>
      <c r="AX38" s="394">
        <f>1122+14535</f>
        <v>15657</v>
      </c>
      <c r="AY38" s="394">
        <f>1096+13709</f>
        <v>14805</v>
      </c>
      <c r="AZ38" s="394">
        <f>SUM(1001+12959+2)</f>
        <v>13962</v>
      </c>
      <c r="BA38" s="576">
        <f>SUM(1264+20674+2)</f>
        <v>21940</v>
      </c>
      <c r="BB38" s="576">
        <v>20216</v>
      </c>
      <c r="BC38" s="394">
        <f>SUM(1379+24017)</f>
        <v>25396</v>
      </c>
      <c r="BD38" s="394">
        <v>12788</v>
      </c>
      <c r="BE38" s="394">
        <f>704+12177+0</f>
        <v>12881</v>
      </c>
      <c r="BF38" s="394">
        <f>650+11683+1</f>
        <v>12334</v>
      </c>
      <c r="BG38" s="278"/>
      <c r="BH38" s="391"/>
      <c r="BI38" s="460">
        <f t="shared" ref="BI38:BI43" si="48">AW38-AK38</f>
        <v>9043</v>
      </c>
      <c r="BJ38" s="394">
        <f t="shared" ref="BJ38:BJ43" si="49">AX38-AL38</f>
        <v>10030</v>
      </c>
      <c r="BK38" s="394">
        <f t="shared" ref="BK38:BK43" si="50">AY38-AM38</f>
        <v>9707</v>
      </c>
      <c r="BL38" s="394">
        <f t="shared" ref="BL38:BO43" si="51">AZ38-AN38</f>
        <v>9169</v>
      </c>
      <c r="BM38" s="394">
        <f t="shared" si="51"/>
        <v>-2656</v>
      </c>
      <c r="BN38" s="394">
        <f t="shared" si="51"/>
        <v>-4704</v>
      </c>
      <c r="BO38" s="394">
        <f t="shared" si="51"/>
        <v>-16</v>
      </c>
      <c r="BP38" s="394">
        <f t="shared" ref="BP38:BP43" si="52">BD38-AR38</f>
        <v>-12739</v>
      </c>
      <c r="BQ38" s="394">
        <f t="shared" ref="BQ38:BQ43" si="53">BE38-AS38</f>
        <v>-5281</v>
      </c>
      <c r="BR38" s="394">
        <f t="shared" ref="BR38:BR43" si="54">BF38-AT38</f>
        <v>-5969</v>
      </c>
      <c r="BS38" s="278"/>
      <c r="BT38" s="391"/>
    </row>
    <row r="39" spans="1:72" x14ac:dyDescent="0.25">
      <c r="A39" s="341"/>
      <c r="B39" s="390" t="s">
        <v>36</v>
      </c>
      <c r="C39" s="429">
        <v>2373</v>
      </c>
      <c r="D39" s="280">
        <v>1959</v>
      </c>
      <c r="E39" s="280">
        <v>1660</v>
      </c>
      <c r="F39" s="280">
        <v>2110</v>
      </c>
      <c r="G39" s="280">
        <v>2505</v>
      </c>
      <c r="H39" s="280">
        <v>3908</v>
      </c>
      <c r="I39" s="280">
        <v>3978</v>
      </c>
      <c r="J39" s="280">
        <v>3934</v>
      </c>
      <c r="K39" s="280">
        <v>3764</v>
      </c>
      <c r="L39" s="430">
        <v>3013</v>
      </c>
      <c r="M39" s="429">
        <v>2380</v>
      </c>
      <c r="N39" s="280">
        <v>2273</v>
      </c>
      <c r="O39" s="280">
        <v>2122</v>
      </c>
      <c r="P39" s="280">
        <v>2311</v>
      </c>
      <c r="Q39" s="280">
        <v>2316</v>
      </c>
      <c r="R39" s="280">
        <v>1208</v>
      </c>
      <c r="S39" s="280">
        <v>1126</v>
      </c>
      <c r="T39" s="280">
        <v>2721</v>
      </c>
      <c r="U39" s="280">
        <v>3075</v>
      </c>
      <c r="V39" s="280">
        <v>3331</v>
      </c>
      <c r="W39" s="280">
        <v>3647</v>
      </c>
      <c r="X39" s="430">
        <v>3528</v>
      </c>
      <c r="Y39" s="280">
        <v>3651</v>
      </c>
      <c r="Z39" s="280">
        <v>3686</v>
      </c>
      <c r="AA39" s="280">
        <v>3221</v>
      </c>
      <c r="AB39" s="280">
        <v>3019</v>
      </c>
      <c r="AC39" s="239">
        <v>1539</v>
      </c>
      <c r="AD39" s="239">
        <f>70+2638</f>
        <v>2708</v>
      </c>
      <c r="AE39" s="239">
        <v>2593</v>
      </c>
      <c r="AF39" s="239">
        <v>2651</v>
      </c>
      <c r="AG39" s="239">
        <f>53+3421</f>
        <v>3474</v>
      </c>
      <c r="AH39" s="239">
        <v>2556</v>
      </c>
      <c r="AI39" s="239">
        <f>47+1860</f>
        <v>1907</v>
      </c>
      <c r="AJ39" s="239">
        <f>59+1956</f>
        <v>2015</v>
      </c>
      <c r="AK39" s="239">
        <f>70+1917</f>
        <v>1987</v>
      </c>
      <c r="AL39" s="239">
        <f>69+1862</f>
        <v>1931</v>
      </c>
      <c r="AM39" s="239">
        <f>66+1842</f>
        <v>1908</v>
      </c>
      <c r="AN39" s="239">
        <f>64+1677</f>
        <v>1741</v>
      </c>
      <c r="AO39" s="239">
        <f>245+8361+1</f>
        <v>8607</v>
      </c>
      <c r="AP39" s="239">
        <f>84+73+65+32+2484+2060+1670+826</f>
        <v>7294</v>
      </c>
      <c r="AQ39" s="239">
        <f>SUM(252+7202+1)</f>
        <v>7455</v>
      </c>
      <c r="AR39" s="239">
        <f>261+7560+1</f>
        <v>7822</v>
      </c>
      <c r="AS39" s="239">
        <f>220+7186</f>
        <v>7406</v>
      </c>
      <c r="AT39" s="239">
        <f>220+7064</f>
        <v>7284</v>
      </c>
      <c r="AU39" s="239">
        <f>175+6298</f>
        <v>6473</v>
      </c>
      <c r="AV39" s="239">
        <f>182+6459</f>
        <v>6641</v>
      </c>
      <c r="AW39" s="460">
        <f>265+7499</f>
        <v>7764</v>
      </c>
      <c r="AX39" s="394">
        <f>225+6630</f>
        <v>6855</v>
      </c>
      <c r="AY39" s="394">
        <f>243+6557</f>
        <v>6800</v>
      </c>
      <c r="AZ39" s="394">
        <f>SUM(285+7124)</f>
        <v>7409</v>
      </c>
      <c r="BA39" s="576">
        <v>7830</v>
      </c>
      <c r="BB39" s="576">
        <v>9798</v>
      </c>
      <c r="BC39" s="394">
        <f>SUM(380+11789+1)</f>
        <v>12170</v>
      </c>
      <c r="BD39" s="394">
        <v>7937</v>
      </c>
      <c r="BE39" s="394">
        <f>244+7931</f>
        <v>8175</v>
      </c>
      <c r="BF39" s="394">
        <f>251+7742</f>
        <v>7993</v>
      </c>
      <c r="BG39" s="278"/>
      <c r="BH39" s="391"/>
      <c r="BI39" s="460">
        <f t="shared" si="48"/>
        <v>5777</v>
      </c>
      <c r="BJ39" s="394">
        <f t="shared" si="49"/>
        <v>4924</v>
      </c>
      <c r="BK39" s="394">
        <f t="shared" si="50"/>
        <v>4892</v>
      </c>
      <c r="BL39" s="394">
        <f t="shared" si="51"/>
        <v>5668</v>
      </c>
      <c r="BM39" s="394">
        <f t="shared" si="51"/>
        <v>-777</v>
      </c>
      <c r="BN39" s="394">
        <f t="shared" si="51"/>
        <v>2504</v>
      </c>
      <c r="BO39" s="394">
        <f t="shared" si="51"/>
        <v>4715</v>
      </c>
      <c r="BP39" s="394">
        <f t="shared" si="52"/>
        <v>115</v>
      </c>
      <c r="BQ39" s="394">
        <f t="shared" si="53"/>
        <v>769</v>
      </c>
      <c r="BR39" s="394">
        <f t="shared" si="54"/>
        <v>709</v>
      </c>
      <c r="BS39" s="278"/>
      <c r="BT39" s="391"/>
    </row>
    <row r="40" spans="1:72" x14ac:dyDescent="0.25">
      <c r="A40" s="341"/>
      <c r="B40" s="390" t="s">
        <v>37</v>
      </c>
      <c r="C40" s="429">
        <v>93</v>
      </c>
      <c r="D40" s="280">
        <v>106</v>
      </c>
      <c r="E40" s="280">
        <v>146</v>
      </c>
      <c r="F40" s="280">
        <v>157</v>
      </c>
      <c r="G40" s="280">
        <v>186</v>
      </c>
      <c r="H40" s="280">
        <v>205</v>
      </c>
      <c r="I40" s="280">
        <v>203</v>
      </c>
      <c r="J40" s="280">
        <v>153</v>
      </c>
      <c r="K40" s="280">
        <v>160</v>
      </c>
      <c r="L40" s="430">
        <v>153</v>
      </c>
      <c r="M40" s="429">
        <v>165</v>
      </c>
      <c r="N40" s="280">
        <v>113</v>
      </c>
      <c r="O40" s="280">
        <v>128</v>
      </c>
      <c r="P40" s="280">
        <v>181</v>
      </c>
      <c r="Q40" s="280">
        <v>257</v>
      </c>
      <c r="R40" s="280">
        <v>275</v>
      </c>
      <c r="S40" s="280">
        <v>277</v>
      </c>
      <c r="T40" s="280">
        <v>249</v>
      </c>
      <c r="U40" s="280">
        <v>217</v>
      </c>
      <c r="V40" s="280">
        <v>212</v>
      </c>
      <c r="W40" s="280">
        <v>247</v>
      </c>
      <c r="X40" s="430">
        <v>274</v>
      </c>
      <c r="Y40" s="280">
        <v>265</v>
      </c>
      <c r="Z40" s="280">
        <v>220</v>
      </c>
      <c r="AA40" s="280">
        <v>201</v>
      </c>
      <c r="AB40" s="280">
        <v>219</v>
      </c>
      <c r="AC40" s="239">
        <v>151</v>
      </c>
      <c r="AD40" s="239">
        <f>142+26+2</f>
        <v>170</v>
      </c>
      <c r="AE40" s="239">
        <v>243</v>
      </c>
      <c r="AF40" s="239">
        <v>247</v>
      </c>
      <c r="AG40" s="239">
        <v>263</v>
      </c>
      <c r="AH40" s="239">
        <v>248</v>
      </c>
      <c r="AI40" s="239">
        <f>201+34+2</f>
        <v>237</v>
      </c>
      <c r="AJ40" s="239">
        <v>220</v>
      </c>
      <c r="AK40" s="239">
        <v>220</v>
      </c>
      <c r="AL40" s="239">
        <v>208</v>
      </c>
      <c r="AM40" s="239">
        <v>193</v>
      </c>
      <c r="AN40" s="239">
        <f>154+31+2</f>
        <v>187</v>
      </c>
      <c r="AO40" s="239">
        <f>1174+199+47+12</f>
        <v>1432</v>
      </c>
      <c r="AP40" s="239">
        <f>255+210+201+129+45+40+44+23+2+2+4</f>
        <v>955</v>
      </c>
      <c r="AQ40" s="239">
        <f>SUM(813+148+0+4)</f>
        <v>965</v>
      </c>
      <c r="AR40" s="239">
        <f>832+149+4</f>
        <v>985</v>
      </c>
      <c r="AS40" s="239">
        <f>690+115+4</f>
        <v>809</v>
      </c>
      <c r="AT40" s="239">
        <f>660+118+1+3</f>
        <v>782</v>
      </c>
      <c r="AU40" s="239">
        <f>589+99+2+5</f>
        <v>695</v>
      </c>
      <c r="AV40" s="239">
        <f>569+109+3+3</f>
        <v>684</v>
      </c>
      <c r="AW40" s="460">
        <f>520+117+3+4</f>
        <v>644</v>
      </c>
      <c r="AX40" s="394">
        <f>554+138+4</f>
        <v>696</v>
      </c>
      <c r="AY40" s="394">
        <f>455+107+2+1</f>
        <v>565</v>
      </c>
      <c r="AZ40" s="394">
        <f>SUM(367+103+1+3)</f>
        <v>474</v>
      </c>
      <c r="BA40" s="576">
        <v>426</v>
      </c>
      <c r="BB40" s="576">
        <v>685</v>
      </c>
      <c r="BC40" s="394">
        <f>SUM(857+159+3+6)</f>
        <v>1025</v>
      </c>
      <c r="BD40" s="394">
        <v>337</v>
      </c>
      <c r="BE40" s="394">
        <f>254+64+4</f>
        <v>322</v>
      </c>
      <c r="BF40" s="394">
        <f>194+53+1</f>
        <v>248</v>
      </c>
      <c r="BG40" s="278"/>
      <c r="BH40" s="391"/>
      <c r="BI40" s="460">
        <f t="shared" si="48"/>
        <v>424</v>
      </c>
      <c r="BJ40" s="394">
        <f t="shared" si="49"/>
        <v>488</v>
      </c>
      <c r="BK40" s="394">
        <f t="shared" si="50"/>
        <v>372</v>
      </c>
      <c r="BL40" s="394">
        <f t="shared" si="51"/>
        <v>287</v>
      </c>
      <c r="BM40" s="394">
        <f t="shared" si="51"/>
        <v>-1006</v>
      </c>
      <c r="BN40" s="394">
        <f t="shared" si="51"/>
        <v>-270</v>
      </c>
      <c r="BO40" s="394">
        <f t="shared" si="51"/>
        <v>60</v>
      </c>
      <c r="BP40" s="394">
        <f t="shared" si="52"/>
        <v>-648</v>
      </c>
      <c r="BQ40" s="394">
        <f t="shared" si="53"/>
        <v>-487</v>
      </c>
      <c r="BR40" s="394">
        <f t="shared" si="54"/>
        <v>-534</v>
      </c>
      <c r="BS40" s="278"/>
      <c r="BT40" s="391"/>
    </row>
    <row r="41" spans="1:72" x14ac:dyDescent="0.25">
      <c r="A41" s="341"/>
      <c r="B41" s="390" t="s">
        <v>38</v>
      </c>
      <c r="C41" s="429">
        <v>6</v>
      </c>
      <c r="D41" s="280">
        <v>6</v>
      </c>
      <c r="E41" s="280">
        <v>7</v>
      </c>
      <c r="F41" s="280">
        <v>9</v>
      </c>
      <c r="G41" s="280">
        <v>11</v>
      </c>
      <c r="H41" s="280">
        <v>15</v>
      </c>
      <c r="I41" s="280">
        <v>14</v>
      </c>
      <c r="J41" s="280">
        <v>12</v>
      </c>
      <c r="K41" s="280">
        <v>12</v>
      </c>
      <c r="L41" s="430">
        <v>6</v>
      </c>
      <c r="M41" s="429">
        <v>4</v>
      </c>
      <c r="N41" s="280">
        <v>3</v>
      </c>
      <c r="O41" s="280">
        <v>2</v>
      </c>
      <c r="P41" s="280">
        <v>16</v>
      </c>
      <c r="Q41" s="280">
        <v>29</v>
      </c>
      <c r="R41" s="280">
        <v>34</v>
      </c>
      <c r="S41" s="280">
        <v>37</v>
      </c>
      <c r="T41" s="280">
        <v>33</v>
      </c>
      <c r="U41" s="280">
        <v>31</v>
      </c>
      <c r="V41" s="280">
        <v>28</v>
      </c>
      <c r="W41" s="280">
        <v>24</v>
      </c>
      <c r="X41" s="430">
        <v>18</v>
      </c>
      <c r="Y41" s="280">
        <v>18</v>
      </c>
      <c r="Z41" s="280">
        <v>17</v>
      </c>
      <c r="AA41" s="280">
        <v>12</v>
      </c>
      <c r="AB41" s="280">
        <v>12</v>
      </c>
      <c r="AC41" s="239">
        <v>10</v>
      </c>
      <c r="AD41" s="239">
        <f>5+4+7</f>
        <v>16</v>
      </c>
      <c r="AE41" s="239">
        <v>13</v>
      </c>
      <c r="AF41" s="239">
        <v>19</v>
      </c>
      <c r="AG41" s="239">
        <v>18</v>
      </c>
      <c r="AH41" s="239">
        <v>24</v>
      </c>
      <c r="AI41" s="239">
        <f>6+4+5</f>
        <v>15</v>
      </c>
      <c r="AJ41" s="239">
        <v>15</v>
      </c>
      <c r="AK41" s="239">
        <v>10</v>
      </c>
      <c r="AL41" s="239">
        <v>9</v>
      </c>
      <c r="AM41" s="239">
        <v>7</v>
      </c>
      <c r="AN41" s="239">
        <f>3+3+2+1</f>
        <v>9</v>
      </c>
      <c r="AO41" s="239">
        <f>47+35+18+11</f>
        <v>111</v>
      </c>
      <c r="AP41" s="239">
        <f>7+9+4+1+6+5+4+1+5+7+4+3</f>
        <v>56</v>
      </c>
      <c r="AQ41" s="239">
        <f>SUM(19+11+4+7)</f>
        <v>41</v>
      </c>
      <c r="AR41" s="239">
        <f>30+16+7+9</f>
        <v>62</v>
      </c>
      <c r="AS41" s="239">
        <f>27+12+4+10</f>
        <v>53</v>
      </c>
      <c r="AT41" s="239">
        <f>24+9+9+7</f>
        <v>49</v>
      </c>
      <c r="AU41" s="239">
        <f>18+10+8+8</f>
        <v>44</v>
      </c>
      <c r="AV41" s="239">
        <f>14+11+6+7</f>
        <v>38</v>
      </c>
      <c r="AW41" s="460">
        <f>13+10+3+6</f>
        <v>32</v>
      </c>
      <c r="AX41" s="394">
        <f>13+12+4+7</f>
        <v>36</v>
      </c>
      <c r="AY41" s="394">
        <f>8+10+5+7</f>
        <v>30</v>
      </c>
      <c r="AZ41" s="394">
        <f>SUM(11+11+4+5)</f>
        <v>31</v>
      </c>
      <c r="BA41" s="576">
        <f>SUM(11+7+4+3)</f>
        <v>25</v>
      </c>
      <c r="BB41" s="576">
        <v>44</v>
      </c>
      <c r="BC41" s="394">
        <f>SUM(37+24+9+3)</f>
        <v>73</v>
      </c>
      <c r="BD41" s="394">
        <v>35</v>
      </c>
      <c r="BE41" s="394">
        <f>19+7+4+2</f>
        <v>32</v>
      </c>
      <c r="BF41" s="394">
        <f>18+8+2+4</f>
        <v>32</v>
      </c>
      <c r="BG41" s="278"/>
      <c r="BH41" s="391"/>
      <c r="BI41" s="460">
        <f t="shared" si="48"/>
        <v>22</v>
      </c>
      <c r="BJ41" s="394">
        <f t="shared" si="49"/>
        <v>27</v>
      </c>
      <c r="BK41" s="394">
        <f t="shared" si="50"/>
        <v>23</v>
      </c>
      <c r="BL41" s="394">
        <f t="shared" si="51"/>
        <v>22</v>
      </c>
      <c r="BM41" s="394">
        <f t="shared" si="51"/>
        <v>-86</v>
      </c>
      <c r="BN41" s="394">
        <f t="shared" si="51"/>
        <v>-12</v>
      </c>
      <c r="BO41" s="394">
        <f t="shared" si="51"/>
        <v>32</v>
      </c>
      <c r="BP41" s="394">
        <f t="shared" si="52"/>
        <v>-27</v>
      </c>
      <c r="BQ41" s="394">
        <f t="shared" si="53"/>
        <v>-21</v>
      </c>
      <c r="BR41" s="394">
        <f t="shared" si="54"/>
        <v>-17</v>
      </c>
      <c r="BS41" s="278"/>
      <c r="BT41" s="391"/>
    </row>
    <row r="42" spans="1:72" x14ac:dyDescent="0.25">
      <c r="A42" s="341"/>
      <c r="B42" s="390" t="s">
        <v>39</v>
      </c>
      <c r="C42" s="429">
        <v>0</v>
      </c>
      <c r="D42" s="280">
        <v>0</v>
      </c>
      <c r="E42" s="280">
        <v>0</v>
      </c>
      <c r="F42" s="280">
        <v>0</v>
      </c>
      <c r="G42" s="280">
        <v>0</v>
      </c>
      <c r="H42" s="280">
        <v>0</v>
      </c>
      <c r="I42" s="280">
        <v>0</v>
      </c>
      <c r="J42" s="280">
        <v>0</v>
      </c>
      <c r="K42" s="280">
        <v>0</v>
      </c>
      <c r="L42" s="430">
        <v>1</v>
      </c>
      <c r="M42" s="429">
        <v>1</v>
      </c>
      <c r="N42" s="280">
        <v>1</v>
      </c>
      <c r="O42" s="280">
        <v>0</v>
      </c>
      <c r="P42" s="280">
        <v>0</v>
      </c>
      <c r="Q42" s="280">
        <v>0</v>
      </c>
      <c r="R42" s="280">
        <v>2</v>
      </c>
      <c r="S42" s="280">
        <v>2</v>
      </c>
      <c r="T42" s="280">
        <v>1</v>
      </c>
      <c r="U42" s="280">
        <v>1</v>
      </c>
      <c r="V42" s="280">
        <v>1</v>
      </c>
      <c r="W42" s="280">
        <v>1</v>
      </c>
      <c r="X42" s="430">
        <v>0</v>
      </c>
      <c r="Y42" s="280">
        <v>0</v>
      </c>
      <c r="Z42" s="280">
        <v>0</v>
      </c>
      <c r="AA42" s="280">
        <v>0</v>
      </c>
      <c r="AB42" s="280">
        <v>0</v>
      </c>
      <c r="AC42" s="239">
        <v>0</v>
      </c>
      <c r="AD42" s="239">
        <v>0</v>
      </c>
      <c r="AE42" s="239">
        <v>1</v>
      </c>
      <c r="AF42" s="239">
        <v>1</v>
      </c>
      <c r="AG42" s="239">
        <v>1</v>
      </c>
      <c r="AH42" s="239">
        <v>1</v>
      </c>
      <c r="AI42" s="239">
        <v>1</v>
      </c>
      <c r="AJ42" s="239">
        <v>0</v>
      </c>
      <c r="AK42" s="239">
        <v>1</v>
      </c>
      <c r="AL42" s="239">
        <v>1</v>
      </c>
      <c r="AM42" s="239">
        <v>0</v>
      </c>
      <c r="AN42" s="239">
        <v>0</v>
      </c>
      <c r="AO42" s="239">
        <f>2</f>
        <v>2</v>
      </c>
      <c r="AP42" s="239">
        <v>0</v>
      </c>
      <c r="AQ42" s="239">
        <v>0</v>
      </c>
      <c r="AR42" s="239">
        <v>0</v>
      </c>
      <c r="AS42" s="239">
        <v>0</v>
      </c>
      <c r="AT42" s="239">
        <v>0</v>
      </c>
      <c r="AU42" s="239">
        <v>0</v>
      </c>
      <c r="AV42" s="239">
        <v>0</v>
      </c>
      <c r="AW42" s="460">
        <v>0</v>
      </c>
      <c r="AX42" s="394">
        <v>0</v>
      </c>
      <c r="AY42" s="418">
        <v>0</v>
      </c>
      <c r="AZ42" s="394">
        <v>1</v>
      </c>
      <c r="BA42" s="576">
        <v>0</v>
      </c>
      <c r="BB42" s="576">
        <v>2</v>
      </c>
      <c r="BC42" s="394">
        <v>2</v>
      </c>
      <c r="BD42" s="394"/>
      <c r="BE42" s="394">
        <v>0</v>
      </c>
      <c r="BF42" s="394">
        <v>0</v>
      </c>
      <c r="BG42" s="278"/>
      <c r="BH42" s="391"/>
      <c r="BI42" s="460">
        <f t="shared" si="48"/>
        <v>-1</v>
      </c>
      <c r="BJ42" s="394">
        <f t="shared" si="49"/>
        <v>-1</v>
      </c>
      <c r="BK42" s="418">
        <f t="shared" si="50"/>
        <v>0</v>
      </c>
      <c r="BL42" s="394">
        <f t="shared" si="51"/>
        <v>1</v>
      </c>
      <c r="BM42" s="394">
        <f t="shared" si="51"/>
        <v>-2</v>
      </c>
      <c r="BN42" s="394">
        <f t="shared" si="51"/>
        <v>2</v>
      </c>
      <c r="BO42" s="394">
        <f t="shared" si="51"/>
        <v>2</v>
      </c>
      <c r="BP42" s="394">
        <f t="shared" si="52"/>
        <v>0</v>
      </c>
      <c r="BQ42" s="394">
        <f t="shared" si="53"/>
        <v>0</v>
      </c>
      <c r="BR42" s="394">
        <f t="shared" si="54"/>
        <v>0</v>
      </c>
      <c r="BS42" s="278"/>
      <c r="BT42" s="391"/>
    </row>
    <row r="43" spans="1:72" ht="15.75" thickBot="1" x14ac:dyDescent="0.3">
      <c r="A43" s="341"/>
      <c r="B43" s="392" t="s">
        <v>40</v>
      </c>
      <c r="C43" s="447">
        <f t="shared" ref="C43:AD43" si="55">SUM(C38:C42)</f>
        <v>6139</v>
      </c>
      <c r="D43" s="407">
        <f t="shared" si="55"/>
        <v>5571</v>
      </c>
      <c r="E43" s="407">
        <f t="shared" si="55"/>
        <v>5764</v>
      </c>
      <c r="F43" s="407">
        <f t="shared" si="55"/>
        <v>7309</v>
      </c>
      <c r="G43" s="407">
        <f t="shared" si="55"/>
        <v>8758</v>
      </c>
      <c r="H43" s="407">
        <f t="shared" si="55"/>
        <v>10459</v>
      </c>
      <c r="I43" s="407">
        <f t="shared" si="55"/>
        <v>10359</v>
      </c>
      <c r="J43" s="407">
        <f t="shared" si="55"/>
        <v>9967</v>
      </c>
      <c r="K43" s="407">
        <f t="shared" si="55"/>
        <v>9645</v>
      </c>
      <c r="L43" s="393">
        <f t="shared" si="55"/>
        <v>8576</v>
      </c>
      <c r="M43" s="447">
        <f t="shared" si="55"/>
        <v>7143</v>
      </c>
      <c r="N43" s="407">
        <f t="shared" si="55"/>
        <v>6113</v>
      </c>
      <c r="O43" s="407">
        <f t="shared" si="55"/>
        <v>6143</v>
      </c>
      <c r="P43" s="407">
        <f t="shared" si="55"/>
        <v>7517</v>
      </c>
      <c r="Q43" s="407">
        <f t="shared" si="55"/>
        <v>8582</v>
      </c>
      <c r="R43" s="407">
        <f t="shared" si="55"/>
        <v>8570</v>
      </c>
      <c r="S43" s="407">
        <f t="shared" si="55"/>
        <v>8625</v>
      </c>
      <c r="T43" s="407">
        <f t="shared" si="55"/>
        <v>10765</v>
      </c>
      <c r="U43" s="407">
        <f t="shared" si="55"/>
        <v>10926</v>
      </c>
      <c r="V43" s="407">
        <f t="shared" si="55"/>
        <v>10879</v>
      </c>
      <c r="W43" s="407">
        <f t="shared" si="55"/>
        <v>11331</v>
      </c>
      <c r="X43" s="393">
        <f t="shared" si="55"/>
        <v>11052</v>
      </c>
      <c r="Y43" s="407">
        <f t="shared" si="55"/>
        <v>11190</v>
      </c>
      <c r="Z43" s="407">
        <f t="shared" si="55"/>
        <v>11108</v>
      </c>
      <c r="AA43" s="407">
        <f t="shared" si="55"/>
        <v>10402</v>
      </c>
      <c r="AB43" s="407">
        <f t="shared" si="55"/>
        <v>10690</v>
      </c>
      <c r="AC43" s="407">
        <f t="shared" si="55"/>
        <v>8012</v>
      </c>
      <c r="AD43" s="407">
        <f t="shared" si="55"/>
        <v>8522</v>
      </c>
      <c r="AE43" s="407">
        <f t="shared" ref="AE43:AN43" si="56">SUM(AE38:AE42)</f>
        <v>9383</v>
      </c>
      <c r="AF43" s="407">
        <f t="shared" si="56"/>
        <v>9344</v>
      </c>
      <c r="AG43" s="407">
        <f t="shared" si="56"/>
        <v>10041</v>
      </c>
      <c r="AH43" s="407">
        <f t="shared" si="56"/>
        <v>9443</v>
      </c>
      <c r="AI43" s="407">
        <f t="shared" si="56"/>
        <v>8613</v>
      </c>
      <c r="AJ43" s="407">
        <f t="shared" si="56"/>
        <v>8612</v>
      </c>
      <c r="AK43" s="407">
        <f t="shared" si="56"/>
        <v>8254</v>
      </c>
      <c r="AL43" s="407">
        <f t="shared" si="56"/>
        <v>7776</v>
      </c>
      <c r="AM43" s="407">
        <f t="shared" si="56"/>
        <v>7206</v>
      </c>
      <c r="AN43" s="407">
        <f t="shared" si="56"/>
        <v>6730</v>
      </c>
      <c r="AO43" s="407">
        <f t="shared" ref="AO43:AT43" si="57">SUM(AO38:AO42)</f>
        <v>34748</v>
      </c>
      <c r="AP43" s="407">
        <f t="shared" si="57"/>
        <v>33225</v>
      </c>
      <c r="AQ43" s="407">
        <f t="shared" si="57"/>
        <v>33873</v>
      </c>
      <c r="AR43" s="407">
        <f t="shared" si="57"/>
        <v>34396</v>
      </c>
      <c r="AS43" s="407">
        <f t="shared" si="57"/>
        <v>26430</v>
      </c>
      <c r="AT43" s="407">
        <f t="shared" si="57"/>
        <v>26418</v>
      </c>
      <c r="AU43" s="407">
        <f t="shared" ref="AU43:BB43" si="58">SUM(AU38:AU42)</f>
        <v>24847</v>
      </c>
      <c r="AV43" s="407">
        <f t="shared" si="58"/>
        <v>24317</v>
      </c>
      <c r="AW43" s="461">
        <f t="shared" si="58"/>
        <v>23519</v>
      </c>
      <c r="AX43" s="396">
        <f t="shared" si="58"/>
        <v>23244</v>
      </c>
      <c r="AY43" s="408">
        <f t="shared" si="58"/>
        <v>22200</v>
      </c>
      <c r="AZ43" s="396">
        <f t="shared" si="58"/>
        <v>21877</v>
      </c>
      <c r="BA43" s="396">
        <f t="shared" si="58"/>
        <v>30221</v>
      </c>
      <c r="BB43" s="396">
        <f t="shared" si="58"/>
        <v>30745</v>
      </c>
      <c r="BC43" s="396">
        <f>SUM(BC38:BC42)</f>
        <v>38666</v>
      </c>
      <c r="BD43" s="396">
        <f>SUM(BD38:BD42)</f>
        <v>21097</v>
      </c>
      <c r="BE43" s="396">
        <f>SUM(BE38:BE42)</f>
        <v>21410</v>
      </c>
      <c r="BF43" s="396">
        <f>SUM(BF38:BF42)</f>
        <v>20607</v>
      </c>
      <c r="BG43" s="375"/>
      <c r="BH43" s="448"/>
      <c r="BI43" s="460">
        <f t="shared" si="48"/>
        <v>15265</v>
      </c>
      <c r="BJ43" s="396">
        <f t="shared" si="49"/>
        <v>15468</v>
      </c>
      <c r="BK43" s="408">
        <f t="shared" si="50"/>
        <v>14994</v>
      </c>
      <c r="BL43" s="396">
        <f t="shared" si="51"/>
        <v>15147</v>
      </c>
      <c r="BM43" s="396">
        <f t="shared" si="51"/>
        <v>-4527</v>
      </c>
      <c r="BN43" s="396">
        <f t="shared" si="51"/>
        <v>-2480</v>
      </c>
      <c r="BO43" s="396">
        <f t="shared" si="51"/>
        <v>4793</v>
      </c>
      <c r="BP43" s="396">
        <f t="shared" si="52"/>
        <v>-13299</v>
      </c>
      <c r="BQ43" s="396">
        <f t="shared" si="53"/>
        <v>-5020</v>
      </c>
      <c r="BR43" s="396">
        <f t="shared" si="54"/>
        <v>-5811</v>
      </c>
      <c r="BS43" s="375"/>
      <c r="BT43" s="448"/>
    </row>
    <row r="44" spans="1:72" x14ac:dyDescent="0.25">
      <c r="A44" s="341">
        <f>+A37+1</f>
        <v>6</v>
      </c>
      <c r="B44" s="387" t="s">
        <v>28</v>
      </c>
      <c r="C44" s="449"/>
      <c r="D44" s="405"/>
      <c r="E44" s="405"/>
      <c r="F44" s="405"/>
      <c r="G44" s="405"/>
      <c r="H44" s="405"/>
      <c r="I44" s="405"/>
      <c r="J44" s="405"/>
      <c r="K44" s="405"/>
      <c r="L44" s="406"/>
      <c r="M44" s="449"/>
      <c r="N44" s="405"/>
      <c r="O44" s="405"/>
      <c r="P44" s="405"/>
      <c r="Q44" s="405"/>
      <c r="R44" s="405"/>
      <c r="S44" s="405"/>
      <c r="T44" s="405"/>
      <c r="U44" s="405"/>
      <c r="V44" s="405"/>
      <c r="W44" s="405"/>
      <c r="X44" s="406"/>
      <c r="Y44" s="405"/>
      <c r="Z44" s="405"/>
      <c r="AA44" s="405"/>
      <c r="AB44" s="405"/>
      <c r="AC44" s="405"/>
      <c r="AD44" s="450"/>
      <c r="AE44" s="450"/>
      <c r="AF44" s="450"/>
      <c r="AG44" s="450"/>
      <c r="AH44" s="450"/>
      <c r="AI44" s="450"/>
      <c r="AJ44" s="450"/>
      <c r="AK44" s="450"/>
      <c r="AL44" s="450"/>
      <c r="AM44" s="450"/>
      <c r="AN44" s="450"/>
      <c r="AO44" s="450"/>
      <c r="AP44" s="450"/>
      <c r="AQ44" s="450"/>
      <c r="AR44" s="450"/>
      <c r="AS44" s="450"/>
      <c r="AT44" s="450"/>
      <c r="AU44" s="450"/>
      <c r="AV44" s="450"/>
      <c r="AW44" s="459"/>
      <c r="AX44" s="388"/>
      <c r="AY44" s="388"/>
      <c r="AZ44" s="388"/>
      <c r="BA44" s="388"/>
      <c r="BB44" s="388"/>
      <c r="BC44" s="388"/>
      <c r="BD44" s="388"/>
      <c r="BE44" s="388"/>
      <c r="BF44" s="388"/>
      <c r="BG44" s="388"/>
      <c r="BH44" s="389"/>
      <c r="BI44" s="459"/>
      <c r="BJ44" s="388"/>
      <c r="BK44" s="388"/>
      <c r="BL44" s="388"/>
      <c r="BM44" s="388"/>
      <c r="BN44" s="388"/>
      <c r="BO44" s="388"/>
      <c r="BP44" s="388"/>
      <c r="BQ44" s="388"/>
      <c r="BR44" s="388"/>
      <c r="BS44" s="388"/>
      <c r="BT44" s="389"/>
    </row>
    <row r="45" spans="1:72" x14ac:dyDescent="0.25">
      <c r="A45" s="341"/>
      <c r="B45" s="390" t="s">
        <v>35</v>
      </c>
      <c r="C45" s="432">
        <v>1821026</v>
      </c>
      <c r="D45" s="108">
        <v>1650998.76</v>
      </c>
      <c r="E45" s="108">
        <v>1176663.68</v>
      </c>
      <c r="F45" s="108">
        <v>669517.34</v>
      </c>
      <c r="G45" s="108">
        <v>380798</v>
      </c>
      <c r="H45" s="108">
        <v>295353.48</v>
      </c>
      <c r="I45" s="108">
        <v>256996.49</v>
      </c>
      <c r="J45" s="108">
        <v>252061.12</v>
      </c>
      <c r="K45" s="108">
        <v>280220.07</v>
      </c>
      <c r="L45" s="364">
        <v>637757.55000000005</v>
      </c>
      <c r="M45" s="432">
        <v>1216950.5900000001</v>
      </c>
      <c r="N45" s="108">
        <v>1662894.85</v>
      </c>
      <c r="O45" s="108">
        <v>1628760.39</v>
      </c>
      <c r="P45" s="108">
        <v>1498127.82</v>
      </c>
      <c r="Q45" s="108">
        <v>1326257.92</v>
      </c>
      <c r="R45" s="108">
        <v>968907.04</v>
      </c>
      <c r="S45" s="108">
        <v>392634.33</v>
      </c>
      <c r="T45" s="108">
        <v>321005.89</v>
      </c>
      <c r="U45" s="108">
        <v>331676.33</v>
      </c>
      <c r="V45" s="108">
        <v>289679.82</v>
      </c>
      <c r="W45" s="108">
        <f>380477.25+2182</f>
        <v>382659.25</v>
      </c>
      <c r="X45" s="364">
        <f>661772.88+10878</f>
        <v>672650.88</v>
      </c>
      <c r="Y45" s="108">
        <f>1203619.93+18751</f>
        <v>1222370.93</v>
      </c>
      <c r="Z45" s="108">
        <f>2176372.8</f>
        <v>2176372.7999999998</v>
      </c>
      <c r="AA45" s="108">
        <f>1888917.17+1688</f>
        <v>1890605.17</v>
      </c>
      <c r="AB45" s="108">
        <v>1762477.31</v>
      </c>
      <c r="AC45" s="419">
        <v>1394594</v>
      </c>
      <c r="AD45" s="420">
        <f>13964.41+821055.56+15818.39</f>
        <v>850838.3600000001</v>
      </c>
      <c r="AE45" s="420">
        <v>678380.57</v>
      </c>
      <c r="AF45" s="420">
        <v>336512.8</v>
      </c>
      <c r="AG45" s="420">
        <f>10480.01+253405.27+950.37</f>
        <v>264835.64999999997</v>
      </c>
      <c r="AH45" s="420">
        <v>248562.76</v>
      </c>
      <c r="AI45" s="420">
        <f>9567.49+219826.03+370.55</f>
        <v>229764.06999999998</v>
      </c>
      <c r="AJ45" s="420">
        <f>12323.79+268466.52+257.17</f>
        <v>281047.48</v>
      </c>
      <c r="AK45" s="420">
        <f>14836.2+544624.36</f>
        <v>559460.55999999994</v>
      </c>
      <c r="AL45" s="420">
        <f>18475.44+995803.94+48.47</f>
        <v>1014327.8499999999</v>
      </c>
      <c r="AM45" s="420">
        <f>26758.98+1808112.3+4687.98</f>
        <v>1839559.26</v>
      </c>
      <c r="AN45" s="420">
        <f>25844.13+1945237.97</f>
        <v>1971082.0999999999</v>
      </c>
      <c r="AO45" s="420">
        <f>20957.44+1533952.57+314</f>
        <v>1555224.01</v>
      </c>
      <c r="AP45" s="420">
        <f>24328.38+1228539+343.08</f>
        <v>1253210.46</v>
      </c>
      <c r="AQ45" s="420">
        <f>SUM(18941.56+820147.98+109.59)</f>
        <v>839199.13</v>
      </c>
      <c r="AR45" s="420">
        <f>7143.53+271290.04</f>
        <v>278433.57</v>
      </c>
      <c r="AS45" s="420">
        <f>16355.99+491956.53+64.85</f>
        <v>508377.37</v>
      </c>
      <c r="AT45" s="420">
        <f>11424.96+309477.91+448.41</f>
        <v>321351.27999999997</v>
      </c>
      <c r="AU45" s="420">
        <f>15021.97+355520.25+346.66</f>
        <v>370888.87999999995</v>
      </c>
      <c r="AV45" s="420">
        <f>15161.6+439844.01+161.75</f>
        <v>455167.36</v>
      </c>
      <c r="AW45" s="463">
        <f>16867.92+570240.09+74.4</f>
        <v>587182.41</v>
      </c>
      <c r="AX45" s="398">
        <f>25305.95+1193519.85+214.6</f>
        <v>1219040.4000000001</v>
      </c>
      <c r="AY45" s="398">
        <f>26176.63+1761072.52+495.98</f>
        <v>1787745.13</v>
      </c>
      <c r="AZ45" s="398">
        <f>SUM(27483.24+1749184.47+309.51)</f>
        <v>1776977.22</v>
      </c>
      <c r="BA45" s="398">
        <v>2154551.3499999996</v>
      </c>
      <c r="BB45" s="398">
        <f>SUM(28979.47,1696984.21,152.46)</f>
        <v>1726116.14</v>
      </c>
      <c r="BC45" s="580">
        <f>12686.53+474801.77</f>
        <v>487488.30000000005</v>
      </c>
      <c r="BD45" s="398">
        <f>(12766.53+365037.81+60.93)</f>
        <v>377865.27</v>
      </c>
      <c r="BE45" s="398">
        <f>7157.77+227575.11+136.85</f>
        <v>234869.72999999998</v>
      </c>
      <c r="BF45" s="398">
        <f>5983.47+159623.88+116.53</f>
        <v>165723.88</v>
      </c>
      <c r="BG45" s="278"/>
      <c r="BH45" s="391"/>
      <c r="BI45" s="463">
        <f>AW45-AK45</f>
        <v>27721.850000000093</v>
      </c>
      <c r="BJ45" s="398">
        <f t="shared" ref="BJ45:BO50" si="59">AX45-AL45</f>
        <v>204712.55000000028</v>
      </c>
      <c r="BK45" s="398">
        <f t="shared" si="59"/>
        <v>-51814.130000000121</v>
      </c>
      <c r="BL45" s="398">
        <f t="shared" si="59"/>
        <v>-194104.87999999989</v>
      </c>
      <c r="BM45" s="398">
        <f t="shared" si="59"/>
        <v>599327.33999999962</v>
      </c>
      <c r="BN45" s="398">
        <f t="shared" si="59"/>
        <v>472905.67999999993</v>
      </c>
      <c r="BO45" s="398">
        <f t="shared" si="59"/>
        <v>-351710.82999999996</v>
      </c>
      <c r="BP45" s="398">
        <f t="shared" ref="BP45:BP50" si="60">BD45-AR45</f>
        <v>99431.700000000012</v>
      </c>
      <c r="BQ45" s="398">
        <f t="shared" ref="BQ45:BQ50" si="61">BE45-AS45</f>
        <v>-273507.64</v>
      </c>
      <c r="BR45" s="398">
        <f t="shared" ref="BR45:BR50" si="62">BF45-AT45</f>
        <v>-155627.39999999997</v>
      </c>
      <c r="BS45" s="278"/>
      <c r="BT45" s="391"/>
    </row>
    <row r="46" spans="1:72" x14ac:dyDescent="0.25">
      <c r="A46" s="341"/>
      <c r="B46" s="390" t="s">
        <v>36</v>
      </c>
      <c r="C46" s="432">
        <v>590605.9</v>
      </c>
      <c r="D46" s="108">
        <v>500323.03</v>
      </c>
      <c r="E46" s="108">
        <v>333874.45</v>
      </c>
      <c r="F46" s="108">
        <v>211984.29</v>
      </c>
      <c r="G46" s="108">
        <v>150515.16</v>
      </c>
      <c r="H46" s="108">
        <v>117913.52</v>
      </c>
      <c r="I46" s="108">
        <v>112748.79</v>
      </c>
      <c r="J46" s="108">
        <v>117966.53</v>
      </c>
      <c r="K46" s="108">
        <v>129774.09</v>
      </c>
      <c r="L46" s="364">
        <v>268373.32</v>
      </c>
      <c r="M46" s="432">
        <v>394952.4</v>
      </c>
      <c r="N46" s="108">
        <v>414462.54</v>
      </c>
      <c r="O46" s="108">
        <v>365043.85</v>
      </c>
      <c r="P46" s="108">
        <v>405196.08</v>
      </c>
      <c r="Q46" s="108">
        <v>354244.1</v>
      </c>
      <c r="R46" s="108">
        <v>204185.13</v>
      </c>
      <c r="S46" s="108">
        <v>129915.89</v>
      </c>
      <c r="T46" s="108">
        <v>186838.2</v>
      </c>
      <c r="U46" s="108">
        <v>322511.13</v>
      </c>
      <c r="V46" s="108">
        <v>353504.64</v>
      </c>
      <c r="W46" s="108">
        <v>288567.96999999997</v>
      </c>
      <c r="X46" s="364">
        <v>293706.05</v>
      </c>
      <c r="Y46" s="108">
        <v>598931.29</v>
      </c>
      <c r="Z46" s="108">
        <v>909128.53</v>
      </c>
      <c r="AA46" s="108">
        <v>631457.32999999996</v>
      </c>
      <c r="AB46" s="108">
        <v>507075.97</v>
      </c>
      <c r="AC46" s="419">
        <v>287826.59999999998</v>
      </c>
      <c r="AD46" s="420">
        <f>2102.14+366711.51</f>
        <v>368813.65</v>
      </c>
      <c r="AE46" s="420">
        <v>208173.56</v>
      </c>
      <c r="AF46" s="420">
        <v>92424.52</v>
      </c>
      <c r="AG46" s="420">
        <f>1004.49+80448.88</f>
        <v>81453.37000000001</v>
      </c>
      <c r="AH46" s="420">
        <v>124892.89</v>
      </c>
      <c r="AI46" s="420">
        <f>1360.14+83116.61</f>
        <v>84476.75</v>
      </c>
      <c r="AJ46" s="420">
        <f>1568.5+75019.6</f>
        <v>76588.100000000006</v>
      </c>
      <c r="AK46" s="420">
        <f>1971.78+138001.98</f>
        <v>139973.76000000001</v>
      </c>
      <c r="AL46" s="420">
        <f>2263.81+244404.82</f>
        <v>246668.63</v>
      </c>
      <c r="AM46" s="420">
        <f>2788.2+404176.06</f>
        <v>406964.26</v>
      </c>
      <c r="AN46" s="420">
        <f>3694.81+618962.74</f>
        <v>622657.55000000005</v>
      </c>
      <c r="AO46" s="420">
        <f>2546.16+370331.63+0</f>
        <v>372877.79</v>
      </c>
      <c r="AP46" s="420">
        <f>3510.45+342806.24</f>
        <v>346316.69</v>
      </c>
      <c r="AQ46" s="420">
        <f>2815.01+245992.85+0</f>
        <v>248807.86000000002</v>
      </c>
      <c r="AR46" s="420">
        <f>1183.1+80261.89</f>
        <v>81444.990000000005</v>
      </c>
      <c r="AS46" s="420">
        <f>2918.26+182878.9</f>
        <v>185797.16</v>
      </c>
      <c r="AT46" s="420">
        <f>2193.36+137461.75</f>
        <v>139655.10999999999</v>
      </c>
      <c r="AU46" s="420">
        <f>2120.95+150442.04</f>
        <v>152562.99000000002</v>
      </c>
      <c r="AV46" s="420">
        <f>2609.85+168191.76</f>
        <v>170801.61000000002</v>
      </c>
      <c r="AW46" s="463">
        <f>3704.95+257921.14</f>
        <v>261626.09000000003</v>
      </c>
      <c r="AX46" s="398">
        <f>4044.05+451517.3</f>
        <v>455561.35</v>
      </c>
      <c r="AY46" s="398">
        <f>5366.91+587533.45</f>
        <v>592900.36</v>
      </c>
      <c r="AZ46" s="398">
        <f>SUM(6335.73+637687.58)</f>
        <v>644023.30999999994</v>
      </c>
      <c r="BA46" s="398">
        <v>571761.48</v>
      </c>
      <c r="BB46" s="398">
        <f>SUM(573123.94,5098.39)</f>
        <v>578222.32999999996</v>
      </c>
      <c r="BC46" s="580">
        <f>2953.73+229782.76</f>
        <v>232736.49000000002</v>
      </c>
      <c r="BD46" s="398">
        <f>(4782.08+173776.67)</f>
        <v>178558.75</v>
      </c>
      <c r="BE46" s="398">
        <f>3217.06+156796.39</f>
        <v>160013.45000000001</v>
      </c>
      <c r="BF46" s="398">
        <f>2077.12+116459.21</f>
        <v>118536.33</v>
      </c>
      <c r="BG46" s="278"/>
      <c r="BH46" s="391"/>
      <c r="BI46" s="463">
        <f t="shared" ref="BI46:BI50" si="63">AW46-AK46</f>
        <v>121652.33000000002</v>
      </c>
      <c r="BJ46" s="398">
        <f t="shared" si="59"/>
        <v>208892.71999999997</v>
      </c>
      <c r="BK46" s="398">
        <f t="shared" si="59"/>
        <v>185936.09999999998</v>
      </c>
      <c r="BL46" s="398">
        <f t="shared" si="59"/>
        <v>21365.759999999893</v>
      </c>
      <c r="BM46" s="398">
        <f t="shared" si="59"/>
        <v>198883.69</v>
      </c>
      <c r="BN46" s="398">
        <f t="shared" si="59"/>
        <v>231905.63999999996</v>
      </c>
      <c r="BO46" s="398">
        <f t="shared" si="59"/>
        <v>-16071.369999999995</v>
      </c>
      <c r="BP46" s="398">
        <f t="shared" si="60"/>
        <v>97113.76</v>
      </c>
      <c r="BQ46" s="398">
        <f t="shared" si="61"/>
        <v>-25783.709999999992</v>
      </c>
      <c r="BR46" s="398">
        <f t="shared" si="62"/>
        <v>-21118.779999999984</v>
      </c>
      <c r="BS46" s="278"/>
      <c r="BT46" s="391"/>
    </row>
    <row r="47" spans="1:72" x14ac:dyDescent="0.25">
      <c r="A47" s="341"/>
      <c r="B47" s="390" t="s">
        <v>37</v>
      </c>
      <c r="C47" s="432">
        <v>321241.65000000002</v>
      </c>
      <c r="D47" s="108">
        <v>140056.82</v>
      </c>
      <c r="E47" s="108">
        <v>88137.22</v>
      </c>
      <c r="F47" s="108">
        <v>49210.55</v>
      </c>
      <c r="G47" s="108">
        <v>26687.018</v>
      </c>
      <c r="H47" s="108">
        <v>22451.53</v>
      </c>
      <c r="I47" s="108">
        <v>21939.57</v>
      </c>
      <c r="J47" s="108">
        <v>17783.98</v>
      </c>
      <c r="K47" s="108">
        <v>22724.86</v>
      </c>
      <c r="L47" s="364">
        <v>42183.72</v>
      </c>
      <c r="M47" s="432">
        <v>112912.76</v>
      </c>
      <c r="N47" s="108">
        <v>216491.69</v>
      </c>
      <c r="O47" s="108">
        <v>161553.18</v>
      </c>
      <c r="P47" s="108">
        <v>209743.49</v>
      </c>
      <c r="Q47" s="108">
        <v>211740.41</v>
      </c>
      <c r="R47" s="108">
        <v>87297.72</v>
      </c>
      <c r="S47" s="108">
        <v>39719.300000000003</v>
      </c>
      <c r="T47" s="108">
        <v>187848.89</v>
      </c>
      <c r="U47" s="108">
        <v>21963.88</v>
      </c>
      <c r="V47" s="108">
        <v>21516.17</v>
      </c>
      <c r="W47" s="108">
        <v>32503.53</v>
      </c>
      <c r="X47" s="364">
        <v>59046.94</v>
      </c>
      <c r="Y47" s="108">
        <v>142827.85</v>
      </c>
      <c r="Z47" s="108">
        <v>262550.06</v>
      </c>
      <c r="AA47" s="108">
        <v>174627.74</v>
      </c>
      <c r="AB47" s="108">
        <v>162423.38</v>
      </c>
      <c r="AC47" s="419">
        <v>95867.69</v>
      </c>
      <c r="AD47" s="420">
        <f>46555.42+10194.37+20836.07+3357.77</f>
        <v>80943.63</v>
      </c>
      <c r="AE47" s="420">
        <v>48823.11</v>
      </c>
      <c r="AF47" s="420">
        <v>23180.98</v>
      </c>
      <c r="AG47" s="420">
        <v>16556.2</v>
      </c>
      <c r="AH47" s="420">
        <v>15540.91</v>
      </c>
      <c r="AI47" s="420">
        <f>11986.91+5159.4+130.26+59.88</f>
        <v>17336.449999999997</v>
      </c>
      <c r="AJ47" s="420">
        <v>19272.38</v>
      </c>
      <c r="AK47" s="420">
        <v>25771.9</v>
      </c>
      <c r="AL47" s="420">
        <v>50608.11</v>
      </c>
      <c r="AM47" s="420">
        <v>117527.9</v>
      </c>
      <c r="AN47" s="420">
        <f>109625.38+8288.32+679.2+811.63</f>
        <v>119404.53000000001</v>
      </c>
      <c r="AO47" s="420">
        <f>135289.7+14810.67+201.03+13248.28</f>
        <v>163549.68000000002</v>
      </c>
      <c r="AP47" s="420">
        <f>77314.7+12113.66+1242.01+695.98</f>
        <v>91366.349999999991</v>
      </c>
      <c r="AQ47" s="420">
        <f>41907.81+8738.43+282.98+937.33</f>
        <v>51866.55</v>
      </c>
      <c r="AR47" s="420">
        <f>8101.49+2887.6+78.08+118.2</f>
        <v>11185.37</v>
      </c>
      <c r="AS47" s="420">
        <f>20778.58+9237.82+194.71+295.9</f>
        <v>30507.010000000002</v>
      </c>
      <c r="AT47" s="420">
        <f>18828.42+7364.34+154.45+425.92</f>
        <v>26773.129999999997</v>
      </c>
      <c r="AU47" s="420">
        <f>15137.64+9250.18+148.15+522.61</f>
        <v>25058.58</v>
      </c>
      <c r="AV47" s="420">
        <f>22878.79+8097.99+161.14+362.17</f>
        <v>31500.089999999997</v>
      </c>
      <c r="AW47" s="463">
        <f>24692.05+11461.87+253.77+398.78</f>
        <v>36806.469999999994</v>
      </c>
      <c r="AX47" s="398">
        <f>61045.93+15602.98+519.78</f>
        <v>77168.69</v>
      </c>
      <c r="AY47" s="398">
        <f>78027.11+13704.69+802.83+339.63</f>
        <v>92874.260000000009</v>
      </c>
      <c r="AZ47" s="398">
        <f>SUM(75872.11+13764.5+1183.79+727.06)</f>
        <v>91547.459999999992</v>
      </c>
      <c r="BA47" s="398">
        <v>87523.67</v>
      </c>
      <c r="BB47" s="398">
        <f>SUM(86774.29,13026.29,1339.43,79.57)</f>
        <v>101219.57999999999</v>
      </c>
      <c r="BC47" s="580">
        <f>17042.21+4690.32+550.85+320.82</f>
        <v>22604.199999999997</v>
      </c>
      <c r="BD47" s="398">
        <f>(16160.55+3615.45+480.58+361.98)</f>
        <v>20618.560000000001</v>
      </c>
      <c r="BE47" s="398">
        <f>9709.8+2731.85+300.15+67.79</f>
        <v>12809.59</v>
      </c>
      <c r="BF47" s="398">
        <f>7272.56+1779.85+277.18</f>
        <v>9329.59</v>
      </c>
      <c r="BG47" s="278"/>
      <c r="BH47" s="391"/>
      <c r="BI47" s="463">
        <f t="shared" si="63"/>
        <v>11034.569999999992</v>
      </c>
      <c r="BJ47" s="398">
        <f t="shared" si="59"/>
        <v>26560.58</v>
      </c>
      <c r="BK47" s="398">
        <f t="shared" si="59"/>
        <v>-24653.639999999985</v>
      </c>
      <c r="BL47" s="398">
        <f t="shared" si="59"/>
        <v>-27857.070000000022</v>
      </c>
      <c r="BM47" s="398">
        <f t="shared" si="59"/>
        <v>-76026.010000000024</v>
      </c>
      <c r="BN47" s="398">
        <f t="shared" si="59"/>
        <v>9853.2299999999959</v>
      </c>
      <c r="BO47" s="398">
        <f t="shared" si="59"/>
        <v>-29262.350000000006</v>
      </c>
      <c r="BP47" s="398">
        <f t="shared" si="60"/>
        <v>9433.19</v>
      </c>
      <c r="BQ47" s="398">
        <f t="shared" si="61"/>
        <v>-17697.420000000002</v>
      </c>
      <c r="BR47" s="398">
        <f t="shared" si="62"/>
        <v>-17443.539999999997</v>
      </c>
      <c r="BS47" s="278"/>
      <c r="BT47" s="391"/>
    </row>
    <row r="48" spans="1:72" x14ac:dyDescent="0.25">
      <c r="A48" s="341"/>
      <c r="B48" s="390" t="s">
        <v>38</v>
      </c>
      <c r="C48" s="432">
        <v>179234.14</v>
      </c>
      <c r="D48" s="108">
        <v>165981.01999999999</v>
      </c>
      <c r="E48" s="108">
        <v>97080.67</v>
      </c>
      <c r="F48" s="108">
        <v>57623.64</v>
      </c>
      <c r="G48" s="108">
        <v>19071.689999999999</v>
      </c>
      <c r="H48" s="108">
        <v>21025.47</v>
      </c>
      <c r="I48" s="108">
        <v>17006.86</v>
      </c>
      <c r="J48" s="108">
        <v>10391.27</v>
      </c>
      <c r="K48" s="108">
        <v>25417.82</v>
      </c>
      <c r="L48" s="364">
        <v>46100.17</v>
      </c>
      <c r="M48" s="432">
        <v>100128.11</v>
      </c>
      <c r="N48" s="108">
        <v>181222.06</v>
      </c>
      <c r="O48" s="108">
        <v>172104.03</v>
      </c>
      <c r="P48" s="108">
        <v>256307.41</v>
      </c>
      <c r="Q48" s="108">
        <v>188086.67</v>
      </c>
      <c r="R48" s="108">
        <v>110525.82</v>
      </c>
      <c r="S48" s="108">
        <v>39665.9</v>
      </c>
      <c r="T48" s="108">
        <v>47009.46</v>
      </c>
      <c r="U48" s="108">
        <v>24178.51</v>
      </c>
      <c r="V48" s="108">
        <v>73427.95</v>
      </c>
      <c r="W48" s="108">
        <v>48464.56</v>
      </c>
      <c r="X48" s="364">
        <v>112253.53</v>
      </c>
      <c r="Y48" s="108">
        <v>246635.57</v>
      </c>
      <c r="Z48" s="108">
        <v>507713.21</v>
      </c>
      <c r="AA48" s="108">
        <v>183978.61</v>
      </c>
      <c r="AB48" s="108">
        <v>218333.44</v>
      </c>
      <c r="AC48" s="419">
        <v>182295.4</v>
      </c>
      <c r="AD48" s="420">
        <f>55390.95+10830.84+109713.7+10174.39</f>
        <v>186109.88</v>
      </c>
      <c r="AE48" s="420">
        <v>53729.62</v>
      </c>
      <c r="AF48" s="420">
        <v>23242.59</v>
      </c>
      <c r="AG48" s="420">
        <v>28628.04</v>
      </c>
      <c r="AH48" s="420">
        <v>23713.13</v>
      </c>
      <c r="AI48" s="420">
        <f>15427.23+3292.14+2273.55+5606.71</f>
        <v>26599.629999999997</v>
      </c>
      <c r="AJ48" s="420">
        <v>38955.99</v>
      </c>
      <c r="AK48" s="420">
        <v>32295.22</v>
      </c>
      <c r="AL48" s="420">
        <v>57766.13</v>
      </c>
      <c r="AM48" s="420">
        <v>104517.14</v>
      </c>
      <c r="AN48" s="420">
        <f>47855.87+6499.79+24612.2+17981.77</f>
        <v>96949.63</v>
      </c>
      <c r="AO48" s="420">
        <f>94666.11+7716.9+36913.76+13248.28</f>
        <v>152545.04999999999</v>
      </c>
      <c r="AP48" s="420">
        <f>141085.02+11376.71+24440.73+7669.91</f>
        <v>184572.37</v>
      </c>
      <c r="AQ48" s="420">
        <f>39861.14+6611.63+28650.96+5650.1</f>
        <v>80773.83</v>
      </c>
      <c r="AR48" s="420">
        <f>752.76+3792.48+548.14+1514.84</f>
        <v>6608.22</v>
      </c>
      <c r="AS48" s="420">
        <f>8410.96+10115.76+2885.55+5688.04</f>
        <v>27100.31</v>
      </c>
      <c r="AT48" s="420">
        <f>13695.57+16366.45+2045.15+3401.05</f>
        <v>35508.22</v>
      </c>
      <c r="AU48" s="420">
        <f>8847.53+7435.38+1120.61+4513.7</f>
        <v>21917.22</v>
      </c>
      <c r="AV48" s="420">
        <f>8775.67+8102.75+2069.82+4586.87</f>
        <v>23535.109999999997</v>
      </c>
      <c r="AW48" s="463">
        <f>18824.39+7276.03+1514.49+7739.72</f>
        <v>35354.629999999997</v>
      </c>
      <c r="AX48" s="398">
        <f>34217.37+11513.57+279.43+12356.43</f>
        <v>58366.8</v>
      </c>
      <c r="AY48" s="398">
        <f>47218.58+15593.24+13393.56+11756.57</f>
        <v>87961.950000000012</v>
      </c>
      <c r="AZ48" s="398">
        <f>SUM(97425.53+16489.94+12127.59+6060.79)</f>
        <v>132103.85</v>
      </c>
      <c r="BA48" s="398">
        <v>96316.17</v>
      </c>
      <c r="BB48" s="398">
        <f>SUM(57378.66,7876.73,36844.65,4611.31)</f>
        <v>106711.35</v>
      </c>
      <c r="BC48" s="580">
        <f>23786.61+6085.26+13904.19+764.93</f>
        <v>44540.990000000005</v>
      </c>
      <c r="BD48" s="398">
        <f>(8820.78+8515.27+1748.64+199.68)</f>
        <v>19284.370000000003</v>
      </c>
      <c r="BE48" s="398">
        <f>6856.26+3124.8+1158.73+201.57</f>
        <v>11341.36</v>
      </c>
      <c r="BF48" s="398">
        <f>6137.26+2258.3+150.47+271.23</f>
        <v>8817.26</v>
      </c>
      <c r="BG48" s="278"/>
      <c r="BH48" s="391"/>
      <c r="BI48" s="463">
        <f t="shared" si="63"/>
        <v>3059.4099999999962</v>
      </c>
      <c r="BJ48" s="398">
        <f t="shared" si="59"/>
        <v>600.67000000000553</v>
      </c>
      <c r="BK48" s="398">
        <f t="shared" si="59"/>
        <v>-16555.189999999988</v>
      </c>
      <c r="BL48" s="398">
        <f t="shared" si="59"/>
        <v>35154.22</v>
      </c>
      <c r="BM48" s="398">
        <f t="shared" si="59"/>
        <v>-56228.87999999999</v>
      </c>
      <c r="BN48" s="398">
        <f t="shared" si="59"/>
        <v>-77861.01999999999</v>
      </c>
      <c r="BO48" s="398">
        <f t="shared" si="59"/>
        <v>-36232.839999999997</v>
      </c>
      <c r="BP48" s="398">
        <f t="shared" si="60"/>
        <v>12676.150000000001</v>
      </c>
      <c r="BQ48" s="398">
        <f t="shared" si="61"/>
        <v>-15758.95</v>
      </c>
      <c r="BR48" s="398">
        <f t="shared" si="62"/>
        <v>-26690.959999999999</v>
      </c>
      <c r="BS48" s="278"/>
      <c r="BT48" s="391"/>
    </row>
    <row r="49" spans="1:72" x14ac:dyDescent="0.25">
      <c r="A49" s="341"/>
      <c r="B49" s="390" t="s">
        <v>39</v>
      </c>
      <c r="C49" s="432">
        <v>0</v>
      </c>
      <c r="D49" s="108">
        <v>17568.169999999998</v>
      </c>
      <c r="E49" s="108">
        <v>15.32</v>
      </c>
      <c r="F49" s="108">
        <v>16898.810000000001</v>
      </c>
      <c r="G49" s="108">
        <v>46.51</v>
      </c>
      <c r="H49" s="108">
        <v>950.14</v>
      </c>
      <c r="I49" s="108">
        <v>927.58</v>
      </c>
      <c r="J49" s="108">
        <v>9.19</v>
      </c>
      <c r="K49" s="108">
        <v>1553.41</v>
      </c>
      <c r="L49" s="364">
        <v>197.31</v>
      </c>
      <c r="M49" s="432">
        <v>12384.7</v>
      </c>
      <c r="N49" s="108">
        <v>17376.810000000001</v>
      </c>
      <c r="O49" s="108">
        <v>0</v>
      </c>
      <c r="P49" s="108">
        <v>63980.44</v>
      </c>
      <c r="Q49" s="108">
        <v>136991.03</v>
      </c>
      <c r="R49" s="108">
        <v>42200.47</v>
      </c>
      <c r="S49" s="108">
        <v>31614.11</v>
      </c>
      <c r="T49" s="108">
        <v>25374.49</v>
      </c>
      <c r="U49" s="108">
        <v>8174.55</v>
      </c>
      <c r="V49" s="108">
        <v>606.82000000000005</v>
      </c>
      <c r="W49" s="108">
        <v>40055.07</v>
      </c>
      <c r="X49" s="364">
        <v>16426.810000000001</v>
      </c>
      <c r="Y49" s="108">
        <v>33459.980000000003</v>
      </c>
      <c r="Z49" s="108">
        <v>85993.41</v>
      </c>
      <c r="AA49" s="108">
        <v>446.98</v>
      </c>
      <c r="AB49" s="108">
        <v>53577.47</v>
      </c>
      <c r="AC49" s="419">
        <v>11265.42</v>
      </c>
      <c r="AD49" s="420">
        <v>11265.42</v>
      </c>
      <c r="AE49" s="420">
        <v>21938.73</v>
      </c>
      <c r="AF49" s="420">
        <v>5560.35</v>
      </c>
      <c r="AG49" s="420">
        <v>4099.0200000000004</v>
      </c>
      <c r="AH49" s="420">
        <v>5995.23</v>
      </c>
      <c r="AI49" s="420">
        <f>926.05+7148.41</f>
        <v>8074.46</v>
      </c>
      <c r="AJ49" s="420">
        <v>7114.47</v>
      </c>
      <c r="AK49" s="420">
        <v>9153.7800000000007</v>
      </c>
      <c r="AL49" s="420">
        <v>14366.22</v>
      </c>
      <c r="AM49" s="420">
        <v>15662.95</v>
      </c>
      <c r="AN49" s="420">
        <v>25910.46</v>
      </c>
      <c r="AO49" s="420">
        <v>0</v>
      </c>
      <c r="AP49" s="420">
        <v>0</v>
      </c>
      <c r="AQ49" s="420">
        <v>0</v>
      </c>
      <c r="AR49" s="420">
        <v>0</v>
      </c>
      <c r="AS49" s="420">
        <v>0</v>
      </c>
      <c r="AT49" s="420">
        <v>0</v>
      </c>
      <c r="AU49" s="420">
        <v>0</v>
      </c>
      <c r="AV49" s="420">
        <v>13843.53</v>
      </c>
      <c r="AW49" s="463">
        <v>8948.76</v>
      </c>
      <c r="AX49" s="398">
        <v>12939.32</v>
      </c>
      <c r="AY49" s="398">
        <f>38824.7</f>
        <v>38824.699999999997</v>
      </c>
      <c r="AZ49" s="398">
        <f>SUM(23755.58)</f>
        <v>23755.58</v>
      </c>
      <c r="BA49" s="398">
        <v>22818.54</v>
      </c>
      <c r="BB49" s="398">
        <f>SUM(22818.54)</f>
        <v>22818.54</v>
      </c>
      <c r="BC49" s="580">
        <f>0</f>
        <v>0</v>
      </c>
      <c r="BD49" s="398">
        <f>(1185.86+13467.71)</f>
        <v>14653.57</v>
      </c>
      <c r="BE49" s="398">
        <v>0</v>
      </c>
      <c r="BF49" s="398">
        <v>187.71</v>
      </c>
      <c r="BG49" s="278"/>
      <c r="BH49" s="391"/>
      <c r="BI49" s="463">
        <f t="shared" si="63"/>
        <v>-205.02000000000044</v>
      </c>
      <c r="BJ49" s="398">
        <f t="shared" si="59"/>
        <v>-1426.8999999999996</v>
      </c>
      <c r="BK49" s="398">
        <f t="shared" si="59"/>
        <v>23161.749999999996</v>
      </c>
      <c r="BL49" s="398">
        <f t="shared" si="59"/>
        <v>-2154.8799999999974</v>
      </c>
      <c r="BM49" s="398">
        <f t="shared" si="59"/>
        <v>22818.54</v>
      </c>
      <c r="BN49" s="398">
        <f t="shared" si="59"/>
        <v>22818.54</v>
      </c>
      <c r="BO49" s="398">
        <f t="shared" si="59"/>
        <v>0</v>
      </c>
      <c r="BP49" s="398">
        <f t="shared" si="60"/>
        <v>14653.57</v>
      </c>
      <c r="BQ49" s="398">
        <f t="shared" si="61"/>
        <v>0</v>
      </c>
      <c r="BR49" s="398">
        <f t="shared" si="62"/>
        <v>187.71</v>
      </c>
      <c r="BS49" s="278"/>
      <c r="BT49" s="391"/>
    </row>
    <row r="50" spans="1:72" x14ac:dyDescent="0.25">
      <c r="A50" s="341"/>
      <c r="B50" s="390" t="s">
        <v>40</v>
      </c>
      <c r="C50" s="432">
        <f t="shared" ref="C50:AC50" si="64">SUM(C45:C49)</f>
        <v>2912107.69</v>
      </c>
      <c r="D50" s="108">
        <f t="shared" si="64"/>
        <v>2474927.7999999998</v>
      </c>
      <c r="E50" s="108">
        <f t="shared" si="64"/>
        <v>1695771.3399999999</v>
      </c>
      <c r="F50" s="108">
        <f t="shared" si="64"/>
        <v>1005234.6300000001</v>
      </c>
      <c r="G50" s="108">
        <f t="shared" si="64"/>
        <v>577118.37800000003</v>
      </c>
      <c r="H50" s="108">
        <f t="shared" si="64"/>
        <v>457694.14</v>
      </c>
      <c r="I50" s="108">
        <f t="shared" si="64"/>
        <v>409619.29</v>
      </c>
      <c r="J50" s="108">
        <f t="shared" si="64"/>
        <v>398212.09</v>
      </c>
      <c r="K50" s="108">
        <f t="shared" si="64"/>
        <v>459690.25</v>
      </c>
      <c r="L50" s="364">
        <f t="shared" si="64"/>
        <v>994612.07000000018</v>
      </c>
      <c r="M50" s="432">
        <f t="shared" si="64"/>
        <v>1837328.5600000003</v>
      </c>
      <c r="N50" s="108">
        <f t="shared" si="64"/>
        <v>2492447.9500000002</v>
      </c>
      <c r="O50" s="108">
        <f t="shared" si="64"/>
        <v>2327461.4499999997</v>
      </c>
      <c r="P50" s="108">
        <f t="shared" si="64"/>
        <v>2433355.2400000002</v>
      </c>
      <c r="Q50" s="108">
        <f t="shared" si="64"/>
        <v>2217320.13</v>
      </c>
      <c r="R50" s="108">
        <f t="shared" si="64"/>
        <v>1413116.18</v>
      </c>
      <c r="S50" s="108">
        <f t="shared" si="64"/>
        <v>633549.53</v>
      </c>
      <c r="T50" s="108">
        <f t="shared" si="64"/>
        <v>768076.92999999993</v>
      </c>
      <c r="U50" s="108">
        <f t="shared" si="64"/>
        <v>708504.4</v>
      </c>
      <c r="V50" s="108">
        <f t="shared" si="64"/>
        <v>738735.39999999991</v>
      </c>
      <c r="W50" s="108">
        <f t="shared" si="64"/>
        <v>792250.38</v>
      </c>
      <c r="X50" s="364">
        <f t="shared" si="64"/>
        <v>1154084.21</v>
      </c>
      <c r="Y50" s="108">
        <f t="shared" si="64"/>
        <v>2244225.62</v>
      </c>
      <c r="Z50" s="108">
        <f t="shared" si="64"/>
        <v>3941758.0100000002</v>
      </c>
      <c r="AA50" s="108">
        <f t="shared" si="64"/>
        <v>2881115.83</v>
      </c>
      <c r="AB50" s="108">
        <f t="shared" si="64"/>
        <v>2703887.5700000003</v>
      </c>
      <c r="AC50" s="108">
        <f t="shared" si="64"/>
        <v>1971849.1099999999</v>
      </c>
      <c r="AD50" s="283">
        <f t="shared" ref="AD50:AI50" si="65">SUM(AD45:AD49)</f>
        <v>1497970.94</v>
      </c>
      <c r="AE50" s="283">
        <f t="shared" si="65"/>
        <v>1011045.5899999999</v>
      </c>
      <c r="AF50" s="283">
        <f t="shared" si="65"/>
        <v>480921.24</v>
      </c>
      <c r="AG50" s="283">
        <f t="shared" si="65"/>
        <v>395572.27999999997</v>
      </c>
      <c r="AH50" s="283">
        <f t="shared" si="65"/>
        <v>418704.92</v>
      </c>
      <c r="AI50" s="283">
        <f t="shared" si="65"/>
        <v>366251.36</v>
      </c>
      <c r="AJ50" s="283">
        <f>SUM(AJ45:AJ49)</f>
        <v>422978.41999999993</v>
      </c>
      <c r="AK50" s="283">
        <f>SUM(AK45:AK49)</f>
        <v>766655.22</v>
      </c>
      <c r="AL50" s="283">
        <f>SUM(AL45:AL49)</f>
        <v>1383736.94</v>
      </c>
      <c r="AM50" s="283">
        <f>SUM(AM45:AM49)</f>
        <v>2484231.5100000002</v>
      </c>
      <c r="AN50" s="283">
        <f>SUM(AN45:AN49)</f>
        <v>2836004.2699999996</v>
      </c>
      <c r="AO50" s="283">
        <f t="shared" ref="AO50:AT50" si="66">SUM(AO45:AO49)</f>
        <v>2244196.5299999998</v>
      </c>
      <c r="AP50" s="283">
        <f t="shared" si="66"/>
        <v>1875465.87</v>
      </c>
      <c r="AQ50" s="283">
        <f t="shared" si="66"/>
        <v>1220647.3700000001</v>
      </c>
      <c r="AR50" s="283">
        <f t="shared" si="66"/>
        <v>377672.14999999997</v>
      </c>
      <c r="AS50" s="283">
        <f t="shared" si="66"/>
        <v>751781.85000000009</v>
      </c>
      <c r="AT50" s="283">
        <f t="shared" si="66"/>
        <v>523287.74</v>
      </c>
      <c r="AU50" s="283">
        <f t="shared" ref="AU50:BB50" si="67">SUM(AU45:AU49)</f>
        <v>570427.66999999993</v>
      </c>
      <c r="AV50" s="283">
        <f t="shared" si="67"/>
        <v>694847.7</v>
      </c>
      <c r="AW50" s="464">
        <f t="shared" si="67"/>
        <v>929918.36</v>
      </c>
      <c r="AX50" s="399">
        <f t="shared" si="67"/>
        <v>1823076.56</v>
      </c>
      <c r="AY50" s="399">
        <f t="shared" si="67"/>
        <v>2600306.4000000004</v>
      </c>
      <c r="AZ50" s="398">
        <f t="shared" si="67"/>
        <v>2668407.42</v>
      </c>
      <c r="BA50" s="398">
        <f t="shared" si="67"/>
        <v>2932971.2099999995</v>
      </c>
      <c r="BB50" s="398">
        <f t="shared" si="67"/>
        <v>2535087.94</v>
      </c>
      <c r="BC50" s="398">
        <f>SUM(BC45:BC49)</f>
        <v>787369.98</v>
      </c>
      <c r="BD50" s="398">
        <f>SUM(BD45:BD49)</f>
        <v>610980.52</v>
      </c>
      <c r="BE50" s="398">
        <f>SUM(BE45:BE49)</f>
        <v>419034.13</v>
      </c>
      <c r="BF50" s="398">
        <f>SUM(BF45:BF49)</f>
        <v>302594.77000000008</v>
      </c>
      <c r="BG50" s="278"/>
      <c r="BH50" s="391"/>
      <c r="BI50" s="463">
        <f t="shared" si="63"/>
        <v>163263.14000000001</v>
      </c>
      <c r="BJ50" s="399">
        <f t="shared" si="59"/>
        <v>439339.62000000011</v>
      </c>
      <c r="BK50" s="399">
        <f t="shared" si="59"/>
        <v>116074.89000000013</v>
      </c>
      <c r="BL50" s="398">
        <f t="shared" si="59"/>
        <v>-167596.84999999963</v>
      </c>
      <c r="BM50" s="398">
        <f t="shared" si="59"/>
        <v>688774.6799999997</v>
      </c>
      <c r="BN50" s="398">
        <f t="shared" si="59"/>
        <v>659622.06999999983</v>
      </c>
      <c r="BO50" s="398">
        <f t="shared" si="59"/>
        <v>-433277.39000000013</v>
      </c>
      <c r="BP50" s="398">
        <f t="shared" si="60"/>
        <v>233308.37000000005</v>
      </c>
      <c r="BQ50" s="398">
        <f t="shared" si="61"/>
        <v>-332747.72000000009</v>
      </c>
      <c r="BR50" s="398">
        <f t="shared" si="62"/>
        <v>-220692.96999999991</v>
      </c>
      <c r="BS50" s="278"/>
      <c r="BT50" s="391"/>
    </row>
    <row r="51" spans="1:72" x14ac:dyDescent="0.25">
      <c r="A51" s="341">
        <f>+A44+1</f>
        <v>7</v>
      </c>
      <c r="B51" s="397" t="s">
        <v>29</v>
      </c>
      <c r="C51" s="432"/>
      <c r="D51" s="108"/>
      <c r="E51" s="108"/>
      <c r="F51" s="108"/>
      <c r="G51" s="108"/>
      <c r="H51" s="108"/>
      <c r="I51" s="108"/>
      <c r="J51" s="108"/>
      <c r="K51" s="108"/>
      <c r="L51" s="364"/>
      <c r="M51" s="432"/>
      <c r="N51" s="108"/>
      <c r="O51" s="108"/>
      <c r="P51" s="108"/>
      <c r="Q51" s="108"/>
      <c r="R51" s="108"/>
      <c r="S51" s="108"/>
      <c r="T51" s="108"/>
      <c r="U51" s="108"/>
      <c r="V51" s="108"/>
      <c r="W51" s="108"/>
      <c r="X51" s="364"/>
      <c r="Y51" s="108"/>
      <c r="Z51" s="108"/>
      <c r="AA51" s="108"/>
      <c r="AB51" s="108"/>
      <c r="AC51" s="108"/>
      <c r="AD51" s="420"/>
      <c r="AE51" s="420"/>
      <c r="AF51" s="420"/>
      <c r="AG51" s="420"/>
      <c r="AH51" s="420"/>
      <c r="AI51" s="420"/>
      <c r="AJ51" s="420"/>
      <c r="AK51" s="420"/>
      <c r="AL51" s="420"/>
      <c r="AM51" s="420"/>
      <c r="AN51" s="420"/>
      <c r="AO51" s="420"/>
      <c r="AP51" s="420"/>
      <c r="AQ51" s="420"/>
      <c r="AR51" s="420"/>
      <c r="AS51" s="420"/>
      <c r="AT51" s="420"/>
      <c r="AU51" s="420"/>
      <c r="AV51" s="420"/>
      <c r="AW51" s="463"/>
      <c r="AX51" s="398"/>
      <c r="AY51" s="398"/>
      <c r="AZ51" s="398"/>
      <c r="BA51" s="278"/>
      <c r="BB51" s="278"/>
      <c r="BC51" s="580"/>
      <c r="BD51" s="398"/>
      <c r="BE51" s="398"/>
      <c r="BF51" s="398"/>
      <c r="BG51" s="278"/>
      <c r="BH51" s="391"/>
      <c r="BI51" s="463"/>
      <c r="BJ51" s="398"/>
      <c r="BK51" s="398"/>
      <c r="BL51" s="398"/>
      <c r="BM51" s="398"/>
      <c r="BN51" s="398"/>
      <c r="BO51" s="398"/>
      <c r="BP51" s="398"/>
      <c r="BQ51" s="398"/>
      <c r="BR51" s="398"/>
      <c r="BS51" s="278"/>
      <c r="BT51" s="391"/>
    </row>
    <row r="52" spans="1:72" x14ac:dyDescent="0.25">
      <c r="A52" s="341"/>
      <c r="B52" s="390" t="s">
        <v>35</v>
      </c>
      <c r="C52" s="432">
        <v>565183.17000000004</v>
      </c>
      <c r="D52" s="108">
        <v>768273.07</v>
      </c>
      <c r="E52" s="108">
        <v>763312.6</v>
      </c>
      <c r="F52" s="108">
        <v>715276.34</v>
      </c>
      <c r="G52" s="108">
        <v>372135</v>
      </c>
      <c r="H52" s="108">
        <v>250136.21</v>
      </c>
      <c r="I52" s="108">
        <v>194954.51</v>
      </c>
      <c r="J52" s="108">
        <v>160335.88</v>
      </c>
      <c r="K52" s="108">
        <v>169676.32</v>
      </c>
      <c r="L52" s="364">
        <v>173297.3</v>
      </c>
      <c r="M52" s="432">
        <v>332931.3</v>
      </c>
      <c r="N52" s="108">
        <v>591048.44999999995</v>
      </c>
      <c r="O52" s="108">
        <v>901434.11</v>
      </c>
      <c r="P52" s="108">
        <v>977566.32</v>
      </c>
      <c r="Q52" s="108">
        <v>1003179.1</v>
      </c>
      <c r="R52" s="108">
        <v>905172.67</v>
      </c>
      <c r="S52" s="108">
        <v>670836.28</v>
      </c>
      <c r="T52" s="108">
        <v>288998.94</v>
      </c>
      <c r="U52" s="108">
        <v>234806.17</v>
      </c>
      <c r="V52" s="108">
        <v>241391.74</v>
      </c>
      <c r="W52" s="108">
        <f>233041.26+600</f>
        <v>233641.26</v>
      </c>
      <c r="X52" s="364">
        <f>259108.76+378</f>
        <v>259486.76</v>
      </c>
      <c r="Y52" s="108">
        <f>453036.02+323</f>
        <v>453359.02</v>
      </c>
      <c r="Z52" s="108">
        <f>787441.66</f>
        <v>787441.66</v>
      </c>
      <c r="AA52" s="108">
        <f>1267810.14+44</f>
        <v>1267854.1399999999</v>
      </c>
      <c r="AB52" s="108">
        <v>1280857.1499999999</v>
      </c>
      <c r="AC52" s="419">
        <v>1141169.3999999999</v>
      </c>
      <c r="AD52" s="420">
        <f>12301.14+868795.93+2319.21</f>
        <v>883416.28</v>
      </c>
      <c r="AE52" s="420">
        <v>532763.78</v>
      </c>
      <c r="AF52" s="420">
        <v>512255.17</v>
      </c>
      <c r="AG52" s="420">
        <f>8375.04+249798.51+406.51</f>
        <v>258580.06000000003</v>
      </c>
      <c r="AH52" s="420">
        <v>216073.34</v>
      </c>
      <c r="AI52" s="420">
        <f>6797.22+189566.6+188.36</f>
        <v>196552.18</v>
      </c>
      <c r="AJ52" s="420">
        <f>7867.05+180697.69+209.38</f>
        <v>188774.12</v>
      </c>
      <c r="AK52" s="420">
        <f>8912.69+185102.26</f>
        <v>194014.95</v>
      </c>
      <c r="AL52" s="420">
        <f>11472.45+402922.19</f>
        <v>414394.64</v>
      </c>
      <c r="AM52" s="420">
        <f>14113.02+721224.42</f>
        <v>735337.44000000006</v>
      </c>
      <c r="AN52" s="420">
        <f>19759.84+1235974.09</f>
        <v>1255733.9300000002</v>
      </c>
      <c r="AO52" s="420">
        <f>21005.8+1633052.03+431.67</f>
        <v>1654489.5</v>
      </c>
      <c r="AP52" s="420">
        <f>22302.81+1501845.76+416.14</f>
        <v>1524564.71</v>
      </c>
      <c r="AQ52" s="420">
        <f>23177.37+1366058.31+5.75</f>
        <v>1389241.4300000002</v>
      </c>
      <c r="AR52" s="420">
        <f>10989.5+416299.56+69.02</f>
        <v>427358.08</v>
      </c>
      <c r="AS52" s="420">
        <f>10939.79+323719.52+69.02</f>
        <v>334728.33</v>
      </c>
      <c r="AT52" s="420">
        <f>12900.33+371043.56+64.85</f>
        <v>384008.74</v>
      </c>
      <c r="AU52" s="420">
        <f>9207.87+239133.98+321.05</f>
        <v>248662.9</v>
      </c>
      <c r="AV52" s="420">
        <f>13677.83+315595.83+145.36</f>
        <v>329419.02</v>
      </c>
      <c r="AW52" s="463">
        <f>11332.94+299612.11+0.31</f>
        <v>310945.36</v>
      </c>
      <c r="AX52" s="398">
        <f>13151.06+412436.62</f>
        <v>425587.68</v>
      </c>
      <c r="AY52" s="398">
        <f>17677.56+874426.81+214.6</f>
        <v>892318.97000000009</v>
      </c>
      <c r="AZ52" s="398">
        <f>SUM(21559.37+1324371.46+335.63)</f>
        <v>1346266.46</v>
      </c>
      <c r="BA52" s="577">
        <f>SUM(28676.32+1879229.42+166.47)</f>
        <v>1908072.21</v>
      </c>
      <c r="BB52" s="577">
        <f>SUM(25649.19+1492846.18+166.47)</f>
        <v>1518661.8399999999</v>
      </c>
      <c r="BC52" s="580">
        <f>16211.51+878458.7</f>
        <v>894670.21</v>
      </c>
      <c r="BD52" s="398">
        <f>(10944.73+426460.65)</f>
        <v>437405.38</v>
      </c>
      <c r="BE52" s="398">
        <f>7568.04+229291.54+41.04</f>
        <v>236900.62000000002</v>
      </c>
      <c r="BF52" s="398">
        <f>5558.98+177869.21+97.92</f>
        <v>183526.11000000002</v>
      </c>
      <c r="BG52" s="278"/>
      <c r="BH52" s="391"/>
      <c r="BI52" s="463">
        <f t="shared" ref="BI52:BI57" si="68">AW52-AK52</f>
        <v>116930.40999999997</v>
      </c>
      <c r="BJ52" s="398">
        <f t="shared" ref="BJ52:BJ57" si="69">AX52-AL52</f>
        <v>11193.039999999979</v>
      </c>
      <c r="BK52" s="398">
        <f t="shared" ref="BK52:BK57" si="70">AY52-AM52</f>
        <v>156981.53000000003</v>
      </c>
      <c r="BL52" s="398">
        <f t="shared" ref="BL52:BO57" si="71">AZ52-AN52</f>
        <v>90532.529999999795</v>
      </c>
      <c r="BM52" s="398">
        <f t="shared" si="71"/>
        <v>253582.70999999996</v>
      </c>
      <c r="BN52" s="398">
        <f t="shared" si="71"/>
        <v>-5902.8700000001118</v>
      </c>
      <c r="BO52" s="398">
        <f t="shared" si="71"/>
        <v>-494571.2200000002</v>
      </c>
      <c r="BP52" s="398">
        <f t="shared" ref="BP52:BP57" si="72">BD52-AR52</f>
        <v>10047.299999999988</v>
      </c>
      <c r="BQ52" s="398">
        <f t="shared" ref="BQ52:BQ57" si="73">BE52-AS52</f>
        <v>-97827.709999999992</v>
      </c>
      <c r="BR52" s="398">
        <f t="shared" ref="BR52:BR57" si="74">BF52-AT52</f>
        <v>-200482.62999999998</v>
      </c>
      <c r="BS52" s="278"/>
      <c r="BT52" s="391"/>
    </row>
    <row r="53" spans="1:72" x14ac:dyDescent="0.25">
      <c r="A53" s="341"/>
      <c r="B53" s="390" t="s">
        <v>36</v>
      </c>
      <c r="C53" s="432">
        <v>311636.96999999997</v>
      </c>
      <c r="D53" s="108">
        <v>362843</v>
      </c>
      <c r="E53" s="108">
        <v>295236.59000000003</v>
      </c>
      <c r="F53" s="108">
        <v>263094.82</v>
      </c>
      <c r="G53" s="108">
        <v>169028.75</v>
      </c>
      <c r="H53" s="108">
        <v>126438.23</v>
      </c>
      <c r="I53" s="108">
        <v>98609.39</v>
      </c>
      <c r="J53" s="108">
        <v>91376.68</v>
      </c>
      <c r="K53" s="108">
        <v>96553.15</v>
      </c>
      <c r="L53" s="364">
        <v>87987.87</v>
      </c>
      <c r="M53" s="432">
        <v>177203.05</v>
      </c>
      <c r="N53" s="108">
        <v>304470.94</v>
      </c>
      <c r="O53" s="108">
        <v>341119.79</v>
      </c>
      <c r="P53" s="108">
        <v>316785.14</v>
      </c>
      <c r="Q53" s="108">
        <v>311960.15999999997</v>
      </c>
      <c r="R53" s="108">
        <v>141613.45000000001</v>
      </c>
      <c r="S53" s="108">
        <v>132979.01</v>
      </c>
      <c r="T53" s="108">
        <v>109082.29</v>
      </c>
      <c r="U53" s="108">
        <v>170562.86</v>
      </c>
      <c r="V53" s="108">
        <v>277996.78999999998</v>
      </c>
      <c r="W53" s="108">
        <v>316108.44</v>
      </c>
      <c r="X53" s="364">
        <v>250640.85</v>
      </c>
      <c r="Y53" s="108">
        <v>250858.89</v>
      </c>
      <c r="Z53" s="108">
        <v>426725.75</v>
      </c>
      <c r="AA53" s="108">
        <v>655520.25</v>
      </c>
      <c r="AB53" s="108">
        <v>469496.26</v>
      </c>
      <c r="AC53" s="419">
        <v>266788.14</v>
      </c>
      <c r="AD53" s="420">
        <f>2069.49+377821.22</f>
        <v>379890.70999999996</v>
      </c>
      <c r="AE53" s="420">
        <v>279505.63</v>
      </c>
      <c r="AF53" s="420">
        <v>182182.97</v>
      </c>
      <c r="AG53" s="420">
        <f>711.45+788292.15</f>
        <v>789003.6</v>
      </c>
      <c r="AH53" s="420">
        <v>71645.73</v>
      </c>
      <c r="AI53" s="420">
        <f>1114.65+75695.6</f>
        <v>76810.25</v>
      </c>
      <c r="AJ53" s="420">
        <f>1191.75+74597.6</f>
        <v>75789.350000000006</v>
      </c>
      <c r="AK53" s="420">
        <f>1291.93+66648.54</f>
        <v>67940.469999999987</v>
      </c>
      <c r="AL53" s="420">
        <f>1434.93+108719.93</f>
        <v>110154.85999999999</v>
      </c>
      <c r="AM53" s="420">
        <f>1952.96+210253.6</f>
        <v>212206.56</v>
      </c>
      <c r="AN53" s="420">
        <f>3220.62+427171.5</f>
        <v>430392.12</v>
      </c>
      <c r="AO53" s="420">
        <f>1812.69+(-264495.76)+0</f>
        <v>-262683.07</v>
      </c>
      <c r="AP53" s="420">
        <f>4490.42+439869.39</f>
        <v>444359.81</v>
      </c>
      <c r="AQ53" s="420">
        <f>4388.01+427424.17+0</f>
        <v>431812.18</v>
      </c>
      <c r="AR53" s="420">
        <f>2222.98+141114.77</f>
        <v>143337.75</v>
      </c>
      <c r="AS53" s="420">
        <f>2506.01+143391.41</f>
        <v>145897.42000000001</v>
      </c>
      <c r="AT53" s="420">
        <f>2418.48+158034.81</f>
        <v>160453.29</v>
      </c>
      <c r="AU53" s="420">
        <f>1640.6+110698.38</f>
        <v>112338.98000000001</v>
      </c>
      <c r="AV53" s="420">
        <f>2049.11+145997.16</f>
        <v>148046.26999999999</v>
      </c>
      <c r="AW53" s="463">
        <f>3088.51+167903.03</f>
        <v>170991.54</v>
      </c>
      <c r="AX53" s="398">
        <f>2707.16+197841.61</f>
        <v>200548.77</v>
      </c>
      <c r="AY53" s="398">
        <f>3555.52+370389.48</f>
        <v>373945</v>
      </c>
      <c r="AZ53" s="398">
        <f>SUM(5303.51+557318.98)</f>
        <v>562622.49</v>
      </c>
      <c r="BA53" s="577">
        <v>566797.56999999995</v>
      </c>
      <c r="BB53" s="577">
        <f>SUM(5252.59+571935.09)</f>
        <v>577187.67999999993</v>
      </c>
      <c r="BC53" s="580">
        <f>4193.24+402867.87</f>
        <v>407061.11</v>
      </c>
      <c r="BD53" s="398">
        <f>(2714.01+218125.84)</f>
        <v>220839.85</v>
      </c>
      <c r="BE53" s="398">
        <f>4321.59+150656.72</f>
        <v>154978.31</v>
      </c>
      <c r="BF53" s="398">
        <f>2975.18+137196.33</f>
        <v>140171.50999999998</v>
      </c>
      <c r="BG53" s="278"/>
      <c r="BH53" s="391"/>
      <c r="BI53" s="463">
        <f t="shared" si="68"/>
        <v>103051.07000000002</v>
      </c>
      <c r="BJ53" s="398">
        <f t="shared" si="69"/>
        <v>90393.91</v>
      </c>
      <c r="BK53" s="398">
        <f t="shared" si="70"/>
        <v>161738.44</v>
      </c>
      <c r="BL53" s="398">
        <f t="shared" si="71"/>
        <v>132230.37</v>
      </c>
      <c r="BM53" s="398">
        <f t="shared" si="71"/>
        <v>829480.6399999999</v>
      </c>
      <c r="BN53" s="398">
        <f t="shared" si="71"/>
        <v>132827.86999999994</v>
      </c>
      <c r="BO53" s="398">
        <f t="shared" si="71"/>
        <v>-24751.070000000007</v>
      </c>
      <c r="BP53" s="398">
        <f t="shared" si="72"/>
        <v>77502.100000000006</v>
      </c>
      <c r="BQ53" s="398">
        <f t="shared" si="73"/>
        <v>9080.8899999999849</v>
      </c>
      <c r="BR53" s="398">
        <f t="shared" si="74"/>
        <v>-20281.780000000028</v>
      </c>
      <c r="BS53" s="278"/>
      <c r="BT53" s="391"/>
    </row>
    <row r="54" spans="1:72" x14ac:dyDescent="0.25">
      <c r="A54" s="341"/>
      <c r="B54" s="390" t="s">
        <v>37</v>
      </c>
      <c r="C54" s="432">
        <v>22026.82</v>
      </c>
      <c r="D54" s="108">
        <v>39949.379999999997</v>
      </c>
      <c r="E54" s="108">
        <v>38481.879999999997</v>
      </c>
      <c r="F54" s="108">
        <v>34563.61</v>
      </c>
      <c r="G54" s="108">
        <v>17058.490000000002</v>
      </c>
      <c r="H54" s="108">
        <v>12137.06</v>
      </c>
      <c r="I54" s="108">
        <v>9229.06</v>
      </c>
      <c r="J54" s="108">
        <v>7415.67</v>
      </c>
      <c r="K54" s="108">
        <v>8722.85</v>
      </c>
      <c r="L54" s="364">
        <v>9783.5499999999993</v>
      </c>
      <c r="M54" s="432">
        <v>11083.03</v>
      </c>
      <c r="N54" s="108">
        <v>30654</v>
      </c>
      <c r="O54" s="108">
        <v>94776.79</v>
      </c>
      <c r="P54" s="108">
        <v>80308.47</v>
      </c>
      <c r="Q54" s="108">
        <v>106834.29</v>
      </c>
      <c r="R54" s="108">
        <v>67424.75</v>
      </c>
      <c r="S54" s="108">
        <v>47303.16</v>
      </c>
      <c r="T54" s="108">
        <v>27257.7</v>
      </c>
      <c r="U54" s="108">
        <v>9244.34</v>
      </c>
      <c r="V54" s="108">
        <v>10003.379999999999</v>
      </c>
      <c r="W54" s="108">
        <v>12268.17</v>
      </c>
      <c r="X54" s="364">
        <v>14628.96</v>
      </c>
      <c r="Y54" s="108">
        <v>17522.919999999998</v>
      </c>
      <c r="Z54" s="108">
        <v>44895.839999999997</v>
      </c>
      <c r="AA54" s="108">
        <v>51635.94</v>
      </c>
      <c r="AB54" s="108">
        <v>56675.38</v>
      </c>
      <c r="AC54" s="419">
        <v>43262.39</v>
      </c>
      <c r="AD54" s="420">
        <f>43728.15+5229.55+7864.13+589.33</f>
        <v>57411.16</v>
      </c>
      <c r="AE54" s="420">
        <v>29689.75</v>
      </c>
      <c r="AF54" s="420">
        <v>30648.27</v>
      </c>
      <c r="AG54" s="420">
        <v>13867.55</v>
      </c>
      <c r="AH54" s="420">
        <v>12334.75</v>
      </c>
      <c r="AI54" s="420">
        <f>8017.1+3114.62+58.47</f>
        <v>11190.19</v>
      </c>
      <c r="AJ54" s="420">
        <v>12131.57</v>
      </c>
      <c r="AK54" s="420">
        <v>10958.96</v>
      </c>
      <c r="AL54" s="420">
        <v>17704.8</v>
      </c>
      <c r="AM54" s="420">
        <v>34721.69</v>
      </c>
      <c r="AN54" s="420">
        <f>55437.45+6252.53+836.88+122.65</f>
        <v>62649.509999999995</v>
      </c>
      <c r="AO54" s="420">
        <f>56580.61+4360.16+(-1376.42)+(-1982.15)</f>
        <v>57582.200000000004</v>
      </c>
      <c r="AP54" s="420">
        <f>134469.22+10545.88+966.47+752.44</f>
        <v>146734.01</v>
      </c>
      <c r="AQ54" s="420">
        <f>75675.84+8439.56+22.11+752.44</f>
        <v>84889.95</v>
      </c>
      <c r="AR54" s="420">
        <f>15480.72+4171.62+95.93+408.46</f>
        <v>20156.73</v>
      </c>
      <c r="AS54" s="420">
        <f>11790.58+4949.63+172.57+292.12</f>
        <v>17204.899999999998</v>
      </c>
      <c r="AT54" s="420">
        <f>13053.45+5105.59+111.22+199.9</f>
        <v>18470.160000000003</v>
      </c>
      <c r="AU54" s="420">
        <f>15726.35+3788.13+39.65+425.92</f>
        <v>19980.05</v>
      </c>
      <c r="AV54" s="420">
        <f>12201.35+4881.25+46.1+393.44</f>
        <v>17522.139999999996</v>
      </c>
      <c r="AW54" s="463">
        <f>17515.48+5421.68+138.01+362.17</f>
        <v>23437.339999999997</v>
      </c>
      <c r="AX54" s="398">
        <f>18984.9+9689.04+386.92</f>
        <v>29060.86</v>
      </c>
      <c r="AY54" s="398">
        <f>30210.19+7526.18+34.68</f>
        <v>37771.049999999996</v>
      </c>
      <c r="AZ54" s="398">
        <f>SUM(42924.28+9247.41+282.98)</f>
        <v>52454.670000000006</v>
      </c>
      <c r="BA54" s="577">
        <f>SUM(48702.65+5574.22+86.01)</f>
        <v>54362.880000000005</v>
      </c>
      <c r="BB54" s="577">
        <f>SUM(60854.61+6840.97+86.01)</f>
        <v>67781.59</v>
      </c>
      <c r="BC54" s="580">
        <f>30732.48+6011.44+70.55</f>
        <v>36814.47</v>
      </c>
      <c r="BD54" s="398">
        <f>(15761.44+3462.66+34.54+62.49)</f>
        <v>19321.13</v>
      </c>
      <c r="BE54" s="398">
        <f>8868.5+2174.3+244.99+62.82</f>
        <v>11350.609999999999</v>
      </c>
      <c r="BF54" s="398">
        <f>4927.35+1127.93+140.25</f>
        <v>6195.5300000000007</v>
      </c>
      <c r="BG54" s="278"/>
      <c r="BH54" s="391"/>
      <c r="BI54" s="463">
        <f t="shared" si="68"/>
        <v>12478.379999999997</v>
      </c>
      <c r="BJ54" s="398">
        <f t="shared" si="69"/>
        <v>11356.060000000001</v>
      </c>
      <c r="BK54" s="398">
        <f t="shared" si="70"/>
        <v>3049.3599999999933</v>
      </c>
      <c r="BL54" s="398">
        <f t="shared" si="71"/>
        <v>-10194.839999999989</v>
      </c>
      <c r="BM54" s="398">
        <f t="shared" si="71"/>
        <v>-3219.3199999999997</v>
      </c>
      <c r="BN54" s="398">
        <f t="shared" si="71"/>
        <v>-78952.420000000013</v>
      </c>
      <c r="BO54" s="398">
        <f t="shared" si="71"/>
        <v>-48075.479999999996</v>
      </c>
      <c r="BP54" s="398">
        <f t="shared" si="72"/>
        <v>-835.59999999999854</v>
      </c>
      <c r="BQ54" s="398">
        <f t="shared" si="73"/>
        <v>-5854.2899999999991</v>
      </c>
      <c r="BR54" s="398">
        <f t="shared" si="74"/>
        <v>-12274.630000000003</v>
      </c>
      <c r="BS54" s="278"/>
      <c r="BT54" s="391"/>
    </row>
    <row r="55" spans="1:72" x14ac:dyDescent="0.25">
      <c r="A55" s="341"/>
      <c r="B55" s="390" t="s">
        <v>38</v>
      </c>
      <c r="C55" s="432">
        <v>5534.49</v>
      </c>
      <c r="D55" s="108">
        <v>39453.089999999997</v>
      </c>
      <c r="E55" s="108">
        <v>33265</v>
      </c>
      <c r="F55" s="108">
        <v>28762.7</v>
      </c>
      <c r="G55" s="108">
        <v>10652.73</v>
      </c>
      <c r="H55" s="108">
        <v>3559.7</v>
      </c>
      <c r="I55" s="108">
        <v>3559.74</v>
      </c>
      <c r="J55" s="108">
        <v>2181.9</v>
      </c>
      <c r="K55" s="108">
        <v>5107.8999999999996</v>
      </c>
      <c r="L55" s="364">
        <v>4680.21</v>
      </c>
      <c r="M55" s="432">
        <v>11144.76</v>
      </c>
      <c r="N55" s="108">
        <v>24862.84</v>
      </c>
      <c r="O55" s="108">
        <v>40777.69</v>
      </c>
      <c r="P55" s="108">
        <v>112536.49</v>
      </c>
      <c r="Q55" s="108">
        <v>153401.39000000001</v>
      </c>
      <c r="R55" s="108">
        <v>85734.79</v>
      </c>
      <c r="S55" s="108">
        <v>56262.77</v>
      </c>
      <c r="T55" s="108">
        <v>22342.16</v>
      </c>
      <c r="U55" s="108">
        <v>10322.44</v>
      </c>
      <c r="V55" s="108">
        <v>14465.34</v>
      </c>
      <c r="W55" s="108">
        <v>7141.64</v>
      </c>
      <c r="X55" s="364">
        <v>9133.86</v>
      </c>
      <c r="Y55" s="108">
        <v>29959.3</v>
      </c>
      <c r="Z55" s="108">
        <v>78470.34</v>
      </c>
      <c r="AA55" s="108">
        <v>75994.98</v>
      </c>
      <c r="AB55" s="108">
        <v>76436.25</v>
      </c>
      <c r="AC55" s="419">
        <v>69451.600000000006</v>
      </c>
      <c r="AD55" s="420">
        <f>33867.58+6458.94+81173.86</f>
        <v>121500.38</v>
      </c>
      <c r="AE55" s="420">
        <v>34219.89</v>
      </c>
      <c r="AF55" s="420">
        <v>36261.919999999998</v>
      </c>
      <c r="AG55" s="420">
        <v>18296.150000000001</v>
      </c>
      <c r="AH55" s="420">
        <v>22432.75</v>
      </c>
      <c r="AI55" s="420">
        <f>3969.94+3291.61+702.58+3289.3</f>
        <v>11253.43</v>
      </c>
      <c r="AJ55" s="420">
        <v>12660.62</v>
      </c>
      <c r="AK55" s="420">
        <v>10139.99</v>
      </c>
      <c r="AL55" s="420">
        <v>27665.439999999999</v>
      </c>
      <c r="AM55" s="420">
        <v>28863.58</v>
      </c>
      <c r="AN55" s="420">
        <f>24458.62+5018.21+9452.49+13019.5</f>
        <v>51948.82</v>
      </c>
      <c r="AO55" s="420">
        <f>40673.55+13764.24+17799.14</f>
        <v>72236.929999999993</v>
      </c>
      <c r="AP55" s="420">
        <f>79099.02+5944.91+2909.04+7250.85</f>
        <v>95203.82</v>
      </c>
      <c r="AQ55" s="420">
        <f>81957.84+4687.33+2055.09+8248.97</f>
        <v>96949.23</v>
      </c>
      <c r="AR55" s="420">
        <f>8336.28+4602.21+25861.91+4353.06</f>
        <v>43153.46</v>
      </c>
      <c r="AS55" s="420">
        <f>8509.95+5819.52+5527.51+4691.76</f>
        <v>24548.740000000005</v>
      </c>
      <c r="AT55" s="420">
        <f>7717.78+7123.8+1166.59+4472.42</f>
        <v>20480.59</v>
      </c>
      <c r="AU55" s="420">
        <f>12779.35+9987.62+550.37+3387.85</f>
        <v>26705.19</v>
      </c>
      <c r="AV55" s="420">
        <f>8765.5+6426.56+460.21+4263.36</f>
        <v>19915.63</v>
      </c>
      <c r="AW55" s="463">
        <f>2928.28+5575.34+1456.47+4226.98</f>
        <v>14187.07</v>
      </c>
      <c r="AX55" s="398">
        <f>17797.4+6366.32+702.45+4578.42</f>
        <v>29444.590000000004</v>
      </c>
      <c r="AY55" s="398">
        <f>23713.05+5420.09+42.52+9830.63</f>
        <v>39006.29</v>
      </c>
      <c r="AZ55" s="398">
        <f>SUM(34825+12241.52+84.39+4968.11)</f>
        <v>52119.020000000004</v>
      </c>
      <c r="BA55" s="577">
        <f>SUM(78808.02+13162.12+468.59)</f>
        <v>92438.73</v>
      </c>
      <c r="BB55" s="577">
        <f>SUM(99579.03+13868.38+468.59)</f>
        <v>113916</v>
      </c>
      <c r="BC55" s="580">
        <f>42182.29+11313.66+4299.9+57.43</f>
        <v>57853.279999999999</v>
      </c>
      <c r="BD55" s="398">
        <f>(16728.25+4894.28+327.4+607.22)</f>
        <v>22557.15</v>
      </c>
      <c r="BE55" s="398">
        <f>7628.79+5153.45+449.38+157.61</f>
        <v>13389.23</v>
      </c>
      <c r="BF55" s="398">
        <f>6660.58+3124.8+53.08+168.94</f>
        <v>10007.400000000001</v>
      </c>
      <c r="BG55" s="278"/>
      <c r="BH55" s="391"/>
      <c r="BI55" s="463">
        <f t="shared" si="68"/>
        <v>4047.08</v>
      </c>
      <c r="BJ55" s="398">
        <f t="shared" si="69"/>
        <v>1779.1500000000051</v>
      </c>
      <c r="BK55" s="398">
        <f t="shared" si="70"/>
        <v>10142.709999999999</v>
      </c>
      <c r="BL55" s="398">
        <f t="shared" si="71"/>
        <v>170.20000000000437</v>
      </c>
      <c r="BM55" s="398">
        <f t="shared" si="71"/>
        <v>20201.800000000003</v>
      </c>
      <c r="BN55" s="398">
        <f t="shared" si="71"/>
        <v>18712.179999999993</v>
      </c>
      <c r="BO55" s="398">
        <f t="shared" si="71"/>
        <v>-39095.949999999997</v>
      </c>
      <c r="BP55" s="398">
        <f t="shared" si="72"/>
        <v>-20596.309999999998</v>
      </c>
      <c r="BQ55" s="398">
        <f t="shared" si="73"/>
        <v>-11159.510000000006</v>
      </c>
      <c r="BR55" s="398">
        <f t="shared" si="74"/>
        <v>-10473.189999999999</v>
      </c>
      <c r="BS55" s="278"/>
      <c r="BT55" s="391"/>
    </row>
    <row r="56" spans="1:72" x14ac:dyDescent="0.25">
      <c r="A56" s="341"/>
      <c r="B56" s="390" t="s">
        <v>39</v>
      </c>
      <c r="C56" s="432">
        <v>0</v>
      </c>
      <c r="D56" s="108">
        <v>0</v>
      </c>
      <c r="E56" s="108">
        <v>0</v>
      </c>
      <c r="F56" s="108">
        <v>0</v>
      </c>
      <c r="G56" s="108">
        <v>0</v>
      </c>
      <c r="H56" s="108">
        <v>0</v>
      </c>
      <c r="I56" s="108">
        <v>19.53</v>
      </c>
      <c r="J56" s="108">
        <v>0</v>
      </c>
      <c r="K56" s="108">
        <v>9.19</v>
      </c>
      <c r="L56" s="364">
        <v>0</v>
      </c>
      <c r="M56" s="432">
        <v>2.19</v>
      </c>
      <c r="N56" s="108">
        <v>12384.7</v>
      </c>
      <c r="O56" s="108">
        <v>0</v>
      </c>
      <c r="P56" s="108">
        <v>0</v>
      </c>
      <c r="Q56" s="108">
        <v>43104.74</v>
      </c>
      <c r="R56" s="108">
        <v>117764.4</v>
      </c>
      <c r="S56" s="108">
        <v>918.5</v>
      </c>
      <c r="T56" s="108">
        <v>25110.5</v>
      </c>
      <c r="U56" s="108">
        <v>1252.43</v>
      </c>
      <c r="V56" s="108">
        <v>1316.52</v>
      </c>
      <c r="W56" s="108">
        <v>606.82000000000005</v>
      </c>
      <c r="X56" s="364">
        <v>0</v>
      </c>
      <c r="Y56" s="108">
        <v>7954.2</v>
      </c>
      <c r="Z56" s="108">
        <v>0</v>
      </c>
      <c r="AA56" s="108">
        <v>0</v>
      </c>
      <c r="AB56" s="108">
        <v>0</v>
      </c>
      <c r="AC56" s="419">
        <v>20739.28</v>
      </c>
      <c r="AD56" s="420">
        <v>20739.28</v>
      </c>
      <c r="AE56" s="420">
        <v>11265.42</v>
      </c>
      <c r="AF56" s="420">
        <v>5463.48</v>
      </c>
      <c r="AG56" s="420">
        <v>4305.21</v>
      </c>
      <c r="AH56" s="420">
        <v>3180.52</v>
      </c>
      <c r="AI56" s="420">
        <f>5995.23</f>
        <v>5995.23</v>
      </c>
      <c r="AJ56" s="420">
        <v>7148.41</v>
      </c>
      <c r="AK56" s="420">
        <v>6188.42</v>
      </c>
      <c r="AL56" s="420">
        <v>9153.7800000000007</v>
      </c>
      <c r="AM56" s="420">
        <v>0</v>
      </c>
      <c r="AN56" s="420">
        <v>4.4000000000000004</v>
      </c>
      <c r="AO56" s="420">
        <v>0</v>
      </c>
      <c r="AP56" s="420">
        <v>0</v>
      </c>
      <c r="AQ56" s="420">
        <v>0</v>
      </c>
      <c r="AR56" s="420">
        <v>0</v>
      </c>
      <c r="AS56" s="420">
        <v>0</v>
      </c>
      <c r="AT56" s="420">
        <v>0</v>
      </c>
      <c r="AU56" s="420">
        <v>0</v>
      </c>
      <c r="AV56" s="420">
        <v>0</v>
      </c>
      <c r="AW56" s="463">
        <v>13843.53</v>
      </c>
      <c r="AX56" s="398">
        <v>0</v>
      </c>
      <c r="AY56" s="421">
        <v>12939.32</v>
      </c>
      <c r="AZ56" s="398">
        <f>SUM(38824.7)</f>
        <v>38824.699999999997</v>
      </c>
      <c r="BA56" s="577">
        <f>SUM(23755.58)</f>
        <v>23755.58</v>
      </c>
      <c r="BB56" s="577">
        <f>SUM(23755.58)</f>
        <v>23755.58</v>
      </c>
      <c r="BC56" s="580">
        <v>0</v>
      </c>
      <c r="BD56" s="398"/>
      <c r="BE56" s="398">
        <v>0</v>
      </c>
      <c r="BF56" s="398">
        <v>0</v>
      </c>
      <c r="BG56" s="278"/>
      <c r="BH56" s="391"/>
      <c r="BI56" s="463">
        <f t="shared" si="68"/>
        <v>7655.1100000000006</v>
      </c>
      <c r="BJ56" s="398">
        <f t="shared" si="69"/>
        <v>-9153.7800000000007</v>
      </c>
      <c r="BK56" s="421">
        <f t="shared" si="70"/>
        <v>12939.32</v>
      </c>
      <c r="BL56" s="398">
        <f t="shared" si="71"/>
        <v>38820.299999999996</v>
      </c>
      <c r="BM56" s="398">
        <f t="shared" si="71"/>
        <v>23755.58</v>
      </c>
      <c r="BN56" s="398">
        <f t="shared" si="71"/>
        <v>23755.58</v>
      </c>
      <c r="BO56" s="398">
        <f t="shared" si="71"/>
        <v>0</v>
      </c>
      <c r="BP56" s="398">
        <f t="shared" si="72"/>
        <v>0</v>
      </c>
      <c r="BQ56" s="398">
        <f t="shared" si="73"/>
        <v>0</v>
      </c>
      <c r="BR56" s="398">
        <f t="shared" si="74"/>
        <v>0</v>
      </c>
      <c r="BS56" s="278"/>
      <c r="BT56" s="391"/>
    </row>
    <row r="57" spans="1:72" x14ac:dyDescent="0.25">
      <c r="A57" s="341"/>
      <c r="B57" s="390" t="s">
        <v>40</v>
      </c>
      <c r="C57" s="432">
        <f>SUM(C52:C56)</f>
        <v>904381.45</v>
      </c>
      <c r="D57" s="108">
        <f>SUM(D52:D56)</f>
        <v>1210518.5399999998</v>
      </c>
      <c r="E57" s="108">
        <f>SUM(E52:E56)</f>
        <v>1130296.0699999998</v>
      </c>
      <c r="F57" s="108">
        <f>SUM(F52:F56)</f>
        <v>1041697.4699999999</v>
      </c>
      <c r="G57" s="108">
        <f>SUM(G52:G56)</f>
        <v>568874.97</v>
      </c>
      <c r="H57" s="108">
        <f>SUM(H45:H56)</f>
        <v>1307659.48</v>
      </c>
      <c r="I57" s="108">
        <f t="shared" ref="I57:AC57" si="75">SUM(I52:I56)</f>
        <v>306372.23000000004</v>
      </c>
      <c r="J57" s="108">
        <f t="shared" si="75"/>
        <v>261310.13</v>
      </c>
      <c r="K57" s="108">
        <f t="shared" si="75"/>
        <v>280069.40999999997</v>
      </c>
      <c r="L57" s="364">
        <f t="shared" si="75"/>
        <v>275748.93</v>
      </c>
      <c r="M57" s="432">
        <f t="shared" si="75"/>
        <v>532364.32999999996</v>
      </c>
      <c r="N57" s="108">
        <f t="shared" si="75"/>
        <v>963420.92999999982</v>
      </c>
      <c r="O57" s="108">
        <f t="shared" si="75"/>
        <v>1378108.38</v>
      </c>
      <c r="P57" s="108">
        <f t="shared" si="75"/>
        <v>1487196.42</v>
      </c>
      <c r="Q57" s="108">
        <f t="shared" si="75"/>
        <v>1618479.68</v>
      </c>
      <c r="R57" s="108">
        <f t="shared" si="75"/>
        <v>1317710.06</v>
      </c>
      <c r="S57" s="108">
        <f t="shared" si="75"/>
        <v>908299.72000000009</v>
      </c>
      <c r="T57" s="108">
        <f t="shared" si="75"/>
        <v>472791.58999999997</v>
      </c>
      <c r="U57" s="108">
        <f t="shared" si="75"/>
        <v>426188.24000000005</v>
      </c>
      <c r="V57" s="108">
        <f t="shared" si="75"/>
        <v>545173.7699999999</v>
      </c>
      <c r="W57" s="108">
        <f t="shared" si="75"/>
        <v>569766.32999999996</v>
      </c>
      <c r="X57" s="364">
        <f t="shared" si="75"/>
        <v>533890.42999999993</v>
      </c>
      <c r="Y57" s="108">
        <f t="shared" si="75"/>
        <v>759654.33000000007</v>
      </c>
      <c r="Z57" s="108">
        <f t="shared" si="75"/>
        <v>1337533.5900000003</v>
      </c>
      <c r="AA57" s="108">
        <f t="shared" si="75"/>
        <v>2051005.3099999998</v>
      </c>
      <c r="AB57" s="108">
        <f t="shared" si="75"/>
        <v>1883465.0399999998</v>
      </c>
      <c r="AC57" s="108">
        <f t="shared" si="75"/>
        <v>1541410.81</v>
      </c>
      <c r="AD57" s="283">
        <f t="shared" ref="AD57:AI57" si="76">SUM(AD52:AD56)</f>
        <v>1462957.8099999998</v>
      </c>
      <c r="AE57" s="283">
        <f t="shared" si="76"/>
        <v>887444.47000000009</v>
      </c>
      <c r="AF57" s="283">
        <f t="shared" si="76"/>
        <v>766811.81</v>
      </c>
      <c r="AG57" s="283">
        <f t="shared" si="76"/>
        <v>1084052.5699999998</v>
      </c>
      <c r="AH57" s="283">
        <f t="shared" si="76"/>
        <v>325667.09000000003</v>
      </c>
      <c r="AI57" s="283">
        <f t="shared" si="76"/>
        <v>301801.27999999997</v>
      </c>
      <c r="AJ57" s="283">
        <f>SUM(AJ52:AJ56)</f>
        <v>296504.06999999995</v>
      </c>
      <c r="AK57" s="283">
        <f>SUM(AK52:AK56)</f>
        <v>289242.78999999998</v>
      </c>
      <c r="AL57" s="283">
        <f>SUM(AL52:AL56)</f>
        <v>579073.52</v>
      </c>
      <c r="AM57" s="283">
        <f>SUM(AM52:AM56)</f>
        <v>1011129.2699999999</v>
      </c>
      <c r="AN57" s="283">
        <f>SUM(AN52:AN56)</f>
        <v>1800728.7800000003</v>
      </c>
      <c r="AO57" s="283">
        <f t="shared" ref="AO57:AT57" si="77">SUM(AO52:AO56)</f>
        <v>1521625.5599999998</v>
      </c>
      <c r="AP57" s="283">
        <f t="shared" si="77"/>
        <v>2210862.35</v>
      </c>
      <c r="AQ57" s="283">
        <f t="shared" si="77"/>
        <v>2002892.79</v>
      </c>
      <c r="AR57" s="283">
        <f t="shared" si="77"/>
        <v>634006.02</v>
      </c>
      <c r="AS57" s="283">
        <f t="shared" si="77"/>
        <v>522379.39</v>
      </c>
      <c r="AT57" s="283">
        <f t="shared" si="77"/>
        <v>583412.78</v>
      </c>
      <c r="AU57" s="283">
        <f t="shared" ref="AU57:BB57" si="78">SUM(AU52:AU56)</f>
        <v>407687.12</v>
      </c>
      <c r="AV57" s="283">
        <f t="shared" si="78"/>
        <v>514903.06000000006</v>
      </c>
      <c r="AW57" s="463">
        <f t="shared" si="78"/>
        <v>533404.84</v>
      </c>
      <c r="AX57" s="398">
        <f t="shared" si="78"/>
        <v>684641.89999999991</v>
      </c>
      <c r="AY57" s="399">
        <f t="shared" si="78"/>
        <v>1355980.6300000004</v>
      </c>
      <c r="AZ57" s="398">
        <f t="shared" si="78"/>
        <v>2052287.3399999999</v>
      </c>
      <c r="BA57" s="398">
        <f t="shared" si="78"/>
        <v>2645426.9699999997</v>
      </c>
      <c r="BB57" s="398">
        <f t="shared" si="78"/>
        <v>2301302.69</v>
      </c>
      <c r="BC57" s="398">
        <f>SUM(BC52:BC56)</f>
        <v>1396399.0699999998</v>
      </c>
      <c r="BD57" s="398">
        <f>SUM(BD52:BD56)</f>
        <v>700123.51</v>
      </c>
      <c r="BE57" s="398">
        <f>SUM(BE52:BE56)</f>
        <v>416618.77</v>
      </c>
      <c r="BF57" s="398">
        <f>SUM(BF52:BF56)</f>
        <v>339900.55000000005</v>
      </c>
      <c r="BG57" s="278"/>
      <c r="BH57" s="391"/>
      <c r="BI57" s="463">
        <f t="shared" si="68"/>
        <v>244162.05</v>
      </c>
      <c r="BJ57" s="398">
        <f t="shared" si="69"/>
        <v>105568.37999999989</v>
      </c>
      <c r="BK57" s="399">
        <f t="shared" si="70"/>
        <v>344851.36000000045</v>
      </c>
      <c r="BL57" s="398">
        <f t="shared" si="71"/>
        <v>251558.55999999959</v>
      </c>
      <c r="BM57" s="398">
        <f t="shared" si="71"/>
        <v>1123801.4099999999</v>
      </c>
      <c r="BN57" s="398">
        <f t="shared" si="71"/>
        <v>90440.339999999851</v>
      </c>
      <c r="BO57" s="398">
        <f t="shared" si="71"/>
        <v>-606493.7200000002</v>
      </c>
      <c r="BP57" s="398">
        <f t="shared" si="72"/>
        <v>66117.489999999991</v>
      </c>
      <c r="BQ57" s="398">
        <f t="shared" si="73"/>
        <v>-105760.62</v>
      </c>
      <c r="BR57" s="398">
        <f t="shared" si="74"/>
        <v>-243512.22999999998</v>
      </c>
      <c r="BS57" s="278"/>
      <c r="BT57" s="391"/>
    </row>
    <row r="58" spans="1:72" x14ac:dyDescent="0.25">
      <c r="A58" s="341">
        <f>+A51+1</f>
        <v>8</v>
      </c>
      <c r="B58" s="397" t="s">
        <v>30</v>
      </c>
      <c r="C58" s="432"/>
      <c r="D58" s="108"/>
      <c r="E58" s="108"/>
      <c r="F58" s="108"/>
      <c r="G58" s="108"/>
      <c r="H58" s="108"/>
      <c r="I58" s="108"/>
      <c r="J58" s="108"/>
      <c r="K58" s="108"/>
      <c r="L58" s="364"/>
      <c r="M58" s="432"/>
      <c r="N58" s="108"/>
      <c r="O58" s="108"/>
      <c r="P58" s="108"/>
      <c r="Q58" s="108"/>
      <c r="R58" s="108"/>
      <c r="S58" s="108"/>
      <c r="T58" s="108"/>
      <c r="U58" s="108"/>
      <c r="V58" s="108"/>
      <c r="W58" s="108"/>
      <c r="X58" s="364"/>
      <c r="Y58" s="108"/>
      <c r="Z58" s="108"/>
      <c r="AA58" s="108"/>
      <c r="AB58" s="108"/>
      <c r="AC58" s="108"/>
      <c r="AD58" s="420"/>
      <c r="AE58" s="420"/>
      <c r="AF58" s="420"/>
      <c r="AG58" s="420"/>
      <c r="AH58" s="420"/>
      <c r="AI58" s="420"/>
      <c r="AJ58" s="420"/>
      <c r="AK58" s="420"/>
      <c r="AL58" s="420"/>
      <c r="AM58" s="420"/>
      <c r="AN58" s="420"/>
      <c r="AO58" s="420"/>
      <c r="AP58" s="420"/>
      <c r="AQ58" s="420"/>
      <c r="AR58" s="420"/>
      <c r="AS58" s="420"/>
      <c r="AT58" s="420"/>
      <c r="AU58" s="420"/>
      <c r="AV58" s="420"/>
      <c r="AW58" s="463"/>
      <c r="AX58" s="398"/>
      <c r="AY58" s="398"/>
      <c r="AZ58" s="398"/>
      <c r="BA58" s="278"/>
      <c r="BB58" s="278"/>
      <c r="BC58" s="278"/>
      <c r="BD58" s="398"/>
      <c r="BE58" s="398"/>
      <c r="BF58" s="398"/>
      <c r="BG58" s="278"/>
      <c r="BH58" s="391"/>
      <c r="BI58" s="463"/>
      <c r="BJ58" s="398"/>
      <c r="BK58" s="398"/>
      <c r="BL58" s="398"/>
      <c r="BM58" s="398"/>
      <c r="BN58" s="398"/>
      <c r="BO58" s="398"/>
      <c r="BP58" s="398"/>
      <c r="BQ58" s="398"/>
      <c r="BR58" s="398"/>
      <c r="BS58" s="278"/>
      <c r="BT58" s="391"/>
    </row>
    <row r="59" spans="1:72" x14ac:dyDescent="0.25">
      <c r="A59" s="341"/>
      <c r="B59" s="390" t="s">
        <v>35</v>
      </c>
      <c r="C59" s="432">
        <v>692742</v>
      </c>
      <c r="D59" s="108">
        <v>761355.51</v>
      </c>
      <c r="E59" s="108">
        <v>921170.16</v>
      </c>
      <c r="F59" s="108">
        <v>1091876.23</v>
      </c>
      <c r="G59" s="108">
        <v>1224051.96</v>
      </c>
      <c r="H59" s="108">
        <v>1079570.78</v>
      </c>
      <c r="I59" s="108">
        <v>880273.3</v>
      </c>
      <c r="J59" s="108">
        <v>745109.21</v>
      </c>
      <c r="K59" s="108">
        <v>687006.25</v>
      </c>
      <c r="L59" s="364">
        <v>660494.64</v>
      </c>
      <c r="M59" s="432">
        <v>594467.72</v>
      </c>
      <c r="N59" s="108">
        <v>625282.68000000005</v>
      </c>
      <c r="O59" s="108">
        <v>863217.86</v>
      </c>
      <c r="P59" s="108">
        <v>1315075.23</v>
      </c>
      <c r="Q59" s="108">
        <v>1829147.8</v>
      </c>
      <c r="R59" s="108">
        <v>2573409.9500000002</v>
      </c>
      <c r="S59" s="108">
        <v>2791178.75</v>
      </c>
      <c r="T59" s="108">
        <v>3010399.39</v>
      </c>
      <c r="U59" s="108">
        <v>2872721.99</v>
      </c>
      <c r="V59" s="108">
        <v>2697880.22</v>
      </c>
      <c r="W59" s="108">
        <f>2553291.3+910</f>
        <v>2554201.2999999998</v>
      </c>
      <c r="X59" s="364">
        <f>2449862.46+317</f>
        <v>2450179.46</v>
      </c>
      <c r="Y59" s="108">
        <f>2509027.76+38</f>
        <v>2509065.7599999998</v>
      </c>
      <c r="Z59" s="108">
        <v>2535710.2799999998</v>
      </c>
      <c r="AA59" s="108">
        <v>2906393.01</v>
      </c>
      <c r="AB59" s="108">
        <v>3540537.11</v>
      </c>
      <c r="AC59" s="401">
        <v>3881123.24</v>
      </c>
      <c r="AD59" s="402">
        <f>255.27+63901.05+3618273.38</f>
        <v>3682429.6999999997</v>
      </c>
      <c r="AE59" s="402">
        <v>4317937.46</v>
      </c>
      <c r="AF59" s="402">
        <v>4472218.0599999996</v>
      </c>
      <c r="AG59" s="402">
        <f>71839.32+4204612.25+517.15</f>
        <v>4276968.7200000007</v>
      </c>
      <c r="AH59" s="402">
        <v>4092360.91</v>
      </c>
      <c r="AI59" s="402">
        <f>70947.49+3845224.47+319.72</f>
        <v>3916491.6800000006</v>
      </c>
      <c r="AJ59" s="402">
        <f>70569.38+3803633.02+309.53</f>
        <v>3874511.9299999997</v>
      </c>
      <c r="AK59" s="402">
        <f>71962.44+3508928.3</f>
        <v>3580890.7399999998</v>
      </c>
      <c r="AL59" s="402">
        <f>73019.07+3347179.62</f>
        <v>3420198.69</v>
      </c>
      <c r="AM59" s="402">
        <f>74355.72+3247575.82</f>
        <v>3321931.54</v>
      </c>
      <c r="AN59" s="402">
        <f>80781.77+3633837.85</f>
        <v>3714619.62</v>
      </c>
      <c r="AO59" s="402">
        <f>129592.19+6990915.24+3092.02</f>
        <v>7123599.4500000002</v>
      </c>
      <c r="AP59" s="402">
        <f>153449.72+7962772.35</f>
        <v>8116222.0699999994</v>
      </c>
      <c r="AQ59" s="402">
        <f>153826.443+8161193.19+81.02</f>
        <v>8315100.6529999999</v>
      </c>
      <c r="AR59" s="402">
        <f>170828.9+9007933.65+65.59</f>
        <v>9178828.1400000006</v>
      </c>
      <c r="AS59" s="402">
        <f>116074.52+4569908.1+65.59</f>
        <v>4686048.209999999</v>
      </c>
      <c r="AT59" s="402">
        <f>114856.51+4309499.45+61.47</f>
        <v>4424417.43</v>
      </c>
      <c r="AU59" s="402">
        <f>114724.09+3945223.95+51.12</f>
        <v>4059999.16</v>
      </c>
      <c r="AV59" s="402">
        <f>113970.09+3876078.18+91.54</f>
        <v>3990139.81</v>
      </c>
      <c r="AW59" s="463">
        <f>111499.14+3521423.42</f>
        <v>3632922.56</v>
      </c>
      <c r="AX59" s="398">
        <f>113087.87+3787797.61</f>
        <v>3900885.48</v>
      </c>
      <c r="AY59" s="398">
        <f>109050.03+3748789.51</f>
        <v>3857839.5399999996</v>
      </c>
      <c r="AZ59" s="398">
        <f>SUM(111084.56+3884750.47+335.63)</f>
        <v>3996170.66</v>
      </c>
      <c r="BA59" s="398">
        <v>6767709.79</v>
      </c>
      <c r="BB59" s="398">
        <f>SUM(19819+1144940.69+180.71+14668.11+746356.96+114.92+48076.21+1519406.41+110418.32+5664289.73)</f>
        <v>9268271.0600000005</v>
      </c>
      <c r="BC59" s="580">
        <f>93227.01+3847407.19</f>
        <v>3940634.1999999997</v>
      </c>
      <c r="BD59" s="398">
        <f>(188551.19+10297063.14)</f>
        <v>10485614.33</v>
      </c>
      <c r="BE59" s="398">
        <f>79992.58+3551820.98</f>
        <v>3631813.56</v>
      </c>
      <c r="BF59" s="398">
        <f>73085.97+3331416.54+41.04</f>
        <v>3404543.5500000003</v>
      </c>
      <c r="BG59" s="278"/>
      <c r="BH59" s="391"/>
      <c r="BI59" s="463">
        <f t="shared" ref="BI59:BI64" si="79">AW59-AK59</f>
        <v>52031.820000000298</v>
      </c>
      <c r="BJ59" s="398">
        <f t="shared" ref="BJ59:BJ64" si="80">AX59-AL59</f>
        <v>480686.79000000004</v>
      </c>
      <c r="BK59" s="398">
        <f t="shared" ref="BK59:BK64" si="81">AY59-AM59</f>
        <v>535907.99999999953</v>
      </c>
      <c r="BL59" s="398">
        <f t="shared" ref="BL59:BO64" si="82">AZ59-AN59</f>
        <v>281551.04000000004</v>
      </c>
      <c r="BM59" s="398">
        <f t="shared" si="82"/>
        <v>-355889.66000000015</v>
      </c>
      <c r="BN59" s="398">
        <f t="shared" si="82"/>
        <v>1152048.9900000012</v>
      </c>
      <c r="BO59" s="398">
        <f t="shared" si="82"/>
        <v>-4374466.4529999997</v>
      </c>
      <c r="BP59" s="398">
        <f t="shared" ref="BP59:BP64" si="83">BD59-AR59</f>
        <v>1306786.1899999995</v>
      </c>
      <c r="BQ59" s="398">
        <f t="shared" ref="BQ59:BQ64" si="84">BE59-AS59</f>
        <v>-1054234.649999999</v>
      </c>
      <c r="BR59" s="398">
        <f t="shared" ref="BR59:BR64" si="85">BF59-AT59</f>
        <v>-1019873.8799999994</v>
      </c>
      <c r="BS59" s="278"/>
      <c r="BT59" s="391"/>
    </row>
    <row r="60" spans="1:72" x14ac:dyDescent="0.25">
      <c r="A60" s="341"/>
      <c r="B60" s="390" t="s">
        <v>36</v>
      </c>
      <c r="C60" s="432">
        <v>594995.82999999996</v>
      </c>
      <c r="D60" s="108">
        <v>606294.09</v>
      </c>
      <c r="E60" s="108">
        <v>534087.82999999996</v>
      </c>
      <c r="F60" s="108">
        <v>596637.91</v>
      </c>
      <c r="G60" s="108">
        <v>676457.43</v>
      </c>
      <c r="H60" s="108">
        <v>650001.76</v>
      </c>
      <c r="I60" s="108">
        <v>617001.74</v>
      </c>
      <c r="J60" s="108">
        <v>578274.38</v>
      </c>
      <c r="K60" s="108">
        <v>597781.9</v>
      </c>
      <c r="L60" s="364">
        <v>592014.32999999996</v>
      </c>
      <c r="M60" s="432">
        <v>537463.1</v>
      </c>
      <c r="N60" s="108">
        <v>626707.49</v>
      </c>
      <c r="O60" s="108">
        <v>771807.74</v>
      </c>
      <c r="P60" s="108">
        <v>995564.77</v>
      </c>
      <c r="Q60" s="108">
        <v>1099377.82</v>
      </c>
      <c r="R60" s="108">
        <v>390535.24</v>
      </c>
      <c r="S60" s="108">
        <v>245299.22</v>
      </c>
      <c r="T60" s="108">
        <v>332350.06</v>
      </c>
      <c r="U60" s="108">
        <v>474910.78</v>
      </c>
      <c r="V60" s="108">
        <v>431373.76</v>
      </c>
      <c r="W60" s="108">
        <v>669625.74</v>
      </c>
      <c r="X60" s="364">
        <v>878237</v>
      </c>
      <c r="Y60" s="108">
        <v>1014364.72</v>
      </c>
      <c r="Z60" s="108">
        <v>1136633.51</v>
      </c>
      <c r="AA60" s="108">
        <v>1355122.52</v>
      </c>
      <c r="AB60" s="108">
        <v>1767526.73</v>
      </c>
      <c r="AC60" s="362">
        <v>1140935.3500000001</v>
      </c>
      <c r="AD60" s="420">
        <f>14982.96+1922739.94</f>
        <v>1937722.9</v>
      </c>
      <c r="AE60" s="420">
        <v>1978695.8</v>
      </c>
      <c r="AF60" s="420">
        <v>2086637.66</v>
      </c>
      <c r="AG60" s="420">
        <v>2280151.59</v>
      </c>
      <c r="AH60" s="420">
        <v>1885262.8</v>
      </c>
      <c r="AI60" s="420">
        <f>9905.96+1629547.56</f>
        <v>1639453.52</v>
      </c>
      <c r="AJ60" s="420">
        <f>10038.23+1614996.6</f>
        <v>1625034.83</v>
      </c>
      <c r="AK60" s="420">
        <f>11275.49+1584824.73</f>
        <v>1596100.22</v>
      </c>
      <c r="AL60" s="420">
        <f>11683.31+1535928.73</f>
        <v>1547612.04</v>
      </c>
      <c r="AM60" s="420">
        <f>12438.66+1534999.83</f>
        <v>1547438.49</v>
      </c>
      <c r="AN60" s="420">
        <f>14072.64+1482803.7</f>
        <v>1496876.3399999999</v>
      </c>
      <c r="AO60" s="420">
        <f>15658.58+1846829.54+12.05</f>
        <v>1862500.1700000002</v>
      </c>
      <c r="AP60" s="420">
        <f>21207.99+2334082.67</f>
        <v>2355290.66</v>
      </c>
      <c r="AQ60" s="420">
        <f>21765.22+2375154.21+12.05</f>
        <v>2396931.48</v>
      </c>
      <c r="AR60" s="420">
        <f>26309.92+2690549.1+12.05</f>
        <v>2716871.07</v>
      </c>
      <c r="AS60" s="420">
        <f>22263.13+2245204.16</f>
        <v>2267467.29</v>
      </c>
      <c r="AT60" s="420">
        <f>24323.07+2116307.77</f>
        <v>2140630.84</v>
      </c>
      <c r="AU60" s="420">
        <f>19318.95+1787518.99</f>
        <v>1806837.94</v>
      </c>
      <c r="AV60" s="420">
        <f>20052.58+1823847.28</f>
        <v>1843899.86</v>
      </c>
      <c r="AW60" s="463">
        <f>29052.34+2107896.32</f>
        <v>2136948.6599999997</v>
      </c>
      <c r="AX60" s="398">
        <f>26097.66+1739040.2</f>
        <v>1765137.8599999999</v>
      </c>
      <c r="AY60" s="398">
        <f>28183.73+1744044.02</f>
        <v>1772227.75</v>
      </c>
      <c r="AZ60" s="398">
        <f>SUM(35229.34+2181592.32)</f>
        <v>2216821.6599999997</v>
      </c>
      <c r="BA60" s="398">
        <f>37425.9+2495252.74</f>
        <v>2532678.64</v>
      </c>
      <c r="BB60" s="398">
        <f>SUM(4933.44+489485.62+4179.97+346839.04+16903.19+792838.88+35775.98+2158758.63+1000.13)</f>
        <v>3850714.88</v>
      </c>
      <c r="BC60" s="580">
        <f>38719.21+2815752.64</f>
        <v>2854471.85</v>
      </c>
      <c r="BD60" s="398">
        <f>(66613.22+4526438.17)</f>
        <v>4593051.3899999997</v>
      </c>
      <c r="BE60" s="398">
        <f>37778.64+2752488.72</f>
        <v>2790267.3600000003</v>
      </c>
      <c r="BF60" s="398">
        <f>37866.45+2549269.41</f>
        <v>2587135.8600000003</v>
      </c>
      <c r="BG60" s="278"/>
      <c r="BH60" s="391"/>
      <c r="BI60" s="463">
        <f t="shared" si="79"/>
        <v>540848.43999999971</v>
      </c>
      <c r="BJ60" s="398">
        <f t="shared" si="80"/>
        <v>217525.81999999983</v>
      </c>
      <c r="BK60" s="398">
        <f t="shared" si="81"/>
        <v>224789.26</v>
      </c>
      <c r="BL60" s="398">
        <f t="shared" si="82"/>
        <v>719945.31999999983</v>
      </c>
      <c r="BM60" s="398">
        <f t="shared" si="82"/>
        <v>670178.47</v>
      </c>
      <c r="BN60" s="398">
        <f t="shared" si="82"/>
        <v>1495424.2199999997</v>
      </c>
      <c r="BO60" s="398">
        <f t="shared" si="82"/>
        <v>457540.37000000011</v>
      </c>
      <c r="BP60" s="398">
        <f t="shared" si="83"/>
        <v>1876180.3199999998</v>
      </c>
      <c r="BQ60" s="398">
        <f t="shared" si="84"/>
        <v>522800.0700000003</v>
      </c>
      <c r="BR60" s="398">
        <f t="shared" si="85"/>
        <v>446505.02000000048</v>
      </c>
      <c r="BS60" s="278"/>
      <c r="BT60" s="391"/>
    </row>
    <row r="61" spans="1:72" x14ac:dyDescent="0.25">
      <c r="A61" s="341"/>
      <c r="B61" s="390" t="s">
        <v>37</v>
      </c>
      <c r="C61" s="432">
        <v>18671.939999999999</v>
      </c>
      <c r="D61" s="108">
        <v>23528.560000000001</v>
      </c>
      <c r="E61" s="108">
        <v>47485.83</v>
      </c>
      <c r="F61" s="108">
        <v>50287.82</v>
      </c>
      <c r="G61" s="108">
        <v>53176.01</v>
      </c>
      <c r="H61" s="108">
        <v>42734.400000000001</v>
      </c>
      <c r="I61" s="108">
        <v>35577.599999999999</v>
      </c>
      <c r="J61" s="108">
        <v>28656.83</v>
      </c>
      <c r="K61" s="108">
        <v>25016.720000000001</v>
      </c>
      <c r="L61" s="364">
        <v>17608.330000000002</v>
      </c>
      <c r="M61" s="432">
        <v>16247.36</v>
      </c>
      <c r="N61" s="108">
        <v>17230.52</v>
      </c>
      <c r="O61" s="108">
        <v>23840.560000000001</v>
      </c>
      <c r="P61" s="108">
        <v>50575.73</v>
      </c>
      <c r="Q61" s="108">
        <v>83775.23</v>
      </c>
      <c r="R61" s="108">
        <v>108921.66</v>
      </c>
      <c r="S61" s="108">
        <v>128317.57</v>
      </c>
      <c r="T61" s="108">
        <v>120448.86</v>
      </c>
      <c r="U61" s="108">
        <v>74143.47</v>
      </c>
      <c r="V61" s="108">
        <v>42034.31</v>
      </c>
      <c r="W61" s="108">
        <v>42982.51</v>
      </c>
      <c r="X61" s="364">
        <v>43547.519999999997</v>
      </c>
      <c r="Y61" s="108">
        <v>43378.62</v>
      </c>
      <c r="Z61" s="108">
        <v>44001.2</v>
      </c>
      <c r="AA61" s="108">
        <v>60860.3</v>
      </c>
      <c r="AB61" s="108">
        <v>86844.89</v>
      </c>
      <c r="AC61" s="362">
        <v>78048.28</v>
      </c>
      <c r="AD61" s="420">
        <f>85583.48+16108.96+97.25</f>
        <v>101789.69</v>
      </c>
      <c r="AE61" s="420">
        <v>149112.37</v>
      </c>
      <c r="AF61" s="420">
        <v>164093.46</v>
      </c>
      <c r="AG61" s="420">
        <v>188368.94</v>
      </c>
      <c r="AH61" s="420">
        <v>166112.97</v>
      </c>
      <c r="AI61" s="420">
        <f>132975.03+22007.89+26.2</f>
        <v>155009.12</v>
      </c>
      <c r="AJ61" s="420">
        <v>150320.38</v>
      </c>
      <c r="AK61" s="420">
        <v>122534.27</v>
      </c>
      <c r="AL61" s="420">
        <v>114564.22</v>
      </c>
      <c r="AM61" s="420">
        <v>120761.92</v>
      </c>
      <c r="AN61" s="420">
        <f>107353.14+24130.65+102.84</f>
        <v>131586.63</v>
      </c>
      <c r="AO61" s="420">
        <f>30907.1+1489.4+(-11968.09)+(-903.42)</f>
        <v>19524.990000000002</v>
      </c>
      <c r="AP61" s="420">
        <f>306226.41+45337.84+810.37+411.16</f>
        <v>352785.77999999997</v>
      </c>
      <c r="AQ61" s="420">
        <f>382881.58+45974.24+0+411.16</f>
        <v>429266.98</v>
      </c>
      <c r="AR61" s="420">
        <f>393636.25+53917.4+327.85</f>
        <v>447881.5</v>
      </c>
      <c r="AS61" s="420">
        <f>271591.87+34707.27+327385</f>
        <v>633684.14</v>
      </c>
      <c r="AT61" s="420">
        <f>238670.91+35603.16+76.64+60.87</f>
        <v>274411.58</v>
      </c>
      <c r="AU61" s="420">
        <f>214459.43+34346.58+131.9+199.54</f>
        <v>249137.45</v>
      </c>
      <c r="AV61" s="420">
        <f>219564.52+36994.24+171.55+289.5</f>
        <v>257019.80999999997</v>
      </c>
      <c r="AW61" s="463">
        <f>210288.07+41038.98+217.65+613.72</f>
        <v>252158.42</v>
      </c>
      <c r="AX61" s="398">
        <f>218278.97+44076.54+894.25</f>
        <v>263249.76</v>
      </c>
      <c r="AY61" s="398">
        <f>190842.3+41722.74+1033.24+7.14</f>
        <v>233605.41999999998</v>
      </c>
      <c r="AZ61" s="398">
        <f>SUM(185656.8+466666.65+1033.24+41.82)</f>
        <v>653398.50999999989</v>
      </c>
      <c r="BA61" s="398">
        <v>226541.23</v>
      </c>
      <c r="BB61" s="398">
        <f>SUM(43157.15+24565.06+60817.49+245105.87+6440.16+6752.34+20274.14+38076.81+51.53+6.62+828.7+3332.96)</f>
        <v>449408.83000000007</v>
      </c>
      <c r="BC61" s="580">
        <f>149673.32+35564.83+163.29</f>
        <v>185401.44000000003</v>
      </c>
      <c r="BD61" s="398">
        <f>(459414.83+72675.05+4227.77)</f>
        <v>536317.65</v>
      </c>
      <c r="BE61" s="398">
        <f>110149.27+36953.85+96</f>
        <v>147199.12</v>
      </c>
      <c r="BF61" s="398">
        <f>83319.78+18848.4+126.45</f>
        <v>102294.62999999999</v>
      </c>
      <c r="BG61" s="278"/>
      <c r="BH61" s="391"/>
      <c r="BI61" s="463">
        <f t="shared" si="79"/>
        <v>129624.15000000001</v>
      </c>
      <c r="BJ61" s="398">
        <f t="shared" si="80"/>
        <v>148685.54</v>
      </c>
      <c r="BK61" s="398">
        <f t="shared" si="81"/>
        <v>112843.49999999999</v>
      </c>
      <c r="BL61" s="398">
        <f t="shared" si="82"/>
        <v>521811.87999999989</v>
      </c>
      <c r="BM61" s="398">
        <f t="shared" si="82"/>
        <v>207016.24000000002</v>
      </c>
      <c r="BN61" s="398">
        <f t="shared" si="82"/>
        <v>96623.050000000105</v>
      </c>
      <c r="BO61" s="398">
        <f t="shared" si="82"/>
        <v>-243865.53999999995</v>
      </c>
      <c r="BP61" s="398">
        <f t="shared" si="83"/>
        <v>88436.150000000023</v>
      </c>
      <c r="BQ61" s="398">
        <f t="shared" si="84"/>
        <v>-486485.02</v>
      </c>
      <c r="BR61" s="398">
        <f t="shared" si="85"/>
        <v>-172116.95</v>
      </c>
      <c r="BS61" s="278"/>
      <c r="BT61" s="391"/>
    </row>
    <row r="62" spans="1:72" x14ac:dyDescent="0.25">
      <c r="A62" s="341"/>
      <c r="B62" s="390" t="s">
        <v>38</v>
      </c>
      <c r="C62" s="432">
        <v>6436.51</v>
      </c>
      <c r="D62" s="108">
        <v>2351.38</v>
      </c>
      <c r="E62" s="108">
        <v>30735.759999999998</v>
      </c>
      <c r="F62" s="108">
        <v>43293.83</v>
      </c>
      <c r="G62" s="108">
        <v>29072.52</v>
      </c>
      <c r="H62" s="108">
        <v>26548.560000000001</v>
      </c>
      <c r="I62" s="108">
        <v>22905.73</v>
      </c>
      <c r="J62" s="108">
        <v>20243.080000000002</v>
      </c>
      <c r="K62" s="108">
        <v>14202.77</v>
      </c>
      <c r="L62" s="364">
        <v>11601.94</v>
      </c>
      <c r="M62" s="432">
        <v>4112.78</v>
      </c>
      <c r="N62" s="108">
        <v>7812.56</v>
      </c>
      <c r="O62" s="108">
        <v>18959.310000000001</v>
      </c>
      <c r="P62" s="108">
        <v>53415.67</v>
      </c>
      <c r="Q62" s="108">
        <v>115737.54</v>
      </c>
      <c r="R62" s="108">
        <v>198284.34</v>
      </c>
      <c r="S62" s="108">
        <v>231699.51</v>
      </c>
      <c r="T62" s="108">
        <v>239389.4</v>
      </c>
      <c r="U62" s="108">
        <v>136698.09</v>
      </c>
      <c r="V62" s="108">
        <v>128130.21</v>
      </c>
      <c r="W62" s="108">
        <v>132673</v>
      </c>
      <c r="X62" s="364">
        <v>113569.51</v>
      </c>
      <c r="Y62" s="108">
        <v>86869.56</v>
      </c>
      <c r="Z62" s="108">
        <v>68948.39</v>
      </c>
      <c r="AA62" s="108">
        <v>70552.820000000007</v>
      </c>
      <c r="AB62" s="108">
        <v>88899.11</v>
      </c>
      <c r="AC62" s="362">
        <v>98340.12</v>
      </c>
      <c r="AD62" s="420">
        <f>73136.02+20759.16+21300.89</f>
        <v>115196.07</v>
      </c>
      <c r="AE62" s="420">
        <v>114304.82</v>
      </c>
      <c r="AF62" s="420">
        <v>135794.94</v>
      </c>
      <c r="AG62" s="420">
        <v>146764.82</v>
      </c>
      <c r="AH62" s="420">
        <v>132103.03</v>
      </c>
      <c r="AI62" s="420">
        <f>62755.09+25612.44+24563.49</f>
        <v>112931.02</v>
      </c>
      <c r="AJ62" s="420">
        <v>107025.60000000001</v>
      </c>
      <c r="AK62" s="420">
        <v>79289.94</v>
      </c>
      <c r="AL62" s="420">
        <v>68723.89</v>
      </c>
      <c r="AM62" s="420">
        <v>75712.13</v>
      </c>
      <c r="AN62" s="420">
        <f>40825.04+24942.74+7033.68</f>
        <v>72801.459999999992</v>
      </c>
      <c r="AO62" s="420">
        <f>(-38375.07)+14889.4+35627.27+10008.56</f>
        <v>22150.159999999996</v>
      </c>
      <c r="AP62" s="420">
        <f>121013.18+43686.04+4064.08+21080.99</f>
        <v>189844.28999999998</v>
      </c>
      <c r="AQ62" s="420">
        <f>117902.06+37350.7+2156.77+22763.22</f>
        <v>180172.75</v>
      </c>
      <c r="AR62" s="420">
        <f>200380.24+39684.43+5828.45+25383.78</f>
        <v>271276.90000000002</v>
      </c>
      <c r="AS62" s="420">
        <f>178271.27+31834.13+20561.55+23571.53</f>
        <v>254238.47999999998</v>
      </c>
      <c r="AT62" s="420">
        <f>167037.28+32254.84+25679.44+24111.87</f>
        <v>249083.43</v>
      </c>
      <c r="AU62" s="420">
        <f>148873.82+36685.55+25099.12+25435.92</f>
        <v>236094.40999999997</v>
      </c>
      <c r="AV62" s="420">
        <f>144162.11+44894.69+14475.94+25675.19</f>
        <v>229207.93</v>
      </c>
      <c r="AW62" s="463">
        <f>143921.56+42559.38+14328.29+24870.77</f>
        <v>225680</v>
      </c>
      <c r="AX62" s="398">
        <f>146611.81+45334.64+15471.78+28973.12</f>
        <v>236391.35</v>
      </c>
      <c r="AY62" s="398">
        <f>152680.14+38162.4+15903.1+33551.54</f>
        <v>240297.18000000002</v>
      </c>
      <c r="AZ62" s="398">
        <f>SUM(176379.67+43058.45+15595.79+30571.34)</f>
        <v>265605.25</v>
      </c>
      <c r="BA62" s="398">
        <v>260547.1</v>
      </c>
      <c r="BB62" s="398">
        <f>SUM(24766.5+13870.63+48150.01+105951.64+4784.37+3425.18+11471.89+18427.5+41.85+42.52+16419.26+367.18+2025.21+8836.93+16789.7)</f>
        <v>275370.36999999994</v>
      </c>
      <c r="BC62" s="580">
        <f>252976.9+39085.2+26376.97+26712.85</f>
        <v>345151.91999999993</v>
      </c>
      <c r="BD62" s="398">
        <f>(293706.93+60722.66+27426.4+27742.76)</f>
        <v>409598.75</v>
      </c>
      <c r="BE62" s="398">
        <f>292606.76+48255.05+14712.86+27028.24</f>
        <v>382602.91</v>
      </c>
      <c r="BF62" s="398">
        <f>285991.89+50236.01+13827.81</f>
        <v>350055.71</v>
      </c>
      <c r="BG62" s="278"/>
      <c r="BH62" s="391"/>
      <c r="BI62" s="463">
        <f t="shared" si="79"/>
        <v>146390.06</v>
      </c>
      <c r="BJ62" s="398">
        <f t="shared" si="80"/>
        <v>167667.46000000002</v>
      </c>
      <c r="BK62" s="398">
        <f t="shared" si="81"/>
        <v>164585.05000000002</v>
      </c>
      <c r="BL62" s="398">
        <f t="shared" si="82"/>
        <v>192803.79</v>
      </c>
      <c r="BM62" s="398">
        <f t="shared" si="82"/>
        <v>238396.94</v>
      </c>
      <c r="BN62" s="398">
        <f t="shared" si="82"/>
        <v>85526.079999999958</v>
      </c>
      <c r="BO62" s="398">
        <f t="shared" si="82"/>
        <v>164979.16999999993</v>
      </c>
      <c r="BP62" s="398">
        <f t="shared" si="83"/>
        <v>138321.84999999998</v>
      </c>
      <c r="BQ62" s="398">
        <f t="shared" si="84"/>
        <v>128364.43</v>
      </c>
      <c r="BR62" s="398">
        <f t="shared" si="85"/>
        <v>100972.28000000003</v>
      </c>
      <c r="BS62" s="278"/>
      <c r="BT62" s="391"/>
    </row>
    <row r="63" spans="1:72" x14ac:dyDescent="0.25">
      <c r="A63" s="341"/>
      <c r="B63" s="390" t="s">
        <v>39</v>
      </c>
      <c r="C63" s="432">
        <v>0</v>
      </c>
      <c r="D63" s="108">
        <v>0</v>
      </c>
      <c r="E63" s="108">
        <v>0</v>
      </c>
      <c r="F63" s="108">
        <v>0</v>
      </c>
      <c r="G63" s="108">
        <v>0</v>
      </c>
      <c r="H63" s="108">
        <v>0</v>
      </c>
      <c r="I63" s="108">
        <v>0</v>
      </c>
      <c r="J63" s="108">
        <v>0</v>
      </c>
      <c r="K63" s="108">
        <v>0</v>
      </c>
      <c r="L63" s="364">
        <v>44.71</v>
      </c>
      <c r="M63" s="432">
        <v>239.83</v>
      </c>
      <c r="N63" s="108">
        <v>242.02</v>
      </c>
      <c r="O63" s="108">
        <v>0</v>
      </c>
      <c r="P63" s="108">
        <v>0</v>
      </c>
      <c r="Q63" s="108">
        <v>0</v>
      </c>
      <c r="R63" s="108">
        <v>25423.25</v>
      </c>
      <c r="S63" s="108">
        <v>112115.38</v>
      </c>
      <c r="T63" s="108">
        <v>36715.9</v>
      </c>
      <c r="U63" s="108">
        <v>1972.37</v>
      </c>
      <c r="V63" s="108">
        <v>1252.43</v>
      </c>
      <c r="W63" s="108">
        <v>2568.9499999999998</v>
      </c>
      <c r="X63" s="364">
        <v>0</v>
      </c>
      <c r="Y63" s="108">
        <v>0</v>
      </c>
      <c r="Z63" s="108">
        <v>0</v>
      </c>
      <c r="AA63" s="108">
        <v>0</v>
      </c>
      <c r="AB63" s="108">
        <v>0</v>
      </c>
      <c r="AC63" s="362">
        <v>0</v>
      </c>
      <c r="AD63" s="420">
        <v>0</v>
      </c>
      <c r="AE63" s="420">
        <v>2933.47</v>
      </c>
      <c r="AF63" s="420">
        <v>13280.39</v>
      </c>
      <c r="AG63" s="420">
        <v>17825.37</v>
      </c>
      <c r="AH63" s="420">
        <v>3228.3</v>
      </c>
      <c r="AI63" s="420">
        <f>6408.82</f>
        <v>6408.82</v>
      </c>
      <c r="AJ63" s="420">
        <v>0</v>
      </c>
      <c r="AK63" s="420">
        <v>19552.46</v>
      </c>
      <c r="AL63" s="420">
        <v>12442.4</v>
      </c>
      <c r="AM63" s="420">
        <v>0</v>
      </c>
      <c r="AN63" s="420">
        <v>0</v>
      </c>
      <c r="AO63" s="420">
        <v>0</v>
      </c>
      <c r="AP63" s="420">
        <v>0</v>
      </c>
      <c r="AQ63" s="420">
        <v>0</v>
      </c>
      <c r="AR63" s="420">
        <v>0</v>
      </c>
      <c r="AS63" s="420">
        <v>0</v>
      </c>
      <c r="AT63" s="420">
        <v>0</v>
      </c>
      <c r="AU63" s="420">
        <v>0</v>
      </c>
      <c r="AV63" s="420">
        <v>0</v>
      </c>
      <c r="AW63" s="463">
        <v>0</v>
      </c>
      <c r="AX63" s="398">
        <v>0</v>
      </c>
      <c r="AY63" s="421">
        <v>0</v>
      </c>
      <c r="AZ63" s="398">
        <f>SUM(12939.32+0)</f>
        <v>12939.32</v>
      </c>
      <c r="BA63" s="398">
        <v>51764.02</v>
      </c>
      <c r="BB63" s="398">
        <f>SUM(38824.7+12939.32)</f>
        <v>51764.02</v>
      </c>
      <c r="BC63" s="580">
        <v>0</v>
      </c>
      <c r="BD63" s="398"/>
      <c r="BE63" s="398">
        <v>0</v>
      </c>
      <c r="BF63" s="398">
        <v>0</v>
      </c>
      <c r="BG63" s="278"/>
      <c r="BH63" s="391"/>
      <c r="BI63" s="463">
        <f t="shared" si="79"/>
        <v>-19552.46</v>
      </c>
      <c r="BJ63" s="398">
        <f t="shared" si="80"/>
        <v>-12442.4</v>
      </c>
      <c r="BK63" s="398">
        <f t="shared" si="81"/>
        <v>0</v>
      </c>
      <c r="BL63" s="398">
        <f t="shared" si="82"/>
        <v>12939.32</v>
      </c>
      <c r="BM63" s="398">
        <f t="shared" si="82"/>
        <v>51764.02</v>
      </c>
      <c r="BN63" s="398">
        <f t="shared" si="82"/>
        <v>51764.02</v>
      </c>
      <c r="BO63" s="398">
        <f t="shared" si="82"/>
        <v>0</v>
      </c>
      <c r="BP63" s="398">
        <f t="shared" si="83"/>
        <v>0</v>
      </c>
      <c r="BQ63" s="398">
        <f t="shared" si="84"/>
        <v>0</v>
      </c>
      <c r="BR63" s="398">
        <f t="shared" si="85"/>
        <v>0</v>
      </c>
      <c r="BS63" s="278"/>
      <c r="BT63" s="391"/>
    </row>
    <row r="64" spans="1:72" x14ac:dyDescent="0.25">
      <c r="A64" s="341"/>
      <c r="B64" s="390" t="s">
        <v>40</v>
      </c>
      <c r="C64" s="432">
        <f t="shared" ref="C64:AC64" si="86">SUM(C59:C63)</f>
        <v>1312846.28</v>
      </c>
      <c r="D64" s="108">
        <f t="shared" si="86"/>
        <v>1393529.54</v>
      </c>
      <c r="E64" s="108">
        <f t="shared" si="86"/>
        <v>1533479.58</v>
      </c>
      <c r="F64" s="108">
        <f t="shared" si="86"/>
        <v>1782095.7900000003</v>
      </c>
      <c r="G64" s="108">
        <f t="shared" si="86"/>
        <v>1982757.9200000002</v>
      </c>
      <c r="H64" s="108">
        <f t="shared" si="86"/>
        <v>1798855.5</v>
      </c>
      <c r="I64" s="108">
        <f t="shared" si="86"/>
        <v>1555758.37</v>
      </c>
      <c r="J64" s="108">
        <f t="shared" si="86"/>
        <v>1372283.5</v>
      </c>
      <c r="K64" s="108">
        <f t="shared" si="86"/>
        <v>1324007.6399999999</v>
      </c>
      <c r="L64" s="364">
        <f t="shared" si="86"/>
        <v>1281763.95</v>
      </c>
      <c r="M64" s="432">
        <f t="shared" si="86"/>
        <v>1152530.79</v>
      </c>
      <c r="N64" s="108">
        <f t="shared" si="86"/>
        <v>1277275.27</v>
      </c>
      <c r="O64" s="108">
        <f t="shared" si="86"/>
        <v>1677825.4700000002</v>
      </c>
      <c r="P64" s="108">
        <f t="shared" si="86"/>
        <v>2414631.4</v>
      </c>
      <c r="Q64" s="108">
        <f t="shared" si="86"/>
        <v>3128038.39</v>
      </c>
      <c r="R64" s="108">
        <f t="shared" si="86"/>
        <v>3296574.4400000004</v>
      </c>
      <c r="S64" s="108">
        <f t="shared" si="86"/>
        <v>3508610.4299999997</v>
      </c>
      <c r="T64" s="108">
        <f t="shared" si="86"/>
        <v>3739303.61</v>
      </c>
      <c r="U64" s="108">
        <f t="shared" si="86"/>
        <v>3560446.7000000007</v>
      </c>
      <c r="V64" s="108">
        <f t="shared" si="86"/>
        <v>3300670.9300000006</v>
      </c>
      <c r="W64" s="108">
        <f t="shared" si="86"/>
        <v>3402051.5</v>
      </c>
      <c r="X64" s="364">
        <f t="shared" si="86"/>
        <v>3485533.4899999998</v>
      </c>
      <c r="Y64" s="108">
        <f t="shared" si="86"/>
        <v>3653678.6599999997</v>
      </c>
      <c r="Z64" s="108">
        <f t="shared" si="86"/>
        <v>3785293.3800000004</v>
      </c>
      <c r="AA64" s="108">
        <f t="shared" si="86"/>
        <v>4392928.6499999994</v>
      </c>
      <c r="AB64" s="108">
        <f t="shared" si="86"/>
        <v>5483807.8399999999</v>
      </c>
      <c r="AC64" s="108">
        <f t="shared" si="86"/>
        <v>5198446.99</v>
      </c>
      <c r="AD64" s="283">
        <f t="shared" ref="AD64:AI64" si="87">SUM(AD59:AD63)</f>
        <v>5837138.3600000003</v>
      </c>
      <c r="AE64" s="283">
        <f t="shared" si="87"/>
        <v>6562983.9199999999</v>
      </c>
      <c r="AF64" s="283">
        <f t="shared" si="87"/>
        <v>6872024.5099999998</v>
      </c>
      <c r="AG64" s="283">
        <f t="shared" si="87"/>
        <v>6910079.4400000013</v>
      </c>
      <c r="AH64" s="283">
        <f t="shared" si="87"/>
        <v>6279068.0099999998</v>
      </c>
      <c r="AI64" s="283">
        <f t="shared" si="87"/>
        <v>5830294.1600000011</v>
      </c>
      <c r="AJ64" s="283">
        <f>SUM(AJ59:AJ63)</f>
        <v>5756892.7399999993</v>
      </c>
      <c r="AK64" s="283">
        <f>SUM(AK59:AK63)</f>
        <v>5398367.6299999999</v>
      </c>
      <c r="AL64" s="283">
        <f>SUM(AL59:AL63)</f>
        <v>5163541.24</v>
      </c>
      <c r="AM64" s="283">
        <f>SUM(AM59:AM63)</f>
        <v>5065844.08</v>
      </c>
      <c r="AN64" s="283">
        <f>SUM(AN59:AN63)</f>
        <v>5415884.0499999998</v>
      </c>
      <c r="AO64" s="283">
        <f t="shared" ref="AO64:AT64" si="88">SUM(AO59:AO63)</f>
        <v>9027774.7700000014</v>
      </c>
      <c r="AP64" s="283">
        <f t="shared" si="88"/>
        <v>11014142.799999999</v>
      </c>
      <c r="AQ64" s="283">
        <f t="shared" si="88"/>
        <v>11321471.863</v>
      </c>
      <c r="AR64" s="283">
        <f t="shared" si="88"/>
        <v>12614857.610000001</v>
      </c>
      <c r="AS64" s="283">
        <f t="shared" si="88"/>
        <v>7841438.1199999992</v>
      </c>
      <c r="AT64" s="283">
        <f t="shared" si="88"/>
        <v>7088543.2799999993</v>
      </c>
      <c r="AU64" s="283">
        <f t="shared" ref="AU64:BB64" si="89">SUM(AU59:AU63)</f>
        <v>6352068.96</v>
      </c>
      <c r="AV64" s="283">
        <f t="shared" si="89"/>
        <v>6320267.4099999992</v>
      </c>
      <c r="AW64" s="464">
        <f t="shared" si="89"/>
        <v>6247709.6399999997</v>
      </c>
      <c r="AX64" s="399">
        <f t="shared" si="89"/>
        <v>6165664.4499999993</v>
      </c>
      <c r="AY64" s="399">
        <f t="shared" si="89"/>
        <v>6103969.8899999987</v>
      </c>
      <c r="AZ64" s="398">
        <f t="shared" si="89"/>
        <v>7144935.4000000004</v>
      </c>
      <c r="BA64" s="398">
        <f t="shared" si="89"/>
        <v>9839240.7799999993</v>
      </c>
      <c r="BB64" s="398">
        <f t="shared" si="89"/>
        <v>13895529.16</v>
      </c>
      <c r="BC64" s="398">
        <f>SUM(BC59:BC63)</f>
        <v>7325659.4100000001</v>
      </c>
      <c r="BD64" s="398">
        <f>SUM(BD59:BD63)</f>
        <v>16024582.119999999</v>
      </c>
      <c r="BE64" s="398">
        <f>SUM(BE59:BE63)</f>
        <v>6951882.9500000002</v>
      </c>
      <c r="BF64" s="398">
        <f>SUM(BF59:BF63)</f>
        <v>6444029.75</v>
      </c>
      <c r="BG64" s="278"/>
      <c r="BH64" s="391"/>
      <c r="BI64" s="463">
        <f t="shared" si="79"/>
        <v>849342.00999999978</v>
      </c>
      <c r="BJ64" s="398">
        <f t="shared" si="80"/>
        <v>1002123.209999999</v>
      </c>
      <c r="BK64" s="398">
        <f t="shared" si="81"/>
        <v>1038125.8099999987</v>
      </c>
      <c r="BL64" s="398">
        <f t="shared" si="82"/>
        <v>1729051.3500000006</v>
      </c>
      <c r="BM64" s="398">
        <f t="shared" si="82"/>
        <v>811466.00999999791</v>
      </c>
      <c r="BN64" s="398">
        <f t="shared" si="82"/>
        <v>2881386.3600000013</v>
      </c>
      <c r="BO64" s="398">
        <f t="shared" si="82"/>
        <v>-3995812.4529999997</v>
      </c>
      <c r="BP64" s="398">
        <f t="shared" si="83"/>
        <v>3409724.5099999979</v>
      </c>
      <c r="BQ64" s="398">
        <f t="shared" si="84"/>
        <v>-889555.16999999899</v>
      </c>
      <c r="BR64" s="398">
        <f t="shared" si="85"/>
        <v>-644513.52999999933</v>
      </c>
      <c r="BS64" s="278"/>
      <c r="BT64" s="391"/>
    </row>
    <row r="65" spans="1:72" x14ac:dyDescent="0.25">
      <c r="A65" s="341">
        <f>+A58+1</f>
        <v>9</v>
      </c>
      <c r="B65" s="397" t="s">
        <v>41</v>
      </c>
      <c r="C65" s="432"/>
      <c r="D65" s="108"/>
      <c r="E65" s="108"/>
      <c r="F65" s="108"/>
      <c r="G65" s="108"/>
      <c r="H65" s="108"/>
      <c r="I65" s="108"/>
      <c r="J65" s="108"/>
      <c r="K65" s="108"/>
      <c r="L65" s="364"/>
      <c r="M65" s="432"/>
      <c r="N65" s="108"/>
      <c r="O65" s="108"/>
      <c r="P65" s="108"/>
      <c r="Q65" s="108"/>
      <c r="R65" s="108"/>
      <c r="S65" s="108"/>
      <c r="T65" s="108"/>
      <c r="U65" s="108"/>
      <c r="V65" s="108"/>
      <c r="W65" s="108"/>
      <c r="X65" s="364"/>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465"/>
      <c r="AX65" s="278"/>
      <c r="AY65" s="278"/>
      <c r="AZ65" s="278"/>
      <c r="BA65" s="278"/>
      <c r="BB65" s="278"/>
      <c r="BC65" s="580"/>
      <c r="BD65" s="398"/>
      <c r="BE65" s="398"/>
      <c r="BF65" s="398"/>
      <c r="BG65" s="278"/>
      <c r="BH65" s="391"/>
      <c r="BI65" s="465"/>
      <c r="BJ65" s="278"/>
      <c r="BK65" s="278"/>
      <c r="BL65" s="278"/>
      <c r="BM65" s="278"/>
      <c r="BN65" s="278"/>
      <c r="BO65" s="278"/>
      <c r="BP65" s="278"/>
      <c r="BQ65" s="278"/>
      <c r="BR65" s="278"/>
      <c r="BS65" s="278"/>
      <c r="BT65" s="391"/>
    </row>
    <row r="66" spans="1:72" x14ac:dyDescent="0.25">
      <c r="A66" s="341"/>
      <c r="B66" s="390" t="s">
        <v>35</v>
      </c>
      <c r="C66" s="432">
        <f t="shared" ref="C66:G70" si="90">SUM(C45+C52+C59)</f>
        <v>3078951.17</v>
      </c>
      <c r="D66" s="108">
        <f t="shared" si="90"/>
        <v>3180627.34</v>
      </c>
      <c r="E66" s="108">
        <f t="shared" si="90"/>
        <v>2861146.44</v>
      </c>
      <c r="F66" s="108">
        <f t="shared" si="90"/>
        <v>2476669.91</v>
      </c>
      <c r="G66" s="108">
        <f t="shared" si="90"/>
        <v>1976984.96</v>
      </c>
      <c r="H66" s="108">
        <f>SUM(H45+H59+H52)</f>
        <v>1625060.47</v>
      </c>
      <c r="I66" s="108">
        <f t="shared" ref="I66:AB66" si="91">SUM(I45+I52+I59)</f>
        <v>1332224.3</v>
      </c>
      <c r="J66" s="108">
        <f t="shared" si="91"/>
        <v>1157506.21</v>
      </c>
      <c r="K66" s="108">
        <f t="shared" si="91"/>
        <v>1136902.6400000001</v>
      </c>
      <c r="L66" s="364">
        <f t="shared" si="91"/>
        <v>1471549.4900000002</v>
      </c>
      <c r="M66" s="432">
        <f t="shared" si="91"/>
        <v>2144349.6100000003</v>
      </c>
      <c r="N66" s="108">
        <f t="shared" si="91"/>
        <v>2879225.98</v>
      </c>
      <c r="O66" s="108">
        <f t="shared" si="91"/>
        <v>3393412.36</v>
      </c>
      <c r="P66" s="108">
        <f t="shared" si="91"/>
        <v>3790769.37</v>
      </c>
      <c r="Q66" s="108">
        <f t="shared" si="91"/>
        <v>4158584.8200000003</v>
      </c>
      <c r="R66" s="108">
        <f t="shared" si="91"/>
        <v>4447489.66</v>
      </c>
      <c r="S66" s="108">
        <f t="shared" si="91"/>
        <v>3854649.3600000003</v>
      </c>
      <c r="T66" s="108">
        <f t="shared" si="91"/>
        <v>3620404.22</v>
      </c>
      <c r="U66" s="108">
        <f t="shared" si="91"/>
        <v>3439204.49</v>
      </c>
      <c r="V66" s="108">
        <f t="shared" si="91"/>
        <v>3228951.7800000003</v>
      </c>
      <c r="W66" s="108">
        <f t="shared" si="91"/>
        <v>3170501.8099999996</v>
      </c>
      <c r="X66" s="364">
        <f t="shared" si="91"/>
        <v>3382317.1</v>
      </c>
      <c r="Y66" s="108">
        <f t="shared" si="91"/>
        <v>4184795.71</v>
      </c>
      <c r="Z66" s="108">
        <f t="shared" si="91"/>
        <v>5499524.7400000002</v>
      </c>
      <c r="AA66" s="108">
        <f t="shared" si="91"/>
        <v>6064852.3199999994</v>
      </c>
      <c r="AB66" s="108">
        <f t="shared" si="91"/>
        <v>6583871.5700000003</v>
      </c>
      <c r="AC66" s="422">
        <f t="shared" ref="AC66:AF70" si="92">SUM(AC45+AC52+AC59)</f>
        <v>6416886.6400000006</v>
      </c>
      <c r="AD66" s="422">
        <f t="shared" si="92"/>
        <v>5416684.3399999999</v>
      </c>
      <c r="AE66" s="422">
        <f t="shared" si="92"/>
        <v>5529081.8100000005</v>
      </c>
      <c r="AF66" s="422">
        <f t="shared" si="92"/>
        <v>5320986.0299999993</v>
      </c>
      <c r="AG66" s="422">
        <f t="shared" ref="AG66:AN66" si="93">SUM(AG45+AG52+AG59)</f>
        <v>4800384.4300000006</v>
      </c>
      <c r="AH66" s="422">
        <f t="shared" si="93"/>
        <v>4556997.01</v>
      </c>
      <c r="AI66" s="422">
        <f t="shared" si="93"/>
        <v>4342807.9300000006</v>
      </c>
      <c r="AJ66" s="422">
        <f t="shared" si="93"/>
        <v>4344333.5299999993</v>
      </c>
      <c r="AK66" s="422">
        <f t="shared" si="93"/>
        <v>4334366.25</v>
      </c>
      <c r="AL66" s="422">
        <f t="shared" si="93"/>
        <v>4848921.18</v>
      </c>
      <c r="AM66" s="422">
        <f t="shared" si="93"/>
        <v>5896828.2400000002</v>
      </c>
      <c r="AN66" s="422">
        <f t="shared" si="93"/>
        <v>6941435.6500000004</v>
      </c>
      <c r="AO66" s="422">
        <f>AO59+AO52+AO45</f>
        <v>10333312.959999999</v>
      </c>
      <c r="AP66" s="422">
        <f t="shared" ref="AP66:AQ69" si="94">AP45+AP52+AP59</f>
        <v>10893997.239999998</v>
      </c>
      <c r="AQ66" s="422">
        <f t="shared" si="94"/>
        <v>10543541.213</v>
      </c>
      <c r="AR66" s="422">
        <f>AR45+AR52+AR59</f>
        <v>9884619.790000001</v>
      </c>
      <c r="AS66" s="422">
        <f>143370.3+5385584.15+199.46</f>
        <v>5529153.9100000001</v>
      </c>
      <c r="AT66" s="422">
        <f t="shared" ref="AT66:AU69" si="95">AT45+AT52+AT59</f>
        <v>5129777.4499999993</v>
      </c>
      <c r="AU66" s="422">
        <f t="shared" si="95"/>
        <v>4679550.9400000004</v>
      </c>
      <c r="AV66" s="422">
        <f t="shared" ref="AV66:AW70" si="96">AV45+AV52+AV59</f>
        <v>4774726.1900000004</v>
      </c>
      <c r="AW66" s="463">
        <f t="shared" si="96"/>
        <v>4531050.33</v>
      </c>
      <c r="AX66" s="398">
        <f t="shared" ref="AX66:AY70" si="97">AX45+AX52+AX59</f>
        <v>5545513.5600000005</v>
      </c>
      <c r="AY66" s="398">
        <f t="shared" si="97"/>
        <v>6537903.6399999997</v>
      </c>
      <c r="AZ66" s="398">
        <f t="shared" ref="AZ66:BB66" si="98">AZ45+AZ52+AZ59</f>
        <v>7119414.3399999999</v>
      </c>
      <c r="BA66" s="398">
        <f t="shared" si="98"/>
        <v>10830333.35</v>
      </c>
      <c r="BB66" s="398">
        <f t="shared" si="98"/>
        <v>12513049.039999999</v>
      </c>
      <c r="BC66" s="398">
        <f>143933.19+5810372.28+155.49</f>
        <v>5954460.9600000009</v>
      </c>
      <c r="BD66" s="398">
        <v>11300884.98</v>
      </c>
      <c r="BE66" s="398">
        <f t="shared" ref="BE66:BF69" si="99">BE45+BE52+BE59</f>
        <v>4103583.91</v>
      </c>
      <c r="BF66" s="398">
        <f t="shared" si="99"/>
        <v>3753793.54</v>
      </c>
      <c r="BG66" s="278"/>
      <c r="BH66" s="391"/>
      <c r="BI66" s="463">
        <f t="shared" ref="BI66:BK66" si="100">BI45+BI52+BI59</f>
        <v>196684.08000000037</v>
      </c>
      <c r="BJ66" s="398">
        <f t="shared" si="100"/>
        <v>696592.38000000035</v>
      </c>
      <c r="BK66" s="398">
        <f t="shared" si="100"/>
        <v>641075.39999999944</v>
      </c>
      <c r="BL66" s="398">
        <f t="shared" ref="BL66:BO66" si="101">BL45+BL52+BL59</f>
        <v>177978.68999999994</v>
      </c>
      <c r="BM66" s="398">
        <f t="shared" si="101"/>
        <v>497020.38999999943</v>
      </c>
      <c r="BN66" s="398">
        <f t="shared" si="101"/>
        <v>1619051.800000001</v>
      </c>
      <c r="BO66" s="398">
        <f t="shared" si="101"/>
        <v>-5220748.5029999996</v>
      </c>
      <c r="BP66" s="398">
        <f t="shared" ref="BP66:BR66" si="102">BP45+BP52+BP59</f>
        <v>1416265.1899999995</v>
      </c>
      <c r="BQ66" s="398">
        <f t="shared" si="102"/>
        <v>-1425569.9999999991</v>
      </c>
      <c r="BR66" s="398">
        <f t="shared" si="102"/>
        <v>-1375983.9099999992</v>
      </c>
      <c r="BS66" s="278"/>
      <c r="BT66" s="391"/>
    </row>
    <row r="67" spans="1:72" x14ac:dyDescent="0.25">
      <c r="A67" s="341"/>
      <c r="B67" s="390" t="s">
        <v>36</v>
      </c>
      <c r="C67" s="432">
        <f t="shared" si="90"/>
        <v>1497238.7</v>
      </c>
      <c r="D67" s="108">
        <f t="shared" si="90"/>
        <v>1469460.12</v>
      </c>
      <c r="E67" s="108">
        <f t="shared" si="90"/>
        <v>1163198.8700000001</v>
      </c>
      <c r="F67" s="108">
        <f t="shared" si="90"/>
        <v>1071717.02</v>
      </c>
      <c r="G67" s="108">
        <f t="shared" si="90"/>
        <v>996001.34000000008</v>
      </c>
      <c r="H67" s="108">
        <f>SUM(H46+H53+H60)</f>
        <v>894353.51</v>
      </c>
      <c r="I67" s="108">
        <f t="shared" ref="I67:AB67" si="103">SUM(I46+I53+I60)</f>
        <v>828359.91999999993</v>
      </c>
      <c r="J67" s="108">
        <f t="shared" si="103"/>
        <v>787617.59</v>
      </c>
      <c r="K67" s="108">
        <f t="shared" si="103"/>
        <v>824109.14</v>
      </c>
      <c r="L67" s="364">
        <f t="shared" si="103"/>
        <v>948375.52</v>
      </c>
      <c r="M67" s="432">
        <f t="shared" si="103"/>
        <v>1109618.5499999998</v>
      </c>
      <c r="N67" s="108">
        <f t="shared" si="103"/>
        <v>1345640.97</v>
      </c>
      <c r="O67" s="108">
        <f t="shared" si="103"/>
        <v>1477971.38</v>
      </c>
      <c r="P67" s="108">
        <f t="shared" si="103"/>
        <v>1717545.99</v>
      </c>
      <c r="Q67" s="108">
        <f t="shared" si="103"/>
        <v>1765582.08</v>
      </c>
      <c r="R67" s="108">
        <f t="shared" si="103"/>
        <v>736333.82000000007</v>
      </c>
      <c r="S67" s="108">
        <f t="shared" si="103"/>
        <v>508194.12</v>
      </c>
      <c r="T67" s="108">
        <f t="shared" si="103"/>
        <v>628270.55000000005</v>
      </c>
      <c r="U67" s="108">
        <f t="shared" si="103"/>
        <v>967984.77</v>
      </c>
      <c r="V67" s="108">
        <f t="shared" si="103"/>
        <v>1062875.19</v>
      </c>
      <c r="W67" s="108">
        <f t="shared" si="103"/>
        <v>1274302.1499999999</v>
      </c>
      <c r="X67" s="364">
        <f t="shared" si="103"/>
        <v>1422583.9</v>
      </c>
      <c r="Y67" s="108">
        <f t="shared" si="103"/>
        <v>1864154.9</v>
      </c>
      <c r="Z67" s="108">
        <f t="shared" si="103"/>
        <v>2472487.79</v>
      </c>
      <c r="AA67" s="108">
        <f t="shared" si="103"/>
        <v>2642100.1</v>
      </c>
      <c r="AB67" s="108">
        <f t="shared" si="103"/>
        <v>2744098.96</v>
      </c>
      <c r="AC67" s="422">
        <f t="shared" si="92"/>
        <v>1695550.09</v>
      </c>
      <c r="AD67" s="422">
        <f t="shared" si="92"/>
        <v>2686427.26</v>
      </c>
      <c r="AE67" s="422">
        <f t="shared" ref="AE67:AF70" si="104">SUM(AE46+AE53+AE60)</f>
        <v>2466374.9900000002</v>
      </c>
      <c r="AF67" s="422">
        <f t="shared" si="104"/>
        <v>2361245.15</v>
      </c>
      <c r="AG67" s="422">
        <f t="shared" ref="AG67:AI71" si="105">SUM(AG46+AG53+AG60)</f>
        <v>3150608.5599999996</v>
      </c>
      <c r="AH67" s="422">
        <f t="shared" si="105"/>
        <v>2081801.42</v>
      </c>
      <c r="AI67" s="422">
        <f t="shared" si="105"/>
        <v>1800740.52</v>
      </c>
      <c r="AJ67" s="422">
        <f t="shared" ref="AJ67:AN71" si="106">SUM(AJ46+AJ53+AJ60)</f>
        <v>1777412.28</v>
      </c>
      <c r="AK67" s="422">
        <f t="shared" si="106"/>
        <v>1804014.45</v>
      </c>
      <c r="AL67" s="422">
        <f t="shared" si="106"/>
        <v>1904435.53</v>
      </c>
      <c r="AM67" s="422">
        <f t="shared" si="106"/>
        <v>2166609.31</v>
      </c>
      <c r="AN67" s="422">
        <f t="shared" si="106"/>
        <v>2549926.0099999998</v>
      </c>
      <c r="AO67" s="422">
        <f>AO60+AO53+AO46</f>
        <v>1972694.8900000001</v>
      </c>
      <c r="AP67" s="422">
        <f t="shared" si="94"/>
        <v>3145967.16</v>
      </c>
      <c r="AQ67" s="422">
        <f t="shared" si="94"/>
        <v>3077551.52</v>
      </c>
      <c r="AR67" s="422">
        <f>AR46+AR53+AR60</f>
        <v>2941653.8099999996</v>
      </c>
      <c r="AS67" s="422">
        <f>27687.4+2571474.47</f>
        <v>2599161.87</v>
      </c>
      <c r="AT67" s="422">
        <f t="shared" si="95"/>
        <v>2440739.2399999998</v>
      </c>
      <c r="AU67" s="422">
        <f t="shared" si="95"/>
        <v>2071739.91</v>
      </c>
      <c r="AV67" s="422">
        <f t="shared" si="96"/>
        <v>2162747.7400000002</v>
      </c>
      <c r="AW67" s="463">
        <f t="shared" si="96"/>
        <v>2569566.2899999996</v>
      </c>
      <c r="AX67" s="398">
        <f t="shared" si="97"/>
        <v>2421247.98</v>
      </c>
      <c r="AY67" s="398">
        <f t="shared" si="97"/>
        <v>2739073.11</v>
      </c>
      <c r="AZ67" s="398">
        <f t="shared" ref="AZ67:BB67" si="107">AZ46+AZ53+AZ60</f>
        <v>3423467.4599999995</v>
      </c>
      <c r="BA67" s="398">
        <f t="shared" si="107"/>
        <v>3671237.69</v>
      </c>
      <c r="BB67" s="398">
        <f t="shared" si="107"/>
        <v>5006124.8899999997</v>
      </c>
      <c r="BC67" s="398">
        <f>48892.02+3655828.42</f>
        <v>3704720.44</v>
      </c>
      <c r="BD67" s="398">
        <v>4992449.99</v>
      </c>
      <c r="BE67" s="398">
        <f t="shared" si="99"/>
        <v>3105259.12</v>
      </c>
      <c r="BF67" s="398">
        <f t="shared" si="99"/>
        <v>2845843.7</v>
      </c>
      <c r="BG67" s="278"/>
      <c r="BH67" s="391"/>
      <c r="BI67" s="463">
        <f t="shared" ref="BI67:BK67" si="108">BI46+BI53+BI60</f>
        <v>765551.83999999973</v>
      </c>
      <c r="BJ67" s="398">
        <f t="shared" si="108"/>
        <v>516812.44999999984</v>
      </c>
      <c r="BK67" s="398">
        <f t="shared" si="108"/>
        <v>572463.80000000005</v>
      </c>
      <c r="BL67" s="398">
        <f t="shared" ref="BL67:BO67" si="109">BL46+BL53+BL60</f>
        <v>873541.44999999972</v>
      </c>
      <c r="BM67" s="398">
        <f t="shared" si="109"/>
        <v>1698542.7999999998</v>
      </c>
      <c r="BN67" s="398">
        <f t="shared" si="109"/>
        <v>1860157.7299999995</v>
      </c>
      <c r="BO67" s="398">
        <f t="shared" si="109"/>
        <v>416717.93000000011</v>
      </c>
      <c r="BP67" s="398">
        <f t="shared" ref="BP67:BR67" si="110">BP46+BP53+BP60</f>
        <v>2050796.1799999997</v>
      </c>
      <c r="BQ67" s="398">
        <f t="shared" si="110"/>
        <v>506097.25000000029</v>
      </c>
      <c r="BR67" s="398">
        <f t="shared" si="110"/>
        <v>405104.46000000049</v>
      </c>
      <c r="BS67" s="278"/>
      <c r="BT67" s="391"/>
    </row>
    <row r="68" spans="1:72" x14ac:dyDescent="0.25">
      <c r="A68" s="341"/>
      <c r="B68" s="390" t="s">
        <v>37</v>
      </c>
      <c r="C68" s="432">
        <f t="shared" si="90"/>
        <v>361940.41000000003</v>
      </c>
      <c r="D68" s="108">
        <f t="shared" si="90"/>
        <v>203534.76</v>
      </c>
      <c r="E68" s="108">
        <f t="shared" si="90"/>
        <v>174104.93</v>
      </c>
      <c r="F68" s="108">
        <f t="shared" si="90"/>
        <v>134061.98000000001</v>
      </c>
      <c r="G68" s="108">
        <f t="shared" si="90"/>
        <v>96921.518000000011</v>
      </c>
      <c r="H68" s="108">
        <f>SUM(H47+H54+H61)</f>
        <v>77322.989999999991</v>
      </c>
      <c r="I68" s="108">
        <f t="shared" ref="I68:AB68" si="111">SUM(I47+I54+I61)</f>
        <v>66746.23</v>
      </c>
      <c r="J68" s="108">
        <f t="shared" si="111"/>
        <v>53856.480000000003</v>
      </c>
      <c r="K68" s="108">
        <f t="shared" si="111"/>
        <v>56464.43</v>
      </c>
      <c r="L68" s="364">
        <f t="shared" si="111"/>
        <v>69575.600000000006</v>
      </c>
      <c r="M68" s="432">
        <f t="shared" si="111"/>
        <v>140243.15</v>
      </c>
      <c r="N68" s="108">
        <f t="shared" si="111"/>
        <v>264376.21000000002</v>
      </c>
      <c r="O68" s="108">
        <f t="shared" si="111"/>
        <v>280170.52999999997</v>
      </c>
      <c r="P68" s="108">
        <f t="shared" si="111"/>
        <v>340627.68999999994</v>
      </c>
      <c r="Q68" s="108">
        <f t="shared" si="111"/>
        <v>402349.93</v>
      </c>
      <c r="R68" s="108">
        <f t="shared" si="111"/>
        <v>263644.13</v>
      </c>
      <c r="S68" s="108">
        <f t="shared" si="111"/>
        <v>215340.03000000003</v>
      </c>
      <c r="T68" s="108">
        <f t="shared" si="111"/>
        <v>335555.45</v>
      </c>
      <c r="U68" s="108">
        <f t="shared" si="111"/>
        <v>105351.69</v>
      </c>
      <c r="V68" s="108">
        <f t="shared" si="111"/>
        <v>73553.859999999986</v>
      </c>
      <c r="W68" s="108">
        <f t="shared" si="111"/>
        <v>87754.209999999992</v>
      </c>
      <c r="X68" s="364">
        <f t="shared" si="111"/>
        <v>117223.41999999998</v>
      </c>
      <c r="Y68" s="108">
        <f t="shared" si="111"/>
        <v>203729.39</v>
      </c>
      <c r="Z68" s="108">
        <f t="shared" si="111"/>
        <v>351447.10000000003</v>
      </c>
      <c r="AA68" s="108">
        <f t="shared" si="111"/>
        <v>287123.98</v>
      </c>
      <c r="AB68" s="108">
        <f t="shared" si="111"/>
        <v>305943.65000000002</v>
      </c>
      <c r="AC68" s="422">
        <f t="shared" si="92"/>
        <v>217178.36000000002</v>
      </c>
      <c r="AD68" s="422">
        <f t="shared" si="92"/>
        <v>240144.48</v>
      </c>
      <c r="AE68" s="422">
        <f t="shared" si="104"/>
        <v>227625.22999999998</v>
      </c>
      <c r="AF68" s="422">
        <f t="shared" si="104"/>
        <v>217922.71</v>
      </c>
      <c r="AG68" s="422">
        <f t="shared" si="105"/>
        <v>218792.69</v>
      </c>
      <c r="AH68" s="422">
        <f t="shared" si="105"/>
        <v>193988.63</v>
      </c>
      <c r="AI68" s="422">
        <f t="shared" si="105"/>
        <v>183535.76</v>
      </c>
      <c r="AJ68" s="422">
        <f t="shared" si="106"/>
        <v>181724.33000000002</v>
      </c>
      <c r="AK68" s="422">
        <f t="shared" si="106"/>
        <v>159265.13</v>
      </c>
      <c r="AL68" s="422">
        <f t="shared" si="106"/>
        <v>182877.13</v>
      </c>
      <c r="AM68" s="422">
        <f t="shared" si="106"/>
        <v>273011.51</v>
      </c>
      <c r="AN68" s="422">
        <f t="shared" si="106"/>
        <v>313640.67000000004</v>
      </c>
      <c r="AO68" s="422">
        <f>AO61+AO54+AO47</f>
        <v>240656.87000000002</v>
      </c>
      <c r="AP68" s="422">
        <f t="shared" si="94"/>
        <v>590886.1399999999</v>
      </c>
      <c r="AQ68" s="422">
        <f t="shared" si="94"/>
        <v>566023.48</v>
      </c>
      <c r="AR68" s="422">
        <f>AR47+AR54+AR61</f>
        <v>479223.6</v>
      </c>
      <c r="AS68" s="422">
        <f>304161.03+48894.72+367.28+915.87</f>
        <v>354338.9</v>
      </c>
      <c r="AT68" s="422">
        <f t="shared" si="95"/>
        <v>319654.87</v>
      </c>
      <c r="AU68" s="422">
        <f t="shared" si="95"/>
        <v>294176.08</v>
      </c>
      <c r="AV68" s="422">
        <f t="shared" si="96"/>
        <v>306042.03999999998</v>
      </c>
      <c r="AW68" s="463">
        <f t="shared" si="96"/>
        <v>312402.23</v>
      </c>
      <c r="AX68" s="398">
        <f t="shared" si="97"/>
        <v>369479.31</v>
      </c>
      <c r="AY68" s="398">
        <f t="shared" si="97"/>
        <v>364250.73</v>
      </c>
      <c r="AZ68" s="398">
        <f t="shared" ref="AZ68:BB68" si="112">AZ47+AZ54+AZ61</f>
        <v>797400.6399999999</v>
      </c>
      <c r="BA68" s="398">
        <f t="shared" si="112"/>
        <v>368427.78</v>
      </c>
      <c r="BB68" s="398">
        <f t="shared" si="112"/>
        <v>618410</v>
      </c>
      <c r="BC68" s="398">
        <f>224206.54+56550.02+3650.67+1432.6</f>
        <v>285839.82999999996</v>
      </c>
      <c r="BD68" s="398">
        <v>576259.34</v>
      </c>
      <c r="BE68" s="398">
        <f t="shared" si="99"/>
        <v>171359.32</v>
      </c>
      <c r="BF68" s="398">
        <f t="shared" si="99"/>
        <v>117819.74999999999</v>
      </c>
      <c r="BG68" s="278"/>
      <c r="BH68" s="391"/>
      <c r="BI68" s="463">
        <f t="shared" ref="BI68:BK68" si="113">BI47+BI54+BI61</f>
        <v>153137.1</v>
      </c>
      <c r="BJ68" s="398">
        <f t="shared" si="113"/>
        <v>186602.18</v>
      </c>
      <c r="BK68" s="398">
        <f t="shared" si="113"/>
        <v>91239.22</v>
      </c>
      <c r="BL68" s="398">
        <f t="shared" ref="BL68:BO68" si="114">BL47+BL54+BL61</f>
        <v>483759.96999999986</v>
      </c>
      <c r="BM68" s="398">
        <f t="shared" si="114"/>
        <v>127770.91</v>
      </c>
      <c r="BN68" s="398">
        <f t="shared" si="114"/>
        <v>27523.860000000088</v>
      </c>
      <c r="BO68" s="398">
        <f t="shared" si="114"/>
        <v>-321203.36999999994</v>
      </c>
      <c r="BP68" s="398">
        <f t="shared" ref="BP68:BR68" si="115">BP47+BP54+BP61</f>
        <v>97033.74000000002</v>
      </c>
      <c r="BQ68" s="398">
        <f t="shared" si="115"/>
        <v>-510036.73000000004</v>
      </c>
      <c r="BR68" s="398">
        <f t="shared" si="115"/>
        <v>-201835.12</v>
      </c>
      <c r="BS68" s="278"/>
      <c r="BT68" s="391"/>
    </row>
    <row r="69" spans="1:72" x14ac:dyDescent="0.25">
      <c r="A69" s="341"/>
      <c r="B69" s="390" t="s">
        <v>38</v>
      </c>
      <c r="C69" s="432">
        <f t="shared" si="90"/>
        <v>191205.14</v>
      </c>
      <c r="D69" s="108">
        <f t="shared" si="90"/>
        <v>207785.49</v>
      </c>
      <c r="E69" s="108">
        <f t="shared" si="90"/>
        <v>161081.43</v>
      </c>
      <c r="F69" s="108">
        <f t="shared" si="90"/>
        <v>129680.17</v>
      </c>
      <c r="G69" s="108">
        <f t="shared" si="90"/>
        <v>58796.94</v>
      </c>
      <c r="H69" s="108">
        <f>SUM(H48+H55+H62)</f>
        <v>51133.73</v>
      </c>
      <c r="I69" s="108">
        <f t="shared" ref="I69:AB69" si="116">SUM(I48+I55+I62)</f>
        <v>43472.33</v>
      </c>
      <c r="J69" s="108">
        <f t="shared" si="116"/>
        <v>32816.25</v>
      </c>
      <c r="K69" s="108">
        <f t="shared" si="116"/>
        <v>44728.490000000005</v>
      </c>
      <c r="L69" s="364">
        <f t="shared" si="116"/>
        <v>62382.32</v>
      </c>
      <c r="M69" s="432">
        <f t="shared" si="116"/>
        <v>115385.65</v>
      </c>
      <c r="N69" s="108">
        <f t="shared" si="116"/>
        <v>213897.46</v>
      </c>
      <c r="O69" s="108">
        <f t="shared" si="116"/>
        <v>231841.03</v>
      </c>
      <c r="P69" s="108">
        <f t="shared" si="116"/>
        <v>422259.57</v>
      </c>
      <c r="Q69" s="108">
        <f t="shared" si="116"/>
        <v>457225.60000000003</v>
      </c>
      <c r="R69" s="108">
        <f t="shared" si="116"/>
        <v>394544.94999999995</v>
      </c>
      <c r="S69" s="108">
        <f t="shared" si="116"/>
        <v>327628.18</v>
      </c>
      <c r="T69" s="108">
        <f t="shared" si="116"/>
        <v>308741.02</v>
      </c>
      <c r="U69" s="108">
        <f t="shared" si="116"/>
        <v>171199.03999999998</v>
      </c>
      <c r="V69" s="108">
        <f t="shared" si="116"/>
        <v>216023.5</v>
      </c>
      <c r="W69" s="108">
        <f t="shared" si="116"/>
        <v>188279.2</v>
      </c>
      <c r="X69" s="364">
        <f t="shared" si="116"/>
        <v>234956.9</v>
      </c>
      <c r="Y69" s="108">
        <f t="shared" si="116"/>
        <v>363464.43</v>
      </c>
      <c r="Z69" s="108">
        <f t="shared" si="116"/>
        <v>655131.94000000006</v>
      </c>
      <c r="AA69" s="108">
        <f t="shared" si="116"/>
        <v>330526.40999999997</v>
      </c>
      <c r="AB69" s="108">
        <f t="shared" si="116"/>
        <v>383668.8</v>
      </c>
      <c r="AC69" s="422">
        <f t="shared" si="92"/>
        <v>350087.12</v>
      </c>
      <c r="AD69" s="422">
        <f t="shared" si="92"/>
        <v>422806.33</v>
      </c>
      <c r="AE69" s="422">
        <f t="shared" si="104"/>
        <v>202254.33000000002</v>
      </c>
      <c r="AF69" s="422">
        <f t="shared" si="104"/>
        <v>195299.45</v>
      </c>
      <c r="AG69" s="422">
        <f t="shared" si="105"/>
        <v>193689.01</v>
      </c>
      <c r="AH69" s="422">
        <f t="shared" si="105"/>
        <v>178248.91</v>
      </c>
      <c r="AI69" s="422">
        <f t="shared" si="105"/>
        <v>150784.08000000002</v>
      </c>
      <c r="AJ69" s="422">
        <f t="shared" si="106"/>
        <v>158642.21000000002</v>
      </c>
      <c r="AK69" s="422">
        <f t="shared" si="106"/>
        <v>121725.15</v>
      </c>
      <c r="AL69" s="422">
        <f t="shared" si="106"/>
        <v>154155.46</v>
      </c>
      <c r="AM69" s="422">
        <f t="shared" si="106"/>
        <v>209092.85</v>
      </c>
      <c r="AN69" s="422">
        <f t="shared" si="106"/>
        <v>221699.91</v>
      </c>
      <c r="AO69" s="422">
        <f>AO62+AO55+AO48</f>
        <v>246932.13999999998</v>
      </c>
      <c r="AP69" s="422">
        <f t="shared" si="94"/>
        <v>469620.47999999998</v>
      </c>
      <c r="AQ69" s="422">
        <f t="shared" si="94"/>
        <v>357895.81</v>
      </c>
      <c r="AR69" s="422">
        <f>AR48+AR55+AR62</f>
        <v>321038.58</v>
      </c>
      <c r="AS69" s="422">
        <f>195192.18+47769.41+28974.61+33951.33</f>
        <v>305887.53000000003</v>
      </c>
      <c r="AT69" s="422">
        <f t="shared" si="95"/>
        <v>305072.24</v>
      </c>
      <c r="AU69" s="422">
        <f t="shared" si="95"/>
        <v>284716.81999999995</v>
      </c>
      <c r="AV69" s="422">
        <f t="shared" si="96"/>
        <v>272658.67</v>
      </c>
      <c r="AW69" s="463">
        <f t="shared" si="96"/>
        <v>275221.7</v>
      </c>
      <c r="AX69" s="398">
        <f t="shared" si="97"/>
        <v>324202.74</v>
      </c>
      <c r="AY69" s="398">
        <f t="shared" si="97"/>
        <v>367265.42000000004</v>
      </c>
      <c r="AZ69" s="398">
        <f t="shared" ref="AZ69:BB69" si="117">AZ48+AZ55+AZ62</f>
        <v>449828.12</v>
      </c>
      <c r="BA69" s="398">
        <f t="shared" si="117"/>
        <v>449302</v>
      </c>
      <c r="BB69" s="398">
        <f t="shared" si="117"/>
        <v>495997.72</v>
      </c>
      <c r="BC69" s="398">
        <f>334793.6+70490.51+75134.92+32089.52</f>
        <v>512508.55</v>
      </c>
      <c r="BD69" s="398">
        <v>457440.27</v>
      </c>
      <c r="BE69" s="398">
        <f t="shared" si="99"/>
        <v>407333.5</v>
      </c>
      <c r="BF69" s="398">
        <f t="shared" si="99"/>
        <v>368880.37</v>
      </c>
      <c r="BG69" s="278"/>
      <c r="BH69" s="391"/>
      <c r="BI69" s="463">
        <f t="shared" ref="BI69:BK69" si="118">BI48+BI55+BI62</f>
        <v>153496.54999999999</v>
      </c>
      <c r="BJ69" s="398">
        <f t="shared" si="118"/>
        <v>170047.28000000003</v>
      </c>
      <c r="BK69" s="398">
        <f t="shared" si="118"/>
        <v>158172.57000000004</v>
      </c>
      <c r="BL69" s="398">
        <f t="shared" ref="BL69:BO69" si="119">BL48+BL55+BL62</f>
        <v>228128.21000000002</v>
      </c>
      <c r="BM69" s="398">
        <f t="shared" si="119"/>
        <v>202369.86000000002</v>
      </c>
      <c r="BN69" s="398">
        <f t="shared" si="119"/>
        <v>26377.239999999962</v>
      </c>
      <c r="BO69" s="398">
        <f t="shared" si="119"/>
        <v>89650.379999999932</v>
      </c>
      <c r="BP69" s="398">
        <f t="shared" ref="BP69:BR69" si="120">BP48+BP55+BP62</f>
        <v>130401.68999999997</v>
      </c>
      <c r="BQ69" s="398">
        <f t="shared" si="120"/>
        <v>101445.96999999999</v>
      </c>
      <c r="BR69" s="398">
        <f t="shared" si="120"/>
        <v>63808.130000000034</v>
      </c>
      <c r="BS69" s="278"/>
      <c r="BT69" s="391"/>
    </row>
    <row r="70" spans="1:72" x14ac:dyDescent="0.25">
      <c r="A70" s="341"/>
      <c r="B70" s="390" t="s">
        <v>39</v>
      </c>
      <c r="C70" s="432">
        <f t="shared" si="90"/>
        <v>0</v>
      </c>
      <c r="D70" s="108">
        <f t="shared" si="90"/>
        <v>17568.169999999998</v>
      </c>
      <c r="E70" s="108">
        <f t="shared" si="90"/>
        <v>15.32</v>
      </c>
      <c r="F70" s="108">
        <f t="shared" si="90"/>
        <v>16898.810000000001</v>
      </c>
      <c r="G70" s="108">
        <f t="shared" si="90"/>
        <v>46.51</v>
      </c>
      <c r="H70" s="108">
        <f>SUM(H49+H56+H63)</f>
        <v>950.14</v>
      </c>
      <c r="I70" s="108">
        <f t="shared" ref="I70:AB70" si="121">SUM(I49+I56+I63)</f>
        <v>947.11</v>
      </c>
      <c r="J70" s="108">
        <f t="shared" si="121"/>
        <v>9.19</v>
      </c>
      <c r="K70" s="108">
        <f t="shared" si="121"/>
        <v>1562.6000000000001</v>
      </c>
      <c r="L70" s="364">
        <f t="shared" si="121"/>
        <v>242.02</v>
      </c>
      <c r="M70" s="432">
        <f t="shared" si="121"/>
        <v>12626.720000000001</v>
      </c>
      <c r="N70" s="108">
        <f t="shared" si="121"/>
        <v>30003.530000000002</v>
      </c>
      <c r="O70" s="108">
        <f t="shared" si="121"/>
        <v>0</v>
      </c>
      <c r="P70" s="108">
        <f t="shared" si="121"/>
        <v>63980.44</v>
      </c>
      <c r="Q70" s="108">
        <f t="shared" si="121"/>
        <v>180095.77</v>
      </c>
      <c r="R70" s="108">
        <f t="shared" si="121"/>
        <v>185388.12</v>
      </c>
      <c r="S70" s="108">
        <f t="shared" si="121"/>
        <v>144647.99</v>
      </c>
      <c r="T70" s="108">
        <f t="shared" si="121"/>
        <v>87200.890000000014</v>
      </c>
      <c r="U70" s="108">
        <f t="shared" si="121"/>
        <v>11399.349999999999</v>
      </c>
      <c r="V70" s="108">
        <f t="shared" si="121"/>
        <v>3175.7700000000004</v>
      </c>
      <c r="W70" s="108">
        <f t="shared" si="121"/>
        <v>43230.84</v>
      </c>
      <c r="X70" s="364">
        <f t="shared" si="121"/>
        <v>16426.810000000001</v>
      </c>
      <c r="Y70" s="108">
        <f t="shared" si="121"/>
        <v>41414.18</v>
      </c>
      <c r="Z70" s="108">
        <f t="shared" si="121"/>
        <v>85993.41</v>
      </c>
      <c r="AA70" s="108">
        <f t="shared" si="121"/>
        <v>446.98</v>
      </c>
      <c r="AB70" s="108">
        <f t="shared" si="121"/>
        <v>53577.47</v>
      </c>
      <c r="AC70" s="422">
        <f t="shared" si="92"/>
        <v>32004.699999999997</v>
      </c>
      <c r="AD70" s="422">
        <f t="shared" si="92"/>
        <v>32004.699999999997</v>
      </c>
      <c r="AE70" s="422">
        <f t="shared" si="104"/>
        <v>36137.620000000003</v>
      </c>
      <c r="AF70" s="422">
        <f t="shared" si="104"/>
        <v>24304.22</v>
      </c>
      <c r="AG70" s="422">
        <f t="shared" si="105"/>
        <v>26229.599999999999</v>
      </c>
      <c r="AH70" s="422">
        <f t="shared" si="105"/>
        <v>12404.05</v>
      </c>
      <c r="AI70" s="422">
        <f t="shared" si="105"/>
        <v>20478.509999999998</v>
      </c>
      <c r="AJ70" s="422">
        <f t="shared" si="106"/>
        <v>14262.880000000001</v>
      </c>
      <c r="AK70" s="422">
        <f t="shared" si="106"/>
        <v>34894.660000000003</v>
      </c>
      <c r="AL70" s="422">
        <f t="shared" si="106"/>
        <v>35962.400000000001</v>
      </c>
      <c r="AM70" s="422">
        <f t="shared" si="106"/>
        <v>15662.95</v>
      </c>
      <c r="AN70" s="422">
        <f t="shared" si="106"/>
        <v>25914.86</v>
      </c>
      <c r="AO70" s="422">
        <f>AO63+AO56+AO49</f>
        <v>0</v>
      </c>
      <c r="AP70" s="422">
        <v>0</v>
      </c>
      <c r="AQ70" s="422">
        <v>0</v>
      </c>
      <c r="AR70" s="422">
        <v>0</v>
      </c>
      <c r="AS70" s="422">
        <v>0</v>
      </c>
      <c r="AT70" s="422">
        <v>0</v>
      </c>
      <c r="AU70" s="422">
        <v>0</v>
      </c>
      <c r="AV70" s="422">
        <f t="shared" si="96"/>
        <v>13843.53</v>
      </c>
      <c r="AW70" s="463">
        <f t="shared" si="96"/>
        <v>22792.29</v>
      </c>
      <c r="AX70" s="398">
        <f t="shared" si="97"/>
        <v>12939.32</v>
      </c>
      <c r="AY70" s="398">
        <f t="shared" si="97"/>
        <v>51764.02</v>
      </c>
      <c r="AZ70" s="398">
        <f t="shared" ref="AZ70:BB70" si="122">AZ49+AZ56+AZ63</f>
        <v>75519.600000000006</v>
      </c>
      <c r="BA70" s="398">
        <f t="shared" si="122"/>
        <v>98338.14</v>
      </c>
      <c r="BB70" s="398">
        <f t="shared" si="122"/>
        <v>98338.14</v>
      </c>
      <c r="BC70" s="398">
        <f>1185.86+13467.71</f>
        <v>14653.57</v>
      </c>
      <c r="BD70" s="398">
        <v>14653.57</v>
      </c>
      <c r="BE70" s="398">
        <v>0</v>
      </c>
      <c r="BF70" s="398">
        <f>BF49+BF56+BF63</f>
        <v>187.71</v>
      </c>
      <c r="BG70" s="278"/>
      <c r="BH70" s="391"/>
      <c r="BI70" s="463">
        <f t="shared" ref="BI70:BK70" si="123">BI49+BI56+BI63</f>
        <v>-12102.369999999999</v>
      </c>
      <c r="BJ70" s="398">
        <f t="shared" si="123"/>
        <v>-23023.08</v>
      </c>
      <c r="BK70" s="398">
        <f t="shared" si="123"/>
        <v>36101.069999999992</v>
      </c>
      <c r="BL70" s="398">
        <f t="shared" ref="BL70:BO70" si="124">BL49+BL56+BL63</f>
        <v>49604.74</v>
      </c>
      <c r="BM70" s="398">
        <f t="shared" si="124"/>
        <v>98338.14</v>
      </c>
      <c r="BN70" s="398">
        <f t="shared" si="124"/>
        <v>98338.14</v>
      </c>
      <c r="BO70" s="398">
        <f t="shared" si="124"/>
        <v>0</v>
      </c>
      <c r="BP70" s="398">
        <f t="shared" ref="BP70:BR70" si="125">BP49+BP56+BP63</f>
        <v>14653.57</v>
      </c>
      <c r="BQ70" s="398">
        <f t="shared" si="125"/>
        <v>0</v>
      </c>
      <c r="BR70" s="398">
        <f t="shared" si="125"/>
        <v>187.71</v>
      </c>
      <c r="BS70" s="278"/>
      <c r="BT70" s="391"/>
    </row>
    <row r="71" spans="1:72" ht="15.75" thickBot="1" x14ac:dyDescent="0.3">
      <c r="A71" s="341"/>
      <c r="B71" s="409" t="s">
        <v>40</v>
      </c>
      <c r="C71" s="432">
        <f t="shared" ref="C71:AC71" si="126">SUM(C66:C70)</f>
        <v>5129335.42</v>
      </c>
      <c r="D71" s="108">
        <f t="shared" si="126"/>
        <v>5078975.88</v>
      </c>
      <c r="E71" s="108">
        <f t="shared" si="126"/>
        <v>4359546.99</v>
      </c>
      <c r="F71" s="108">
        <f t="shared" si="126"/>
        <v>3829027.89</v>
      </c>
      <c r="G71" s="108">
        <f t="shared" si="126"/>
        <v>3128751.2679999997</v>
      </c>
      <c r="H71" s="108">
        <f t="shared" si="126"/>
        <v>2648820.84</v>
      </c>
      <c r="I71" s="108">
        <f t="shared" si="126"/>
        <v>2271749.8899999997</v>
      </c>
      <c r="J71" s="108">
        <f t="shared" si="126"/>
        <v>2031805.7199999997</v>
      </c>
      <c r="K71" s="108">
        <f t="shared" si="126"/>
        <v>2063767.3000000003</v>
      </c>
      <c r="L71" s="364">
        <f t="shared" si="126"/>
        <v>2552124.9500000002</v>
      </c>
      <c r="M71" s="432">
        <f t="shared" si="126"/>
        <v>3522223.68</v>
      </c>
      <c r="N71" s="108">
        <f t="shared" si="126"/>
        <v>4733144.1500000004</v>
      </c>
      <c r="O71" s="108">
        <f t="shared" si="126"/>
        <v>5383395.3000000007</v>
      </c>
      <c r="P71" s="108">
        <f t="shared" si="126"/>
        <v>6335183.0600000015</v>
      </c>
      <c r="Q71" s="108">
        <f t="shared" si="126"/>
        <v>6963838.1999999993</v>
      </c>
      <c r="R71" s="108">
        <f t="shared" si="126"/>
        <v>6027400.6800000006</v>
      </c>
      <c r="S71" s="108">
        <f t="shared" si="126"/>
        <v>5050459.6800000006</v>
      </c>
      <c r="T71" s="108">
        <f t="shared" si="126"/>
        <v>4980172.13</v>
      </c>
      <c r="U71" s="108">
        <f t="shared" si="126"/>
        <v>4695139.34</v>
      </c>
      <c r="V71" s="108">
        <f t="shared" si="126"/>
        <v>4584580.1000000006</v>
      </c>
      <c r="W71" s="108">
        <f t="shared" si="126"/>
        <v>4764068.209999999</v>
      </c>
      <c r="X71" s="364">
        <f t="shared" si="126"/>
        <v>5173508.13</v>
      </c>
      <c r="Y71" s="108">
        <f t="shared" si="126"/>
        <v>6657558.6099999985</v>
      </c>
      <c r="Z71" s="108">
        <f t="shared" si="126"/>
        <v>9064584.9800000004</v>
      </c>
      <c r="AA71" s="108">
        <f t="shared" si="126"/>
        <v>9325049.790000001</v>
      </c>
      <c r="AB71" s="108">
        <f t="shared" si="126"/>
        <v>10071160.450000003</v>
      </c>
      <c r="AC71" s="108">
        <f t="shared" si="126"/>
        <v>8711706.9100000001</v>
      </c>
      <c r="AD71" s="108">
        <f>SUM(AD66:AD70)</f>
        <v>8798067.1099999994</v>
      </c>
      <c r="AE71" s="108">
        <f>SUM(AE66:AE70)</f>
        <v>8461473.9800000004</v>
      </c>
      <c r="AF71" s="422">
        <f>SUM(AF50+AF57+AF64)</f>
        <v>8119757.5599999996</v>
      </c>
      <c r="AG71" s="422">
        <f t="shared" si="105"/>
        <v>8389704.290000001</v>
      </c>
      <c r="AH71" s="422">
        <f t="shared" si="105"/>
        <v>7023440.0199999996</v>
      </c>
      <c r="AI71" s="422">
        <f t="shared" si="105"/>
        <v>6498346.8000000007</v>
      </c>
      <c r="AJ71" s="422">
        <f t="shared" si="106"/>
        <v>6476375.2299999995</v>
      </c>
      <c r="AK71" s="422">
        <f t="shared" si="106"/>
        <v>6454265.6399999997</v>
      </c>
      <c r="AL71" s="422">
        <f t="shared" si="106"/>
        <v>7126351.7000000002</v>
      </c>
      <c r="AM71" s="422">
        <f t="shared" si="106"/>
        <v>8561204.8599999994</v>
      </c>
      <c r="AN71" s="422">
        <f t="shared" si="106"/>
        <v>10052617.1</v>
      </c>
      <c r="AO71" s="422">
        <f t="shared" ref="AO71:AT71" si="127">SUM(AO66:AO70)</f>
        <v>12793596.859999999</v>
      </c>
      <c r="AP71" s="422">
        <f t="shared" si="127"/>
        <v>15100471.02</v>
      </c>
      <c r="AQ71" s="422">
        <f t="shared" si="127"/>
        <v>14545012.023</v>
      </c>
      <c r="AR71" s="422">
        <f t="shared" si="127"/>
        <v>13626535.780000001</v>
      </c>
      <c r="AS71" s="422">
        <f t="shared" si="127"/>
        <v>8788542.209999999</v>
      </c>
      <c r="AT71" s="422">
        <f t="shared" si="127"/>
        <v>8195243.7999999998</v>
      </c>
      <c r="AU71" s="422">
        <f t="shared" ref="AU71:BB71" si="128">SUM(AU66:AU70)</f>
        <v>7330183.7500000009</v>
      </c>
      <c r="AV71" s="422">
        <f t="shared" si="128"/>
        <v>7530018.1700000009</v>
      </c>
      <c r="AW71" s="463">
        <f t="shared" si="128"/>
        <v>7711032.8399999999</v>
      </c>
      <c r="AX71" s="398">
        <f t="shared" si="128"/>
        <v>8673382.9100000001</v>
      </c>
      <c r="AY71" s="398">
        <f t="shared" si="128"/>
        <v>10060256.92</v>
      </c>
      <c r="AZ71" s="398">
        <f t="shared" si="128"/>
        <v>11865630.159999998</v>
      </c>
      <c r="BA71" s="398">
        <f t="shared" si="128"/>
        <v>15417638.959999999</v>
      </c>
      <c r="BB71" s="398">
        <f t="shared" si="128"/>
        <v>18731919.789999999</v>
      </c>
      <c r="BC71" s="580">
        <f>SUM(BC66:BC70)</f>
        <v>10472183.350000001</v>
      </c>
      <c r="BD71" s="398">
        <f>SUM(BD66:BD70)</f>
        <v>17341688.150000002</v>
      </c>
      <c r="BE71" s="398">
        <f>SUM(BE66:BE70)</f>
        <v>7787535.8500000006</v>
      </c>
      <c r="BF71" s="398">
        <f>SUM(BF66:BF70)</f>
        <v>7086525.0700000003</v>
      </c>
      <c r="BG71" s="278"/>
      <c r="BH71" s="391"/>
      <c r="BI71" s="463">
        <f t="shared" ref="BI71:BK71" si="129">SUM(BI66:BI70)</f>
        <v>1256767.2000000002</v>
      </c>
      <c r="BJ71" s="398">
        <f t="shared" si="129"/>
        <v>1547031.21</v>
      </c>
      <c r="BK71" s="398">
        <f t="shared" si="129"/>
        <v>1499052.0599999996</v>
      </c>
      <c r="BL71" s="398">
        <f t="shared" ref="BL71:BO71" si="130">SUM(BL66:BL70)</f>
        <v>1813013.0599999994</v>
      </c>
      <c r="BM71" s="398">
        <f t="shared" si="130"/>
        <v>2624042.0999999996</v>
      </c>
      <c r="BN71" s="398">
        <f t="shared" si="130"/>
        <v>3631448.77</v>
      </c>
      <c r="BO71" s="398">
        <f t="shared" si="130"/>
        <v>-5035583.5630000001</v>
      </c>
      <c r="BP71" s="398">
        <f t="shared" ref="BP71:BR71" si="131">SUM(BP66:BP70)</f>
        <v>3709150.3699999992</v>
      </c>
      <c r="BQ71" s="398">
        <f t="shared" si="131"/>
        <v>-1328063.5099999988</v>
      </c>
      <c r="BR71" s="398">
        <f t="shared" si="131"/>
        <v>-1108718.7299999988</v>
      </c>
      <c r="BS71" s="278"/>
      <c r="BT71" s="391"/>
    </row>
    <row r="72" spans="1:72" x14ac:dyDescent="0.25">
      <c r="A72" s="341">
        <f>+A65+1</f>
        <v>10</v>
      </c>
      <c r="B72" s="387" t="s">
        <v>32</v>
      </c>
      <c r="C72" s="443"/>
      <c r="D72" s="410"/>
      <c r="E72" s="410"/>
      <c r="F72" s="410"/>
      <c r="G72" s="410"/>
      <c r="H72" s="410"/>
      <c r="I72" s="410"/>
      <c r="J72" s="410"/>
      <c r="K72" s="410"/>
      <c r="L72" s="411"/>
      <c r="M72" s="443"/>
      <c r="N72" s="410"/>
      <c r="O72" s="410"/>
      <c r="P72" s="410"/>
      <c r="Q72" s="410"/>
      <c r="R72" s="410"/>
      <c r="S72" s="410"/>
      <c r="T72" s="410"/>
      <c r="U72" s="410"/>
      <c r="V72" s="410"/>
      <c r="W72" s="410"/>
      <c r="X72" s="411"/>
      <c r="Y72" s="410"/>
      <c r="Z72" s="410"/>
      <c r="AA72" s="410"/>
      <c r="AB72" s="410"/>
      <c r="AC72" s="410"/>
      <c r="AD72" s="410"/>
      <c r="AE72" s="410"/>
      <c r="AF72" s="410"/>
      <c r="AG72" s="410"/>
      <c r="AH72" s="410"/>
      <c r="AI72" s="410"/>
      <c r="AJ72" s="410"/>
      <c r="AK72" s="410"/>
      <c r="AL72" s="410"/>
      <c r="AM72" s="410"/>
      <c r="AN72" s="410"/>
      <c r="AO72" s="410"/>
      <c r="AP72" s="410"/>
      <c r="AQ72" s="410"/>
      <c r="AR72" s="410"/>
      <c r="AS72" s="410"/>
      <c r="AT72" s="410"/>
      <c r="AU72" s="410"/>
      <c r="AV72" s="410"/>
      <c r="AW72" s="459"/>
      <c r="AX72" s="388"/>
      <c r="AY72" s="388"/>
      <c r="AZ72" s="388"/>
      <c r="BA72" s="388"/>
      <c r="BB72" s="388"/>
      <c r="BC72" s="388"/>
      <c r="BD72" s="388"/>
      <c r="BE72" s="388"/>
      <c r="BF72" s="388"/>
      <c r="BG72" s="388"/>
      <c r="BH72" s="389"/>
      <c r="BI72" s="459"/>
      <c r="BJ72" s="388"/>
      <c r="BK72" s="388"/>
      <c r="BL72" s="388"/>
      <c r="BM72" s="388"/>
      <c r="BN72" s="388"/>
      <c r="BO72" s="388"/>
      <c r="BP72" s="388"/>
      <c r="BQ72" s="388"/>
      <c r="BR72" s="388"/>
      <c r="BS72" s="388"/>
      <c r="BT72" s="389"/>
    </row>
    <row r="73" spans="1:72" x14ac:dyDescent="0.25">
      <c r="A73" s="341"/>
      <c r="B73" s="390" t="s">
        <v>35</v>
      </c>
      <c r="C73" s="433">
        <v>5366874</v>
      </c>
      <c r="D73" s="378">
        <v>3843919</v>
      </c>
      <c r="E73" s="378">
        <v>2029240</v>
      </c>
      <c r="F73" s="378">
        <v>1280398</v>
      </c>
      <c r="G73" s="378">
        <v>760851</v>
      </c>
      <c r="H73" s="378">
        <v>653524</v>
      </c>
      <c r="I73" s="378">
        <v>677153</v>
      </c>
      <c r="J73" s="378">
        <v>800554</v>
      </c>
      <c r="K73" s="378">
        <v>2207554</v>
      </c>
      <c r="L73" s="434">
        <v>4164660</v>
      </c>
      <c r="M73" s="433">
        <v>5561927</v>
      </c>
      <c r="N73" s="378">
        <v>4805071</v>
      </c>
      <c r="O73" s="378">
        <v>4322498</v>
      </c>
      <c r="P73" s="378">
        <f>27905+3084147+10169+359794+5524+16802</f>
        <v>3504341</v>
      </c>
      <c r="Q73" s="378">
        <f>26163+2581468+8610+282457+5653+14216</f>
        <v>2918567</v>
      </c>
      <c r="R73" s="378">
        <f>18437+1011410+6791+122311+2243+7157</f>
        <v>1168349</v>
      </c>
      <c r="S73" s="378">
        <f>14522+630257+5955+82322+1520+5076</f>
        <v>739652</v>
      </c>
      <c r="T73" s="378">
        <f>14719+626732+4899+59754+1576+5111</f>
        <v>712791</v>
      </c>
      <c r="U73" s="378">
        <f>14770+603454+4629+45781+1515+5168</f>
        <v>675317</v>
      </c>
      <c r="V73" s="378">
        <f>17940+820582+6183+89015+2056+6619</f>
        <v>942395</v>
      </c>
      <c r="W73" s="378">
        <f>21974+1620601+6970+189690+2958+10994</f>
        <v>1853187</v>
      </c>
      <c r="X73" s="434">
        <f>25683+2946769+7452+245551+4880+17495</f>
        <v>3247830</v>
      </c>
      <c r="Y73" s="378">
        <f>33038+4927478+11868+600235+8935+25417</f>
        <v>5606971</v>
      </c>
      <c r="Z73" s="378">
        <f>29898+4951954+9163+528924+7862+23607</f>
        <v>5551408</v>
      </c>
      <c r="AA73" s="378">
        <f>29650+4580673+9290+531323+21696</f>
        <v>5172632</v>
      </c>
      <c r="AB73" s="378">
        <f>25671+3108773+9552+410828+5849+15478</f>
        <v>3576151</v>
      </c>
      <c r="AC73" s="378">
        <v>2105491</v>
      </c>
      <c r="AD73" s="378">
        <f>24848+1079309+8662</f>
        <v>1112819</v>
      </c>
      <c r="AE73" s="378">
        <f>18157+680448+5429</f>
        <v>704034</v>
      </c>
      <c r="AF73" s="378">
        <f>20827+741254+6919</f>
        <v>769000</v>
      </c>
      <c r="AG73" s="378">
        <f>19605+668203+6575</f>
        <v>694383</v>
      </c>
      <c r="AH73" s="378">
        <f>21347+716169+7342</f>
        <v>744858</v>
      </c>
      <c r="AI73" s="378">
        <f>26808+1485089+12908</f>
        <v>1524805</v>
      </c>
      <c r="AJ73" s="378">
        <f>36126+3578422+23569</f>
        <v>3638117</v>
      </c>
      <c r="AK73" s="378">
        <f>45116+5148410+31817</f>
        <v>5225343</v>
      </c>
      <c r="AL73" s="362">
        <f>45813+5950197+35597</f>
        <v>6031607</v>
      </c>
      <c r="AM73" s="378">
        <f>40453+4615235+26333</f>
        <v>4682021</v>
      </c>
      <c r="AN73" s="378">
        <f>42712+3756588+25172</f>
        <v>3824472</v>
      </c>
      <c r="AO73" s="378">
        <f>27387+1856857+13865</f>
        <v>1898109</v>
      </c>
      <c r="AP73" s="378">
        <f>SUM(23639,1000029,8097)</f>
        <v>1031765</v>
      </c>
      <c r="AQ73" s="378">
        <f>21421+746081+6962</f>
        <v>774464</v>
      </c>
      <c r="AR73" s="378">
        <f>17123+593784+5479</f>
        <v>616386</v>
      </c>
      <c r="AS73" s="378">
        <f>20312+679840+6684</f>
        <v>706836</v>
      </c>
      <c r="AT73" s="378">
        <f>22110+831844+9020</f>
        <v>862974</v>
      </c>
      <c r="AU73" s="378">
        <f>26675+1335424+12271</f>
        <v>1374370</v>
      </c>
      <c r="AV73" s="378">
        <f>39736+3355732+22408</f>
        <v>3417876</v>
      </c>
      <c r="AW73" s="460">
        <f>49497+4816579+30699</f>
        <v>4896775</v>
      </c>
      <c r="AX73" s="394">
        <f>48652+4627817+30386</f>
        <v>4706855</v>
      </c>
      <c r="AY73" s="394">
        <f>44973+4346376+28450</f>
        <v>4419799</v>
      </c>
      <c r="AZ73" s="394">
        <f>SUM(39048+3278649+22759)</f>
        <v>3340456</v>
      </c>
      <c r="BA73" s="394">
        <v>1511496</v>
      </c>
      <c r="BB73" s="394">
        <f>SUM(26321+1048458+9907)</f>
        <v>1084686</v>
      </c>
      <c r="BC73" s="394">
        <f>SUM(21112+777131+8390)</f>
        <v>806633</v>
      </c>
      <c r="BD73" s="394">
        <f>(15817+572518+5600)</f>
        <v>593935</v>
      </c>
      <c r="BE73" s="394">
        <f>20234+688446+7024</f>
        <v>715704</v>
      </c>
      <c r="BF73" s="394">
        <f>19354+732328+8260</f>
        <v>759942</v>
      </c>
      <c r="BG73" s="278"/>
      <c r="BH73" s="391"/>
      <c r="BI73" s="460">
        <f t="shared" ref="BI73:BI78" si="132">AW73-AK73</f>
        <v>-328568</v>
      </c>
      <c r="BJ73" s="394">
        <f t="shared" ref="BJ73:BJ78" si="133">AX73-AL73</f>
        <v>-1324752</v>
      </c>
      <c r="BK73" s="394">
        <f t="shared" ref="BK73:BK78" si="134">AY73-AM73</f>
        <v>-262222</v>
      </c>
      <c r="BL73" s="394">
        <f t="shared" ref="BL73:BO78" si="135">AZ73-AN73</f>
        <v>-484016</v>
      </c>
      <c r="BM73" s="394">
        <f t="shared" si="135"/>
        <v>-386613</v>
      </c>
      <c r="BN73" s="394">
        <f t="shared" si="135"/>
        <v>52921</v>
      </c>
      <c r="BO73" s="394">
        <f t="shared" si="135"/>
        <v>32169</v>
      </c>
      <c r="BP73" s="394">
        <f t="shared" ref="BP73:BP78" si="136">BD73-AR73</f>
        <v>-22451</v>
      </c>
      <c r="BQ73" s="394">
        <f t="shared" ref="BQ73:BQ78" si="137">BE73-AS73</f>
        <v>8868</v>
      </c>
      <c r="BR73" s="394">
        <f t="shared" ref="BR73:BR78" si="138">BF73-AT73</f>
        <v>-103032</v>
      </c>
      <c r="BS73" s="278"/>
      <c r="BT73" s="391"/>
    </row>
    <row r="74" spans="1:72" x14ac:dyDescent="0.25">
      <c r="A74" s="341"/>
      <c r="B74" s="390" t="s">
        <v>36</v>
      </c>
      <c r="C74" s="433">
        <v>1296596</v>
      </c>
      <c r="D74" s="378">
        <v>900416</v>
      </c>
      <c r="E74" s="378">
        <v>501599</v>
      </c>
      <c r="F74" s="378">
        <v>292243</v>
      </c>
      <c r="G74" s="378">
        <v>164728</v>
      </c>
      <c r="H74" s="378">
        <v>147819</v>
      </c>
      <c r="I74" s="378">
        <v>158035</v>
      </c>
      <c r="J74" s="378">
        <v>211099</v>
      </c>
      <c r="K74" s="378">
        <v>595112</v>
      </c>
      <c r="L74" s="434">
        <v>1032468</v>
      </c>
      <c r="M74" s="433">
        <v>1345041</v>
      </c>
      <c r="N74" s="378">
        <v>1128913</v>
      </c>
      <c r="O74" s="378">
        <v>1047081</v>
      </c>
      <c r="P74" s="378">
        <f>4526+546+839005+16115</f>
        <v>860192</v>
      </c>
      <c r="Q74" s="378">
        <f>4174+683194+679+13645</f>
        <v>701692</v>
      </c>
      <c r="R74" s="378">
        <f>2809+245005+459+5849</f>
        <v>254122</v>
      </c>
      <c r="S74" s="378">
        <f>2058+147576+449+3377</f>
        <v>153460</v>
      </c>
      <c r="T74" s="378">
        <f>2160+151558+395+3106</f>
        <v>157219</v>
      </c>
      <c r="U74" s="378">
        <f>2278+154941+398+2851</f>
        <v>160468</v>
      </c>
      <c r="V74" s="378">
        <f>2788+221210+484+4320</f>
        <v>228802</v>
      </c>
      <c r="W74" s="378">
        <f>3690+456289+607+9731</f>
        <v>470317</v>
      </c>
      <c r="X74" s="434">
        <f>4593+636+820235+11618</f>
        <v>837082</v>
      </c>
      <c r="Y74" s="378">
        <f>6177+1269254+763+26617</f>
        <v>1302811</v>
      </c>
      <c r="Z74" s="378">
        <f>5452+1271075+1312+24665</f>
        <v>1302504</v>
      </c>
      <c r="AA74" s="378">
        <f>4906+1134059+1032+25985</f>
        <v>1165982</v>
      </c>
      <c r="AB74" s="378">
        <f>4064+729201+996+20447</f>
        <v>754708</v>
      </c>
      <c r="AC74" s="362">
        <v>508790</v>
      </c>
      <c r="AD74" s="362">
        <f>2160+198828</f>
        <v>200988</v>
      </c>
      <c r="AE74" s="362">
        <f>1431+115712</f>
        <v>117143</v>
      </c>
      <c r="AF74" s="362">
        <f>2480+179773</f>
        <v>182253</v>
      </c>
      <c r="AG74" s="362">
        <f>2262+151048</f>
        <v>153310</v>
      </c>
      <c r="AH74" s="362">
        <f>2189+173912</f>
        <v>176101</v>
      </c>
      <c r="AI74" s="362">
        <f>3077+415925</f>
        <v>419002</v>
      </c>
      <c r="AJ74" s="362">
        <f>4263+864501</f>
        <v>868764</v>
      </c>
      <c r="AK74" s="362">
        <f>4336+1214201</f>
        <v>1218537</v>
      </c>
      <c r="AL74" s="362">
        <f>4866+1372916</f>
        <v>1377782</v>
      </c>
      <c r="AM74" s="362">
        <f>4322+1077700</f>
        <v>1082022</v>
      </c>
      <c r="AN74" s="362">
        <f>5720+964399</f>
        <v>970119</v>
      </c>
      <c r="AO74" s="362">
        <f>3727+483015</f>
        <v>486742</v>
      </c>
      <c r="AP74" s="362">
        <f>SUM(3170,217765)</f>
        <v>220935</v>
      </c>
      <c r="AQ74" s="362">
        <f>2579+180898</f>
        <v>183477</v>
      </c>
      <c r="AR74" s="362">
        <f>1948+142130</f>
        <v>144078</v>
      </c>
      <c r="AS74" s="362">
        <f>2948+187135</f>
        <v>190083</v>
      </c>
      <c r="AT74" s="362">
        <f>2747+239592</f>
        <v>242339</v>
      </c>
      <c r="AU74" s="362">
        <f>3170+375922</f>
        <v>379092</v>
      </c>
      <c r="AV74" s="362">
        <f>4659+874414</f>
        <v>879073</v>
      </c>
      <c r="AW74" s="460">
        <f>6732+1271226</f>
        <v>1277958</v>
      </c>
      <c r="AX74" s="394">
        <f>5923+1249984</f>
        <v>1255907</v>
      </c>
      <c r="AY74" s="394">
        <f>5908+1156172</f>
        <v>1162080</v>
      </c>
      <c r="AZ74" s="394">
        <f>SUM(6428+892202)</f>
        <v>898630</v>
      </c>
      <c r="BA74" s="394">
        <v>434681</v>
      </c>
      <c r="BB74" s="394">
        <f>SUM(4092+273980)</f>
        <v>278072</v>
      </c>
      <c r="BC74" s="394">
        <f>SUM(3467+198991)</f>
        <v>202458</v>
      </c>
      <c r="BD74" s="394">
        <f>(286+15481)</f>
        <v>15767</v>
      </c>
      <c r="BE74" s="394">
        <f>3413+197909</f>
        <v>201322</v>
      </c>
      <c r="BF74" s="394">
        <f>3751+221067</f>
        <v>224818</v>
      </c>
      <c r="BG74" s="278"/>
      <c r="BH74" s="391"/>
      <c r="BI74" s="460">
        <f t="shared" si="132"/>
        <v>59421</v>
      </c>
      <c r="BJ74" s="394">
        <f t="shared" si="133"/>
        <v>-121875</v>
      </c>
      <c r="BK74" s="394">
        <f t="shared" si="134"/>
        <v>80058</v>
      </c>
      <c r="BL74" s="394">
        <f t="shared" si="135"/>
        <v>-71489</v>
      </c>
      <c r="BM74" s="394">
        <f t="shared" si="135"/>
        <v>-52061</v>
      </c>
      <c r="BN74" s="394">
        <f t="shared" si="135"/>
        <v>57137</v>
      </c>
      <c r="BO74" s="394">
        <f t="shared" si="135"/>
        <v>18981</v>
      </c>
      <c r="BP74" s="394">
        <f t="shared" si="136"/>
        <v>-128311</v>
      </c>
      <c r="BQ74" s="394">
        <f t="shared" si="137"/>
        <v>11239</v>
      </c>
      <c r="BR74" s="394">
        <f t="shared" si="138"/>
        <v>-17521</v>
      </c>
      <c r="BS74" s="278"/>
      <c r="BT74" s="391"/>
    </row>
    <row r="75" spans="1:72" x14ac:dyDescent="0.25">
      <c r="A75" s="341"/>
      <c r="B75" s="390" t="s">
        <v>37</v>
      </c>
      <c r="C75" s="433">
        <v>1160981</v>
      </c>
      <c r="D75" s="378">
        <v>753929</v>
      </c>
      <c r="E75" s="378">
        <v>392329</v>
      </c>
      <c r="F75" s="378">
        <v>254003</v>
      </c>
      <c r="G75" s="378">
        <v>139772</v>
      </c>
      <c r="H75" s="378">
        <v>109583</v>
      </c>
      <c r="I75" s="378">
        <v>130036</v>
      </c>
      <c r="J75" s="378">
        <v>168747</v>
      </c>
      <c r="K75" s="378">
        <v>419539</v>
      </c>
      <c r="L75" s="434">
        <v>864360</v>
      </c>
      <c r="M75" s="433">
        <v>1233580</v>
      </c>
      <c r="N75" s="378">
        <v>1032346</v>
      </c>
      <c r="O75" s="378">
        <v>904553</v>
      </c>
      <c r="P75" s="378">
        <f>401861+64454+106802+24532+56545+9762+4348+828</f>
        <v>669132</v>
      </c>
      <c r="Q75" s="378">
        <f>282626+62041+71264+18624+48890+10616+3196+706</f>
        <v>497963</v>
      </c>
      <c r="R75" s="378">
        <f>57728+46972+20450+16231+17215+7017+950+607</f>
        <v>167170</v>
      </c>
      <c r="S75" s="378">
        <f>38864+43892+3421+16447+10526+5695-1765+599</f>
        <v>117679</v>
      </c>
      <c r="T75" s="378">
        <f>42200+51761+4878+15179+9162+4927+359+531</f>
        <v>128997</v>
      </c>
      <c r="U75" s="378">
        <f>37174+59811+1227+14458+10559+4883+378+478</f>
        <v>128968</v>
      </c>
      <c r="V75" s="378">
        <f>54371+58702+9751+18708+17985+7299+732+575</f>
        <v>168123</v>
      </c>
      <c r="W75" s="378">
        <f>166686+61665+43200+19663+31833+9220+1428+734+6085</f>
        <v>340514</v>
      </c>
      <c r="X75" s="434">
        <f>374868+67287+67773+20186+59905+11327+3065+814</f>
        <v>605225</v>
      </c>
      <c r="Y75" s="378">
        <f>687484+109726+207042+33163+97422+16821+8199+1824</f>
        <v>1161681</v>
      </c>
      <c r="Z75" s="378">
        <f>747702+114035+190001+29332+95874+14234+11444+1596</f>
        <v>1204218</v>
      </c>
      <c r="AA75" s="378">
        <f>647129+97755+203522+28867+86984+14135+8481+1393</f>
        <v>1088266</v>
      </c>
      <c r="AB75" s="378">
        <f>361748+84536+132867+30278+58905+12252+6802+1007</f>
        <v>688395</v>
      </c>
      <c r="AC75" s="378">
        <v>388072</v>
      </c>
      <c r="AD75" s="378">
        <f>86053+77296+18550+8055</f>
        <v>189954</v>
      </c>
      <c r="AE75" s="378">
        <f>39976+64501+13786+5938</f>
        <v>124201</v>
      </c>
      <c r="AF75" s="378">
        <f>44537+77905+10663+6814</f>
        <v>139919</v>
      </c>
      <c r="AG75" s="378">
        <f>46834+73066+10455+6361</f>
        <v>136716</v>
      </c>
      <c r="AH75" s="378">
        <f>47287+73324+14982+7544</f>
        <v>143137</v>
      </c>
      <c r="AI75" s="378">
        <f>164049+84640+31506+10847</f>
        <v>291042</v>
      </c>
      <c r="AJ75" s="378">
        <f>517067+107834+62219+14095</f>
        <v>701215</v>
      </c>
      <c r="AK75" s="378">
        <f>883839+133144+95900+19587</f>
        <v>1132470</v>
      </c>
      <c r="AL75" s="362">
        <f>1084757+143408+105568+18742</f>
        <v>1352475</v>
      </c>
      <c r="AM75" s="378">
        <f>842692+116245+78241+17711</f>
        <v>1054889</v>
      </c>
      <c r="AN75" s="378">
        <f>581896+123697+67289+18615</f>
        <v>791497</v>
      </c>
      <c r="AO75" s="378">
        <f>237138+83826+32994+8326</f>
        <v>362284</v>
      </c>
      <c r="AP75" s="378">
        <f>SUM(113095,79689,16878,10307)</f>
        <v>219969</v>
      </c>
      <c r="AQ75" s="378">
        <f>43820+75858+13637+5667</f>
        <v>138982</v>
      </c>
      <c r="AR75" s="378">
        <f>50980+63636+9522+6822</f>
        <v>130960</v>
      </c>
      <c r="AS75" s="378">
        <f>43259+77958+10824+12535</f>
        <v>144576</v>
      </c>
      <c r="AT75" s="378">
        <f>104918+75886+17846+6480</f>
        <v>205130</v>
      </c>
      <c r="AU75" s="378">
        <f>158970+83141+27735+11297</f>
        <v>281143</v>
      </c>
      <c r="AV75" s="378">
        <f>505962+109264+61299+35124</f>
        <v>711649</v>
      </c>
      <c r="AW75" s="460">
        <f>840023+130516+88739+23482</f>
        <v>1082760</v>
      </c>
      <c r="AX75" s="394">
        <f>854937+129609+93675+44347</f>
        <v>1122568</v>
      </c>
      <c r="AY75" s="394">
        <f>768504+122539+84084+25839</f>
        <v>1000966</v>
      </c>
      <c r="AZ75" s="394">
        <f>SUM(569111+112117+61141+19699)</f>
        <v>762068</v>
      </c>
      <c r="BA75" s="394">
        <v>330775</v>
      </c>
      <c r="BB75" s="394">
        <f>SUM(114195+84497+20287+15227)</f>
        <v>234206</v>
      </c>
      <c r="BC75" s="394">
        <f>SUM(75691+80837+12334+10324)</f>
        <v>179186</v>
      </c>
      <c r="BD75" s="394">
        <f>(5302+6255+826+680)</f>
        <v>13063</v>
      </c>
      <c r="BE75" s="394">
        <f>50295+77876+12720+9240</f>
        <v>150131</v>
      </c>
      <c r="BF75" s="394">
        <f>63714+71613+15805+11027</f>
        <v>162159</v>
      </c>
      <c r="BG75" s="278"/>
      <c r="BH75" s="391"/>
      <c r="BI75" s="460">
        <f t="shared" si="132"/>
        <v>-49710</v>
      </c>
      <c r="BJ75" s="394">
        <f t="shared" si="133"/>
        <v>-229907</v>
      </c>
      <c r="BK75" s="394">
        <f t="shared" si="134"/>
        <v>-53923</v>
      </c>
      <c r="BL75" s="394">
        <f t="shared" si="135"/>
        <v>-29429</v>
      </c>
      <c r="BM75" s="394">
        <f t="shared" si="135"/>
        <v>-31509</v>
      </c>
      <c r="BN75" s="394">
        <f t="shared" si="135"/>
        <v>14237</v>
      </c>
      <c r="BO75" s="394">
        <f t="shared" si="135"/>
        <v>40204</v>
      </c>
      <c r="BP75" s="394">
        <f t="shared" si="136"/>
        <v>-117897</v>
      </c>
      <c r="BQ75" s="394">
        <f t="shared" si="137"/>
        <v>5555</v>
      </c>
      <c r="BR75" s="394">
        <f t="shared" si="138"/>
        <v>-42971</v>
      </c>
      <c r="BS75" s="278"/>
      <c r="BT75" s="391"/>
    </row>
    <row r="76" spans="1:72" x14ac:dyDescent="0.25">
      <c r="A76" s="341"/>
      <c r="B76" s="390" t="s">
        <v>38</v>
      </c>
      <c r="C76" s="433">
        <v>1832559</v>
      </c>
      <c r="D76" s="378">
        <v>1593328</v>
      </c>
      <c r="E76" s="378">
        <v>1143305</v>
      </c>
      <c r="F76" s="378">
        <v>-120567</v>
      </c>
      <c r="G76" s="378">
        <v>277636</v>
      </c>
      <c r="H76" s="378">
        <v>250359</v>
      </c>
      <c r="I76" s="378">
        <v>301515</v>
      </c>
      <c r="J76" s="378">
        <v>366581</v>
      </c>
      <c r="K76" s="378">
        <v>858441</v>
      </c>
      <c r="L76" s="434">
        <v>1400961</v>
      </c>
      <c r="M76" s="433">
        <v>1954815</v>
      </c>
      <c r="N76" s="378">
        <v>1712295</v>
      </c>
      <c r="O76" s="378">
        <v>1525431</v>
      </c>
      <c r="P76" s="378">
        <f>412535+87917+94644+36379+445562+105674+34133+28998</f>
        <v>1245842</v>
      </c>
      <c r="Q76" s="378">
        <f>313581+85131+64725+27184+335997+24040+94896+22806</f>
        <v>968360</v>
      </c>
      <c r="R76" s="378">
        <f>99702+66636+21874+24555+88564+66860+8218+9668</f>
        <v>386077</v>
      </c>
      <c r="S76" s="378">
        <f>27482+67126+5539+25005+98687+50338+4292+7260</f>
        <v>285729</v>
      </c>
      <c r="T76" s="378">
        <f>31613+81235+3137+24944+65552+51929+3365+10038</f>
        <v>271813</v>
      </c>
      <c r="U76" s="378">
        <f>26057+83338-10335+21395+78295+90090+3914+10727</f>
        <v>303481</v>
      </c>
      <c r="V76" s="378">
        <f>94172+9357+27233+63407+124390+79182+4770+15607</f>
        <v>418118</v>
      </c>
      <c r="W76" s="378">
        <f>162005+103592+37033+31032+245912+87605+13412+21509+60902</f>
        <v>763002</v>
      </c>
      <c r="X76" s="434">
        <f>334260+112723+55068+28776+398559+100245+19402+25252</f>
        <v>1074285</v>
      </c>
      <c r="Y76" s="378">
        <f>588856+160031+149852+53504+690348+163573+49538+45946</f>
        <v>1901648</v>
      </c>
      <c r="Z76" s="378">
        <f>569393+138266+141304+47142+634972+140520+38114+47403</f>
        <v>1757114</v>
      </c>
      <c r="AA76" s="378">
        <f>548511+147091+142548+48653+609354+140249+39760+43693</f>
        <v>1719859</v>
      </c>
      <c r="AB76" s="378">
        <f>354817+131968+98615+45360+471211+130213+28511+40138</f>
        <v>1300833</v>
      </c>
      <c r="AC76" s="378">
        <v>796715</v>
      </c>
      <c r="AD76" s="378">
        <f>86108+117347+142165+100875</f>
        <v>446495</v>
      </c>
      <c r="AE76" s="378">
        <f>65886+85568+66932+71924</f>
        <v>290310</v>
      </c>
      <c r="AF76" s="378">
        <f>35994+134112+52787+97207</f>
        <v>320100</v>
      </c>
      <c r="AG76" s="378">
        <f>38680+101752+59806+87077</f>
        <v>287315</v>
      </c>
      <c r="AH76" s="378">
        <f>58311+118852+97015+83102</f>
        <v>357280</v>
      </c>
      <c r="AI76" s="378">
        <f>226758+150559+235079+117157</f>
        <v>729553</v>
      </c>
      <c r="AJ76" s="378">
        <f>500174+161359+479821+155350</f>
        <v>1296704</v>
      </c>
      <c r="AK76" s="378">
        <f>693533+197296+652276+186224</f>
        <v>1729329</v>
      </c>
      <c r="AL76" s="362">
        <f>849831+214376+704468+188829</f>
        <v>1957504</v>
      </c>
      <c r="AM76" s="378">
        <f>664916+192935+619516+162034</f>
        <v>1639401</v>
      </c>
      <c r="AN76" s="378">
        <f>553568+223186+511814+160949</f>
        <v>1449517</v>
      </c>
      <c r="AO76" s="378">
        <f>374337+160239+268921+102109</f>
        <v>905606</v>
      </c>
      <c r="AP76" s="378">
        <f>SUM(89739,135626,199809,86851)</f>
        <v>512025</v>
      </c>
      <c r="AQ76" s="378">
        <f>44250+98264+53974+70310</f>
        <v>266798</v>
      </c>
      <c r="AR76" s="378">
        <f>41954+143154+48147+62107</f>
        <v>295362</v>
      </c>
      <c r="AS76" s="378">
        <f>47211+162918+54756+71476</f>
        <v>336361</v>
      </c>
      <c r="AT76" s="378">
        <f>100357+128769+118521+81499</f>
        <v>429146</v>
      </c>
      <c r="AU76" s="378">
        <f>159953+137524+212314+90978</f>
        <v>600769</v>
      </c>
      <c r="AV76" s="378">
        <f>454814+176245+454185+134665</f>
        <v>1219909</v>
      </c>
      <c r="AW76" s="460">
        <f>663930+195066+609202+177235</f>
        <v>1645433</v>
      </c>
      <c r="AX76" s="394">
        <f>704936+190095+602828+169783</f>
        <v>1667642</v>
      </c>
      <c r="AY76" s="394">
        <f>602091+195369+598311+161752</f>
        <v>1557523</v>
      </c>
      <c r="AZ76" s="394">
        <f>SUM(477562+163600+451443+128357)</f>
        <v>1220962</v>
      </c>
      <c r="BA76" s="394">
        <v>644777</v>
      </c>
      <c r="BB76" s="394">
        <f>SUM(95961+135348+167600+122540)</f>
        <v>521449</v>
      </c>
      <c r="BC76" s="394">
        <f>SUM(73720+119443+84384+103608)</f>
        <v>381155</v>
      </c>
      <c r="BD76" s="394">
        <f>(3854+10830+5260+4602)</f>
        <v>24546</v>
      </c>
      <c r="BE76" s="394">
        <f>46166+124251+66136+84220</f>
        <v>320773</v>
      </c>
      <c r="BF76" s="394">
        <f>61926+108307+112105+77833</f>
        <v>360171</v>
      </c>
      <c r="BG76" s="278"/>
      <c r="BH76" s="391"/>
      <c r="BI76" s="460">
        <f t="shared" si="132"/>
        <v>-83896</v>
      </c>
      <c r="BJ76" s="394">
        <f t="shared" si="133"/>
        <v>-289862</v>
      </c>
      <c r="BK76" s="394">
        <f t="shared" si="134"/>
        <v>-81878</v>
      </c>
      <c r="BL76" s="394">
        <f t="shared" si="135"/>
        <v>-228555</v>
      </c>
      <c r="BM76" s="394">
        <f t="shared" si="135"/>
        <v>-260829</v>
      </c>
      <c r="BN76" s="394">
        <f t="shared" si="135"/>
        <v>9424</v>
      </c>
      <c r="BO76" s="394">
        <f t="shared" si="135"/>
        <v>114357</v>
      </c>
      <c r="BP76" s="394">
        <f t="shared" si="136"/>
        <v>-270816</v>
      </c>
      <c r="BQ76" s="394">
        <f t="shared" si="137"/>
        <v>-15588</v>
      </c>
      <c r="BR76" s="394">
        <f t="shared" si="138"/>
        <v>-68975</v>
      </c>
      <c r="BS76" s="278"/>
      <c r="BT76" s="391"/>
    </row>
    <row r="77" spans="1:72" x14ac:dyDescent="0.25">
      <c r="A77" s="341"/>
      <c r="B77" s="390" t="s">
        <v>39</v>
      </c>
      <c r="C77" s="433">
        <v>780918</v>
      </c>
      <c r="D77" s="378">
        <v>485463</v>
      </c>
      <c r="E77" s="378">
        <v>444220</v>
      </c>
      <c r="F77" s="378">
        <v>381375</v>
      </c>
      <c r="G77" s="378">
        <v>376404</v>
      </c>
      <c r="H77" s="378">
        <v>404716</v>
      </c>
      <c r="I77" s="378">
        <v>327508</v>
      </c>
      <c r="J77" s="378">
        <v>457890</v>
      </c>
      <c r="K77" s="378">
        <v>614398</v>
      </c>
      <c r="L77" s="434">
        <v>694020</v>
      </c>
      <c r="M77" s="433">
        <v>735559</v>
      </c>
      <c r="N77" s="378">
        <v>650080</v>
      </c>
      <c r="O77" s="378">
        <v>648187</v>
      </c>
      <c r="P77" s="378">
        <f>201117+385175</f>
        <v>586292</v>
      </c>
      <c r="Q77" s="378">
        <f>7127+58981+60110+281408+38681</f>
        <v>446307</v>
      </c>
      <c r="R77" s="378">
        <f>770+151075+12887+316624+29747</f>
        <v>511103</v>
      </c>
      <c r="S77" s="378">
        <f>31+118052+5993+302767+23927</f>
        <v>450770</v>
      </c>
      <c r="T77" s="378">
        <f>2455+141387-17809+303878+23754</f>
        <v>453665</v>
      </c>
      <c r="U77" s="378">
        <f>110975-821+4674+346671+24275</f>
        <v>485774</v>
      </c>
      <c r="V77" s="378">
        <f>1582+84887+18739+378216+31734</f>
        <v>515158</v>
      </c>
      <c r="W77" s="378">
        <f>8947+81249+28112+365149+40867+187781</f>
        <v>712105</v>
      </c>
      <c r="X77" s="434">
        <f>24186+125771+50015+418796+43914</f>
        <v>662682</v>
      </c>
      <c r="Y77" s="378">
        <f>94597+118528+87305+486542+66937</f>
        <v>853909</v>
      </c>
      <c r="Z77" s="378">
        <f>93948+46624+64584+396226+65609</f>
        <v>666991</v>
      </c>
      <c r="AA77" s="378">
        <f>71207+95893+43884+390079+60695</f>
        <v>661758</v>
      </c>
      <c r="AB77" s="378">
        <f>44554+105874+29463+313818+58656</f>
        <v>552365</v>
      </c>
      <c r="AC77" s="378">
        <v>932300</v>
      </c>
      <c r="AD77" s="378">
        <f>12026+93478+719+18141</f>
        <v>124364</v>
      </c>
      <c r="AE77" s="378">
        <f>524+325063+37695+1119</f>
        <v>364401</v>
      </c>
      <c r="AF77" s="378">
        <f>153569+21+1653+275741</f>
        <v>430984</v>
      </c>
      <c r="AG77" s="378">
        <f>893+58915+327433</f>
        <v>387241</v>
      </c>
      <c r="AH77" s="378">
        <f>5433+65178+7158+329076</f>
        <v>406845</v>
      </c>
      <c r="AI77" s="378">
        <f>13867+250449+9807+357539</f>
        <v>631662</v>
      </c>
      <c r="AJ77" s="378">
        <f>15780+136482+39769+418908</f>
        <v>610939</v>
      </c>
      <c r="AK77" s="378">
        <f>77802+58971+62374+453298</f>
        <v>652445</v>
      </c>
      <c r="AL77" s="362">
        <f>49852+155928+117495+514705</f>
        <v>837980</v>
      </c>
      <c r="AM77" s="378">
        <f>21712+69733+78492+453199</f>
        <v>623136</v>
      </c>
      <c r="AN77" s="378">
        <f>19108+69053+46850+451527</f>
        <v>586538</v>
      </c>
      <c r="AO77" s="378">
        <f>8458+210350+30113+358407</f>
        <v>607328</v>
      </c>
      <c r="AP77" s="378">
        <f>SUM(2007,145359,13083,333055)</f>
        <v>493504</v>
      </c>
      <c r="AQ77" s="378">
        <f>2991+9927+2258+293016</f>
        <v>308192</v>
      </c>
      <c r="AR77" s="378">
        <f>739+170893+1849+262849</f>
        <v>436330</v>
      </c>
      <c r="AS77" s="378">
        <f>4933+187623+349+123883</f>
        <v>316788</v>
      </c>
      <c r="AT77" s="378">
        <f>2452+137173+2259+457694</f>
        <v>599578</v>
      </c>
      <c r="AU77" s="378">
        <f>6673+117459+10039+272923</f>
        <v>407094</v>
      </c>
      <c r="AV77" s="378">
        <f>27854+507146+20956+64597</f>
        <v>620553</v>
      </c>
      <c r="AW77" s="460">
        <f>34623+59142+65635+393351</f>
        <v>552751</v>
      </c>
      <c r="AX77" s="394">
        <f>36449+54524+66177+383872</f>
        <v>541022</v>
      </c>
      <c r="AY77" s="394">
        <f>36222+63996+67707+611096</f>
        <v>779021</v>
      </c>
      <c r="AZ77" s="394">
        <f>SUM(54189+9428+57341+377633)</f>
        <v>498591</v>
      </c>
      <c r="BA77" s="394">
        <v>436003</v>
      </c>
      <c r="BB77" s="394">
        <f>SUM(4542+171344+17616+447958)</f>
        <v>641460</v>
      </c>
      <c r="BC77" s="394">
        <f>SUM(5084+16618+6446+334115)</f>
        <v>362263</v>
      </c>
      <c r="BD77" s="394">
        <f>(283+886+6072+23235)</f>
        <v>30476</v>
      </c>
      <c r="BE77" s="394">
        <f>5044+151181+1037+209806</f>
        <v>367068</v>
      </c>
      <c r="BF77" s="394">
        <f>1571+507584+3681+138768</f>
        <v>651604</v>
      </c>
      <c r="BG77" s="278"/>
      <c r="BH77" s="391"/>
      <c r="BI77" s="460">
        <f t="shared" si="132"/>
        <v>-99694</v>
      </c>
      <c r="BJ77" s="394">
        <f t="shared" si="133"/>
        <v>-296958</v>
      </c>
      <c r="BK77" s="394">
        <f t="shared" si="134"/>
        <v>155885</v>
      </c>
      <c r="BL77" s="394">
        <f t="shared" si="135"/>
        <v>-87947</v>
      </c>
      <c r="BM77" s="394">
        <f t="shared" si="135"/>
        <v>-171325</v>
      </c>
      <c r="BN77" s="394">
        <f t="shared" si="135"/>
        <v>147956</v>
      </c>
      <c r="BO77" s="394">
        <f t="shared" si="135"/>
        <v>54071</v>
      </c>
      <c r="BP77" s="394">
        <f t="shared" si="136"/>
        <v>-405854</v>
      </c>
      <c r="BQ77" s="394">
        <f t="shared" si="137"/>
        <v>50280</v>
      </c>
      <c r="BR77" s="394">
        <f t="shared" si="138"/>
        <v>52026</v>
      </c>
      <c r="BS77" s="278"/>
      <c r="BT77" s="391"/>
    </row>
    <row r="78" spans="1:72" x14ac:dyDescent="0.25">
      <c r="A78" s="341"/>
      <c r="B78" s="390" t="s">
        <v>40</v>
      </c>
      <c r="C78" s="433">
        <f>SUM(C73:C77)</f>
        <v>10437928</v>
      </c>
      <c r="D78" s="378">
        <f>SUM(D73:D77)</f>
        <v>7577055</v>
      </c>
      <c r="E78" s="378">
        <f t="shared" ref="E78:V78" si="139">SUM(E73:E77)</f>
        <v>4510693</v>
      </c>
      <c r="F78" s="378">
        <f t="shared" si="139"/>
        <v>2087452</v>
      </c>
      <c r="G78" s="378">
        <f t="shared" si="139"/>
        <v>1719391</v>
      </c>
      <c r="H78" s="378">
        <f t="shared" si="139"/>
        <v>1566001</v>
      </c>
      <c r="I78" s="378">
        <f t="shared" si="139"/>
        <v>1594247</v>
      </c>
      <c r="J78" s="378">
        <f t="shared" si="139"/>
        <v>2004871</v>
      </c>
      <c r="K78" s="378">
        <f t="shared" si="139"/>
        <v>4695044</v>
      </c>
      <c r="L78" s="434">
        <f t="shared" si="139"/>
        <v>8156469</v>
      </c>
      <c r="M78" s="433">
        <f t="shared" si="139"/>
        <v>10830922</v>
      </c>
      <c r="N78" s="378">
        <f t="shared" si="139"/>
        <v>9328705</v>
      </c>
      <c r="O78" s="378">
        <f t="shared" si="139"/>
        <v>8447750</v>
      </c>
      <c r="P78" s="378">
        <f t="shared" si="139"/>
        <v>6865799</v>
      </c>
      <c r="Q78" s="378">
        <f t="shared" si="139"/>
        <v>5532889</v>
      </c>
      <c r="R78" s="378">
        <f t="shared" si="139"/>
        <v>2486821</v>
      </c>
      <c r="S78" s="378">
        <f t="shared" si="139"/>
        <v>1747290</v>
      </c>
      <c r="T78" s="378">
        <f t="shared" si="139"/>
        <v>1724485</v>
      </c>
      <c r="U78" s="378">
        <f t="shared" si="139"/>
        <v>1754008</v>
      </c>
      <c r="V78" s="378">
        <f t="shared" si="139"/>
        <v>2272596</v>
      </c>
      <c r="W78" s="378">
        <f t="shared" ref="W78:AC78" si="140">SUM(W73:W77)</f>
        <v>4139125</v>
      </c>
      <c r="X78" s="434">
        <f t="shared" si="140"/>
        <v>6427104</v>
      </c>
      <c r="Y78" s="378">
        <f t="shared" si="140"/>
        <v>10827020</v>
      </c>
      <c r="Z78" s="378">
        <f t="shared" si="140"/>
        <v>10482235</v>
      </c>
      <c r="AA78" s="378">
        <f t="shared" si="140"/>
        <v>9808497</v>
      </c>
      <c r="AB78" s="378">
        <f t="shared" si="140"/>
        <v>6872452</v>
      </c>
      <c r="AC78" s="378">
        <f t="shared" si="140"/>
        <v>4731368</v>
      </c>
      <c r="AD78" s="378">
        <f t="shared" ref="AD78:AI78" si="141">SUM(AD73:AD77)</f>
        <v>2074620</v>
      </c>
      <c r="AE78" s="378">
        <f t="shared" si="141"/>
        <v>1600089</v>
      </c>
      <c r="AF78" s="378">
        <f t="shared" si="141"/>
        <v>1842256</v>
      </c>
      <c r="AG78" s="378">
        <f t="shared" si="141"/>
        <v>1658965</v>
      </c>
      <c r="AH78" s="378">
        <f t="shared" si="141"/>
        <v>1828221</v>
      </c>
      <c r="AI78" s="378">
        <f t="shared" si="141"/>
        <v>3596064</v>
      </c>
      <c r="AJ78" s="378">
        <f>SUM(AJ73:AJ77)</f>
        <v>7115739</v>
      </c>
      <c r="AK78" s="378">
        <f>SUM(AK73:AK77)</f>
        <v>9958124</v>
      </c>
      <c r="AL78" s="378">
        <f>SUM(AL73:AL77)</f>
        <v>11557348</v>
      </c>
      <c r="AM78" s="378">
        <f>SUM(AM73:AM77)</f>
        <v>9081469</v>
      </c>
      <c r="AN78" s="378">
        <f>SUM(AN73:AN77)</f>
        <v>7622143</v>
      </c>
      <c r="AO78" s="378">
        <f t="shared" ref="AO78:AT78" si="142">SUM(AO73:AO77)</f>
        <v>4260069</v>
      </c>
      <c r="AP78" s="378">
        <f t="shared" si="142"/>
        <v>2478198</v>
      </c>
      <c r="AQ78" s="378">
        <f t="shared" si="142"/>
        <v>1671913</v>
      </c>
      <c r="AR78" s="378">
        <f t="shared" si="142"/>
        <v>1623116</v>
      </c>
      <c r="AS78" s="378">
        <f t="shared" si="142"/>
        <v>1694644</v>
      </c>
      <c r="AT78" s="378">
        <f t="shared" si="142"/>
        <v>2339167</v>
      </c>
      <c r="AU78" s="378">
        <f t="shared" ref="AU78:BB78" si="143">SUM(AU73:AU77)</f>
        <v>3042468</v>
      </c>
      <c r="AV78" s="378">
        <f t="shared" si="143"/>
        <v>6849060</v>
      </c>
      <c r="AW78" s="460">
        <f t="shared" si="143"/>
        <v>9455677</v>
      </c>
      <c r="AX78" s="394">
        <f t="shared" si="143"/>
        <v>9293994</v>
      </c>
      <c r="AY78" s="395">
        <f t="shared" si="143"/>
        <v>8919389</v>
      </c>
      <c r="AZ78" s="394">
        <f t="shared" si="143"/>
        <v>6720707</v>
      </c>
      <c r="BA78" s="394">
        <f t="shared" si="143"/>
        <v>3357732</v>
      </c>
      <c r="BB78" s="394">
        <f t="shared" si="143"/>
        <v>2759873</v>
      </c>
      <c r="BC78" s="394">
        <f>SUM(BC73:BC77)</f>
        <v>1931695</v>
      </c>
      <c r="BD78" s="394">
        <f>SUM(BD73:BD77)</f>
        <v>677787</v>
      </c>
      <c r="BE78" s="394">
        <f>SUM(BE73:BE77)</f>
        <v>1754998</v>
      </c>
      <c r="BF78" s="394">
        <f>SUM(BF73:BF77)</f>
        <v>2158694</v>
      </c>
      <c r="BG78" s="278"/>
      <c r="BH78" s="391"/>
      <c r="BI78" s="460">
        <f t="shared" si="132"/>
        <v>-502447</v>
      </c>
      <c r="BJ78" s="394">
        <f t="shared" si="133"/>
        <v>-2263354</v>
      </c>
      <c r="BK78" s="394">
        <f t="shared" si="134"/>
        <v>-162080</v>
      </c>
      <c r="BL78" s="394">
        <f t="shared" si="135"/>
        <v>-901436</v>
      </c>
      <c r="BM78" s="394">
        <f t="shared" si="135"/>
        <v>-902337</v>
      </c>
      <c r="BN78" s="394">
        <f t="shared" si="135"/>
        <v>281675</v>
      </c>
      <c r="BO78" s="394">
        <f t="shared" si="135"/>
        <v>259782</v>
      </c>
      <c r="BP78" s="394">
        <f t="shared" si="136"/>
        <v>-945329</v>
      </c>
      <c r="BQ78" s="394">
        <f t="shared" si="137"/>
        <v>60354</v>
      </c>
      <c r="BR78" s="394">
        <f t="shared" si="138"/>
        <v>-180473</v>
      </c>
      <c r="BS78" s="278"/>
      <c r="BT78" s="391"/>
    </row>
    <row r="79" spans="1:72" x14ac:dyDescent="0.25">
      <c r="A79" s="341">
        <f>+A72+1</f>
        <v>11</v>
      </c>
      <c r="B79" s="397" t="s">
        <v>33</v>
      </c>
      <c r="C79" s="431"/>
      <c r="D79" s="361"/>
      <c r="E79" s="361"/>
      <c r="F79" s="361"/>
      <c r="G79" s="361"/>
      <c r="H79" s="361"/>
      <c r="I79" s="361"/>
      <c r="J79" s="361"/>
      <c r="K79" s="361"/>
      <c r="L79" s="365"/>
      <c r="M79" s="431"/>
      <c r="N79" s="361"/>
      <c r="O79" s="361"/>
      <c r="P79" s="361"/>
      <c r="Q79" s="361"/>
      <c r="R79" s="361"/>
      <c r="S79" s="361"/>
      <c r="T79" s="361"/>
      <c r="U79" s="361"/>
      <c r="V79" s="361"/>
      <c r="W79" s="361"/>
      <c r="X79" s="365"/>
      <c r="Y79" s="361"/>
      <c r="Z79" s="361"/>
      <c r="AA79" s="361"/>
      <c r="AB79" s="361"/>
      <c r="AC79" s="361"/>
      <c r="AD79" s="361"/>
      <c r="AE79" s="361"/>
      <c r="AF79" s="361"/>
      <c r="AG79" s="361"/>
      <c r="AH79" s="361"/>
      <c r="AI79" s="361"/>
      <c r="AJ79" s="361"/>
      <c r="AK79" s="361"/>
      <c r="AL79" s="361"/>
      <c r="AM79" s="361"/>
      <c r="AN79" s="361"/>
      <c r="AO79" s="361"/>
      <c r="AP79" s="361"/>
      <c r="AQ79" s="361"/>
      <c r="AR79" s="361"/>
      <c r="AS79" s="361"/>
      <c r="AT79" s="361"/>
      <c r="AU79" s="361"/>
      <c r="AV79" s="361"/>
      <c r="AW79" s="465"/>
      <c r="AX79" s="278"/>
      <c r="AY79" s="278"/>
      <c r="AZ79" s="278"/>
      <c r="BA79" s="278"/>
      <c r="BB79" s="278"/>
      <c r="BC79" s="278"/>
      <c r="BD79" s="278"/>
      <c r="BE79" s="278"/>
      <c r="BF79" s="278"/>
      <c r="BG79" s="278"/>
      <c r="BH79" s="391"/>
      <c r="BI79" s="465"/>
      <c r="BJ79" s="278"/>
      <c r="BK79" s="278"/>
      <c r="BL79" s="278"/>
      <c r="BM79" s="278"/>
      <c r="BN79" s="278"/>
      <c r="BO79" s="278"/>
      <c r="BP79" s="278"/>
      <c r="BQ79" s="278"/>
      <c r="BR79" s="278"/>
      <c r="BS79" s="278"/>
      <c r="BT79" s="391"/>
    </row>
    <row r="80" spans="1:72" x14ac:dyDescent="0.25">
      <c r="A80" s="341"/>
      <c r="B80" s="390" t="s">
        <v>35</v>
      </c>
      <c r="C80" s="432">
        <v>7320652</v>
      </c>
      <c r="D80" s="108">
        <v>5383472</v>
      </c>
      <c r="E80" s="108">
        <v>2835928</v>
      </c>
      <c r="F80" s="108">
        <v>1635234</v>
      </c>
      <c r="G80" s="108">
        <v>1190977</v>
      </c>
      <c r="H80" s="108">
        <v>1073742</v>
      </c>
      <c r="I80" s="108">
        <v>1093327</v>
      </c>
      <c r="J80" s="108">
        <v>1204853</v>
      </c>
      <c r="K80" s="108">
        <v>2832598</v>
      </c>
      <c r="L80" s="364">
        <v>6007193</v>
      </c>
      <c r="M80" s="432">
        <v>7862432</v>
      </c>
      <c r="N80" s="108">
        <v>6861669</v>
      </c>
      <c r="O80" s="108">
        <v>6223104</v>
      </c>
      <c r="P80" s="108">
        <f>80207+5036727+4831+14829</f>
        <v>5136594</v>
      </c>
      <c r="Q80" s="108">
        <f>71392+3880725+4955+12980</f>
        <v>3970052</v>
      </c>
      <c r="R80" s="108">
        <f>54505+1517335+2383+7644</f>
        <v>1581867</v>
      </c>
      <c r="S80" s="108">
        <f>49697+1137411+1828+6045</f>
        <v>1194981</v>
      </c>
      <c r="T80" s="108">
        <f>48710+1110162+1871+6023</f>
        <v>1166766</v>
      </c>
      <c r="U80" s="108">
        <v>1163542.1200000001</v>
      </c>
      <c r="V80" s="108">
        <f>53526+1317258+2240+7230</f>
        <v>1380254</v>
      </c>
      <c r="W80" s="108">
        <f>62853+2498204+3044+11188</f>
        <v>2575289</v>
      </c>
      <c r="X80" s="364">
        <f>76500+5039403+4910+17384</f>
        <v>5138197</v>
      </c>
      <c r="Y80" s="108">
        <f>93322+8213360+8442+24284</f>
        <v>8339408</v>
      </c>
      <c r="Z80" s="108">
        <f>81959+7821609+7508+22707</f>
        <v>7933783</v>
      </c>
      <c r="AA80" s="108">
        <f>81592+7315449+7630+21043</f>
        <v>7425714</v>
      </c>
      <c r="AB80" s="108">
        <f>76481+5198177+5754+15627</f>
        <v>5296039</v>
      </c>
      <c r="AC80" s="422">
        <v>3161210</v>
      </c>
      <c r="AD80" s="422">
        <f>40518.67+11861.49+5697.79+853660.89+514075.54+248945.11+5747.97+4153.08</f>
        <v>1684660.5399999998</v>
      </c>
      <c r="AE80" s="422">
        <f>50490+1203464+7245</f>
        <v>1261199</v>
      </c>
      <c r="AF80" s="422">
        <f>52887+1237458+8439</f>
        <v>1298784</v>
      </c>
      <c r="AG80" s="422">
        <f>50885+1174204</f>
        <v>1225089</v>
      </c>
      <c r="AH80" s="422">
        <f>53324+1228832+8800</f>
        <v>1290956</v>
      </c>
      <c r="AI80" s="422">
        <f>71014+2721482+15551</f>
        <v>2808047</v>
      </c>
      <c r="AJ80" s="422">
        <f>98219+7247114+27994</f>
        <v>7373327</v>
      </c>
      <c r="AK80" s="422">
        <f>115880+10229870+36648</f>
        <v>10382398</v>
      </c>
      <c r="AL80" s="378">
        <f>117571+11729595+40854</f>
        <v>11888020</v>
      </c>
      <c r="AM80" s="422">
        <f>107755+9320249+30278</f>
        <v>9458282</v>
      </c>
      <c r="AN80" s="422">
        <f>116051+7993752+29739</f>
        <v>8139542</v>
      </c>
      <c r="AO80" s="422">
        <f>79900+3939595+16887</f>
        <v>4036382</v>
      </c>
      <c r="AP80" s="422">
        <f>SUM(72043,2146103,10919)</f>
        <v>2229065</v>
      </c>
      <c r="AQ80" s="422">
        <f>77264+2088544+9787</f>
        <v>2175595</v>
      </c>
      <c r="AR80" s="422">
        <f>61750+1582977+8242</f>
        <v>1652969</v>
      </c>
      <c r="AS80" s="422">
        <f>68114+1698150+9510</f>
        <v>1775774</v>
      </c>
      <c r="AT80" s="422">
        <f>72081+1990296+11830</f>
        <v>2074207</v>
      </c>
      <c r="AU80" s="422">
        <f>82615+3088166+15902</f>
        <v>3186683</v>
      </c>
      <c r="AV80" s="422">
        <f>113930+7538515+28252</f>
        <v>7680697</v>
      </c>
      <c r="AW80" s="463">
        <f>134225+10606248+37695</f>
        <v>10778168</v>
      </c>
      <c r="AX80" s="398">
        <f>130820+10042215+37354</f>
        <v>10210389</v>
      </c>
      <c r="AY80" s="398">
        <f>119000+9178250+35154</f>
        <v>9332404</v>
      </c>
      <c r="AZ80" s="398">
        <f>SUM(107041+6994204+28678)</f>
        <v>7129923</v>
      </c>
      <c r="BA80" s="577">
        <v>3099646</v>
      </c>
      <c r="BB80" s="577">
        <f>SUM(13651+59113+1704758)</f>
        <v>1777522</v>
      </c>
      <c r="BC80" s="580">
        <f>SUM(53820+1333009+12001)</f>
        <v>1398830</v>
      </c>
      <c r="BD80" s="398">
        <f>(46302+1085881+8916)</f>
        <v>1141099</v>
      </c>
      <c r="BE80" s="398">
        <f>52091+1225711+10451</f>
        <v>1288253</v>
      </c>
      <c r="BF80" s="398">
        <f>61102+1288175+11779</f>
        <v>1361056</v>
      </c>
      <c r="BG80" s="278"/>
      <c r="BH80" s="391"/>
      <c r="BI80" s="463">
        <f t="shared" ref="BI80:BI85" si="144">AW80-AK80</f>
        <v>395770</v>
      </c>
      <c r="BJ80" s="398">
        <f t="shared" ref="BJ80:BJ85" si="145">AX80-AL80</f>
        <v>-1677631</v>
      </c>
      <c r="BK80" s="398">
        <f t="shared" ref="BK80:BK85" si="146">AY80-AM80</f>
        <v>-125878</v>
      </c>
      <c r="BL80" s="398">
        <f t="shared" ref="BL80:BO85" si="147">AZ80-AN80</f>
        <v>-1009619</v>
      </c>
      <c r="BM80" s="398">
        <f t="shared" si="147"/>
        <v>-936736</v>
      </c>
      <c r="BN80" s="398">
        <f t="shared" si="147"/>
        <v>-451543</v>
      </c>
      <c r="BO80" s="398">
        <f t="shared" si="147"/>
        <v>-776765</v>
      </c>
      <c r="BP80" s="398">
        <f t="shared" ref="BP80:BP85" si="148">BD80-AR80</f>
        <v>-511870</v>
      </c>
      <c r="BQ80" s="398">
        <f t="shared" ref="BQ80:BQ85" si="149">BE80-AS80</f>
        <v>-487521</v>
      </c>
      <c r="BR80" s="398">
        <f t="shared" ref="BR80:BR85" si="150">BF80-AT80</f>
        <v>-713151</v>
      </c>
      <c r="BS80" s="278"/>
      <c r="BT80" s="391"/>
    </row>
    <row r="81" spans="1:72" x14ac:dyDescent="0.25">
      <c r="A81" s="341"/>
      <c r="B81" s="390" t="s">
        <v>36</v>
      </c>
      <c r="C81" s="432">
        <v>1333487</v>
      </c>
      <c r="D81" s="108">
        <v>958085</v>
      </c>
      <c r="E81" s="108">
        <v>508395</v>
      </c>
      <c r="F81" s="108">
        <v>288279</v>
      </c>
      <c r="G81" s="108">
        <v>199067</v>
      </c>
      <c r="H81" s="108">
        <v>185727</v>
      </c>
      <c r="I81" s="108">
        <v>191423</v>
      </c>
      <c r="J81" s="108">
        <v>225239</v>
      </c>
      <c r="K81" s="108">
        <v>582954</v>
      </c>
      <c r="L81" s="364">
        <v>1116062</v>
      </c>
      <c r="M81" s="432">
        <v>1429370</v>
      </c>
      <c r="N81" s="108">
        <v>1214330</v>
      </c>
      <c r="O81" s="108">
        <v>1133263</v>
      </c>
      <c r="P81" s="108">
        <f>8015+941488</f>
        <v>949503</v>
      </c>
      <c r="Q81" s="108">
        <f>7334+683105</f>
        <v>690439</v>
      </c>
      <c r="R81" s="108">
        <f>5430+262146</f>
        <v>267576</v>
      </c>
      <c r="S81" s="108">
        <f>4639+186405</f>
        <v>191044</v>
      </c>
      <c r="T81" s="108">
        <f>4777+191744</f>
        <v>196521</v>
      </c>
      <c r="U81" s="108">
        <v>195920.27</v>
      </c>
      <c r="V81" s="108">
        <f>5440+240660</f>
        <v>246100</v>
      </c>
      <c r="W81" s="108">
        <f>6989+498118</f>
        <v>505107</v>
      </c>
      <c r="X81" s="364">
        <f>8625+979285</f>
        <v>987910</v>
      </c>
      <c r="Y81" s="108">
        <f>10311+1433805</f>
        <v>1444116</v>
      </c>
      <c r="Z81" s="108">
        <f>9943+1385803</f>
        <v>1395746</v>
      </c>
      <c r="AA81" s="108">
        <f>9079+1250446</f>
        <v>1259525</v>
      </c>
      <c r="AB81" s="108">
        <f>8145+838392</f>
        <v>846537</v>
      </c>
      <c r="AC81" s="422">
        <v>564271</v>
      </c>
      <c r="AD81" s="422">
        <f>2294.42+1043.22+505.87+95427.94+100162.09+48268.47</f>
        <v>247702.00999999998</v>
      </c>
      <c r="AE81" s="422">
        <f>2942+166178</f>
        <v>169120</v>
      </c>
      <c r="AF81" s="422">
        <f>4849+234225</f>
        <v>239074</v>
      </c>
      <c r="AG81" s="422">
        <f>4445+207784</f>
        <v>212229</v>
      </c>
      <c r="AH81" s="422">
        <f>4178+225000</f>
        <v>229178</v>
      </c>
      <c r="AI81" s="422">
        <f>6174+601119</f>
        <v>607293</v>
      </c>
      <c r="AJ81" s="422">
        <f>8667+1342458</f>
        <v>1351125</v>
      </c>
      <c r="AK81" s="422">
        <f>8551+1863976</f>
        <v>1872527</v>
      </c>
      <c r="AL81" s="362">
        <f>9541+2097433</f>
        <v>2106974</v>
      </c>
      <c r="AM81" s="422">
        <f>8886+1680584</f>
        <v>1689470</v>
      </c>
      <c r="AN81" s="422">
        <f>12175+1622311</f>
        <v>1634486</v>
      </c>
      <c r="AO81" s="422">
        <f>7932+769701</f>
        <v>777633</v>
      </c>
      <c r="AP81" s="422">
        <f>SUM(7060,385923)</f>
        <v>392983</v>
      </c>
      <c r="AQ81" s="422">
        <f>7169+394329</f>
        <v>401498</v>
      </c>
      <c r="AR81" s="422">
        <f>5449+291696</f>
        <v>297145</v>
      </c>
      <c r="AS81" s="422">
        <f>7261+357486</f>
        <v>364747</v>
      </c>
      <c r="AT81" s="422">
        <f>6766+419512</f>
        <v>426278</v>
      </c>
      <c r="AU81" s="422">
        <f>7352+670960</f>
        <v>678312</v>
      </c>
      <c r="AV81" s="422">
        <f>10085+1505402</f>
        <v>1515487</v>
      </c>
      <c r="AW81" s="463">
        <f>14038+2226017</f>
        <v>2240055</v>
      </c>
      <c r="AX81" s="398">
        <f>12185+2050169</f>
        <v>2062354</v>
      </c>
      <c r="AY81" s="398">
        <f>12105+1879530</f>
        <v>1891635</v>
      </c>
      <c r="AZ81" s="398">
        <f>SUM(13768+1497640)</f>
        <v>1511408</v>
      </c>
      <c r="BA81" s="577">
        <v>670096</v>
      </c>
      <c r="BB81" s="577">
        <f>SUM(7358+330311)</f>
        <v>337669</v>
      </c>
      <c r="BC81" s="580">
        <f>SUM(6688+272928)</f>
        <v>279616</v>
      </c>
      <c r="BD81" s="398">
        <f>(6445+221841)</f>
        <v>228286</v>
      </c>
      <c r="BE81" s="398">
        <f>6710+271871</f>
        <v>278581</v>
      </c>
      <c r="BF81" s="398">
        <f>6977+293677</f>
        <v>300654</v>
      </c>
      <c r="BG81" s="278"/>
      <c r="BH81" s="391"/>
      <c r="BI81" s="463">
        <f t="shared" si="144"/>
        <v>367528</v>
      </c>
      <c r="BJ81" s="398">
        <f t="shared" si="145"/>
        <v>-44620</v>
      </c>
      <c r="BK81" s="398">
        <f t="shared" si="146"/>
        <v>202165</v>
      </c>
      <c r="BL81" s="398">
        <f t="shared" si="147"/>
        <v>-123078</v>
      </c>
      <c r="BM81" s="398">
        <f t="shared" si="147"/>
        <v>-107537</v>
      </c>
      <c r="BN81" s="398">
        <f t="shared" si="147"/>
        <v>-55314</v>
      </c>
      <c r="BO81" s="398">
        <f t="shared" si="147"/>
        <v>-121882</v>
      </c>
      <c r="BP81" s="398">
        <f t="shared" si="148"/>
        <v>-68859</v>
      </c>
      <c r="BQ81" s="398">
        <f t="shared" si="149"/>
        <v>-86166</v>
      </c>
      <c r="BR81" s="398">
        <f t="shared" si="150"/>
        <v>-125624</v>
      </c>
      <c r="BS81" s="278"/>
      <c r="BT81" s="391"/>
    </row>
    <row r="82" spans="1:72" x14ac:dyDescent="0.25">
      <c r="A82" s="341"/>
      <c r="B82" s="390" t="s">
        <v>37</v>
      </c>
      <c r="C82" s="432">
        <v>1375645</v>
      </c>
      <c r="D82" s="108">
        <v>923452</v>
      </c>
      <c r="E82" s="108">
        <v>464298</v>
      </c>
      <c r="F82" s="108">
        <v>262485</v>
      </c>
      <c r="G82" s="108">
        <v>183929</v>
      </c>
      <c r="H82" s="108">
        <v>161920</v>
      </c>
      <c r="I82" s="108">
        <v>174763</v>
      </c>
      <c r="J82" s="108">
        <v>203931</v>
      </c>
      <c r="K82" s="108">
        <v>442864</v>
      </c>
      <c r="L82" s="364">
        <v>1061728</v>
      </c>
      <c r="M82" s="432">
        <v>1471763</v>
      </c>
      <c r="N82" s="108">
        <v>1247966</v>
      </c>
      <c r="O82" s="108">
        <v>1100675</v>
      </c>
      <c r="P82" s="108">
        <f>682855+110187+41988+6360</f>
        <v>841390</v>
      </c>
      <c r="Q82" s="108">
        <f>434178+85533+34438+6329</f>
        <v>560478</v>
      </c>
      <c r="R82" s="108">
        <f>125956+51392+14156+4263</f>
        <v>195767</v>
      </c>
      <c r="S82" s="108">
        <f>107355+50009+9295+3687</f>
        <v>170346</v>
      </c>
      <c r="T82" s="108">
        <f>111049+53746+9623+3277</f>
        <v>177695</v>
      </c>
      <c r="U82" s="108">
        <v>144707.44</v>
      </c>
      <c r="V82" s="108">
        <f>122346+59566+14559+4388</f>
        <v>200859</v>
      </c>
      <c r="W82" s="108">
        <f>275228+78966+25972+6085</f>
        <v>386251</v>
      </c>
      <c r="X82" s="364">
        <f>652774+116589+51715+8403</f>
        <v>829481</v>
      </c>
      <c r="Y82" s="108">
        <f>1212268+176007+83451+12327</f>
        <v>1484053</v>
      </c>
      <c r="Z82" s="108">
        <f>1207448+167084+84662+10621</f>
        <v>1469815</v>
      </c>
      <c r="AA82" s="108">
        <f>1097889+149486+75864+10438</f>
        <v>1333677</v>
      </c>
      <c r="AB82" s="108">
        <f>673883+136876+53712+9062</f>
        <v>873533</v>
      </c>
      <c r="AC82" s="422">
        <v>492665</v>
      </c>
      <c r="AD82" s="422">
        <v>239363</v>
      </c>
      <c r="AE82" s="422">
        <f>109826+58079+13211+3935</f>
        <v>185051</v>
      </c>
      <c r="AF82" s="422">
        <f>109356+70402+9428+4329</f>
        <v>193515</v>
      </c>
      <c r="AG82" s="422">
        <f>133037+67232</f>
        <v>200269</v>
      </c>
      <c r="AH82" s="422">
        <f>116986+67108+13947+4660</f>
        <v>202701</v>
      </c>
      <c r="AI82" s="422">
        <f>294543+108274+28650+7431</f>
        <v>438898</v>
      </c>
      <c r="AJ82" s="422">
        <f>933457+175403+56307+10564</f>
        <v>1175731</v>
      </c>
      <c r="AK82" s="422">
        <f>1513953+209998+84173+14324</f>
        <v>1822448</v>
      </c>
      <c r="AL82" s="378">
        <f>1863582+227854+92306+13720</f>
        <v>2197462</v>
      </c>
      <c r="AM82" s="422">
        <f>1487967+201062+65317+11605</f>
        <v>1765951</v>
      </c>
      <c r="AN82" s="422">
        <f>1108862+204662+60567+13639</f>
        <v>1387730</v>
      </c>
      <c r="AO82" s="422">
        <f>460239+138468+30106+6234</f>
        <v>635047</v>
      </c>
      <c r="AP82" s="422">
        <f>SUM(243800,114659,16315,6720)</f>
        <v>381494</v>
      </c>
      <c r="AQ82" s="422">
        <f>170370+145657+14079+4067</f>
        <v>334173</v>
      </c>
      <c r="AR82" s="422">
        <f>82828+105498+11222+4908</f>
        <v>204456</v>
      </c>
      <c r="AS82" s="422">
        <f>139654+124567+11817+8560</f>
        <v>284598</v>
      </c>
      <c r="AT82" s="422">
        <f>228582+122531+16950+4594</f>
        <v>372657</v>
      </c>
      <c r="AU82" s="422">
        <f>342060+138943+25910+7951</f>
        <v>514864</v>
      </c>
      <c r="AV82" s="422">
        <f>990217+192246+56087+24406</f>
        <v>1262956</v>
      </c>
      <c r="AW82" s="463">
        <f>1576858+227806+79139+16669</f>
        <v>1900472</v>
      </c>
      <c r="AX82" s="398">
        <f>1590420+220998+83308+17003</f>
        <v>1911729</v>
      </c>
      <c r="AY82" s="398">
        <f>1382750+198857+75141+18258</f>
        <v>1675006</v>
      </c>
      <c r="AZ82" s="398">
        <f>SUM(1022914+185270+55952+14205)</f>
        <v>1278341</v>
      </c>
      <c r="BA82" s="577">
        <v>512298</v>
      </c>
      <c r="BB82" s="577">
        <f>SUM(166309+65428+19611+9196)</f>
        <v>260544</v>
      </c>
      <c r="BC82" s="580">
        <f>SUM(134888+62174+13563+6598)</f>
        <v>217223</v>
      </c>
      <c r="BD82" s="398">
        <f>(114424+49318+9897+4482)</f>
        <v>178121</v>
      </c>
      <c r="BE82" s="398">
        <f>109281+60476+14056+6000</f>
        <v>189813</v>
      </c>
      <c r="BF82" s="398">
        <f>119436+56186+15456+6943</f>
        <v>198021</v>
      </c>
      <c r="BG82" s="278"/>
      <c r="BH82" s="391"/>
      <c r="BI82" s="463">
        <f t="shared" si="144"/>
        <v>78024</v>
      </c>
      <c r="BJ82" s="398">
        <f t="shared" si="145"/>
        <v>-285733</v>
      </c>
      <c r="BK82" s="398">
        <f t="shared" si="146"/>
        <v>-90945</v>
      </c>
      <c r="BL82" s="398">
        <f t="shared" si="147"/>
        <v>-109389</v>
      </c>
      <c r="BM82" s="398">
        <f t="shared" si="147"/>
        <v>-122749</v>
      </c>
      <c r="BN82" s="398">
        <f t="shared" si="147"/>
        <v>-120950</v>
      </c>
      <c r="BO82" s="398">
        <f t="shared" si="147"/>
        <v>-116950</v>
      </c>
      <c r="BP82" s="398">
        <f t="shared" si="148"/>
        <v>-26335</v>
      </c>
      <c r="BQ82" s="398">
        <f t="shared" si="149"/>
        <v>-94785</v>
      </c>
      <c r="BR82" s="398">
        <f t="shared" si="150"/>
        <v>-174636</v>
      </c>
      <c r="BS82" s="278"/>
      <c r="BT82" s="391"/>
    </row>
    <row r="83" spans="1:72" x14ac:dyDescent="0.25">
      <c r="A83" s="341"/>
      <c r="B83" s="390" t="s">
        <v>38</v>
      </c>
      <c r="C83" s="432">
        <v>1666953</v>
      </c>
      <c r="D83" s="108">
        <v>1501755</v>
      </c>
      <c r="E83" s="108">
        <v>726742</v>
      </c>
      <c r="F83" s="108">
        <v>-52742</v>
      </c>
      <c r="G83" s="108">
        <v>186325</v>
      </c>
      <c r="H83" s="108">
        <v>169635</v>
      </c>
      <c r="I83" s="108">
        <v>207469</v>
      </c>
      <c r="J83" s="108">
        <v>242404</v>
      </c>
      <c r="K83" s="108">
        <v>626174</v>
      </c>
      <c r="L83" s="364">
        <v>1231489</v>
      </c>
      <c r="M83" s="432">
        <v>1713085</v>
      </c>
      <c r="N83" s="108">
        <v>1512733</v>
      </c>
      <c r="O83" s="108">
        <v>1355241</v>
      </c>
      <c r="P83" s="108">
        <f>597439+143085+288361+76303</f>
        <v>1105188</v>
      </c>
      <c r="Q83" s="108">
        <f>385529+104745+208367+63659</f>
        <v>762300</v>
      </c>
      <c r="R83" s="108">
        <f>92999+61289+56147+38909</f>
        <v>249344</v>
      </c>
      <c r="S83" s="108">
        <f>31184+62380+62201+29845</f>
        <v>185610</v>
      </c>
      <c r="T83" s="108">
        <f>32927+71177+43916+31766</f>
        <v>179786</v>
      </c>
      <c r="U83" s="108">
        <v>130804.54</v>
      </c>
      <c r="V83" s="108">
        <f>59151+80752+76514+47331</f>
        <v>263748</v>
      </c>
      <c r="W83" s="108">
        <f>191971+117843+166442+60902</f>
        <v>537158</v>
      </c>
      <c r="X83" s="364">
        <f>504457+175100+305773+83493</f>
        <v>1068823</v>
      </c>
      <c r="Y83" s="108">
        <f>923302+253619+536663+137901</f>
        <v>1851485</v>
      </c>
      <c r="Z83" s="108">
        <f>842890+210783+488628+123314</f>
        <v>1665615</v>
      </c>
      <c r="AA83" s="108">
        <f>815122+220332+471433+121351</f>
        <v>1628238</v>
      </c>
      <c r="AB83" s="108">
        <f>537714+200004+364274+112556</f>
        <v>1214548</v>
      </c>
      <c r="AC83" s="422">
        <v>696013</v>
      </c>
      <c r="AD83" s="422">
        <f>82369.35+88720.62+103733.33+57211.11</f>
        <v>332034.40999999997</v>
      </c>
      <c r="AE83" s="422">
        <f>64963+73916+45633+40702</f>
        <v>225214</v>
      </c>
      <c r="AF83" s="422">
        <f>28764+104445+54954+33916</f>
        <v>222079</v>
      </c>
      <c r="AG83" s="422">
        <f>43211+82329</f>
        <v>125540</v>
      </c>
      <c r="AH83" s="422">
        <f>2540+95415+61442+49533</f>
        <v>208930</v>
      </c>
      <c r="AI83" s="422">
        <f>286061+172404+171554+65014</f>
        <v>695033</v>
      </c>
      <c r="AJ83" s="422">
        <f>822293+252920+354503+114295</f>
        <v>1544011</v>
      </c>
      <c r="AK83" s="422">
        <f>1054679+308672+526518+132432</f>
        <v>2022301</v>
      </c>
      <c r="AL83" s="378">
        <f>1391958+334861+571477+134540</f>
        <v>2432836</v>
      </c>
      <c r="AM83" s="422">
        <f>1104943+309007+490898+118743</f>
        <v>2023591</v>
      </c>
      <c r="AN83" s="422">
        <f>985094+374645+423473+118238</f>
        <v>1901450</v>
      </c>
      <c r="AO83" s="422">
        <f>507062+222711+203217+72282</f>
        <v>1005272</v>
      </c>
      <c r="AP83" s="422">
        <f>SUM(133468,179896,132875,54740)</f>
        <v>500979</v>
      </c>
      <c r="AQ83" s="422">
        <f>92208+183397+44557+44584</f>
        <v>364746</v>
      </c>
      <c r="AR83" s="422">
        <f>72778+218700+38545+40035</f>
        <v>370058</v>
      </c>
      <c r="AS83" s="422">
        <f>79740+200897+42985+45518</f>
        <v>369140</v>
      </c>
      <c r="AT83" s="422">
        <f>146513+192801+89160+50957</f>
        <v>479431</v>
      </c>
      <c r="AU83" s="422">
        <f>269869+214628+165934+60341</f>
        <v>710772</v>
      </c>
      <c r="AV83" s="422">
        <f>815632+298813+368004+97730</f>
        <v>1580179</v>
      </c>
      <c r="AW83" s="463">
        <f>1189046+330438+500596+128095</f>
        <v>2148175</v>
      </c>
      <c r="AX83" s="398">
        <f>1217621+315037+502840+121702</f>
        <v>2157200</v>
      </c>
      <c r="AY83" s="398">
        <f>1009393+308059+491367+116995</f>
        <v>1925814</v>
      </c>
      <c r="AZ83" s="398">
        <f>SUM(804099+259551+371929+93290)</f>
        <v>1528869</v>
      </c>
      <c r="BA83" s="577">
        <v>570772</v>
      </c>
      <c r="BB83" s="577">
        <f>SUM(88284+91844+132062+74702)</f>
        <v>386892</v>
      </c>
      <c r="BC83" s="580">
        <f>SUM(17921+80118+68382+49596)</f>
        <v>216017</v>
      </c>
      <c r="BD83" s="398">
        <f>(32908+74940+41597+38834)</f>
        <v>188279</v>
      </c>
      <c r="BE83" s="398">
        <f>38779+83398+53774+51756</f>
        <v>227707</v>
      </c>
      <c r="BF83" s="398">
        <f>73210+56344+78628+47374</f>
        <v>255556</v>
      </c>
      <c r="BG83" s="278"/>
      <c r="BH83" s="391"/>
      <c r="BI83" s="463">
        <f t="shared" si="144"/>
        <v>125874</v>
      </c>
      <c r="BJ83" s="398">
        <f t="shared" si="145"/>
        <v>-275636</v>
      </c>
      <c r="BK83" s="398">
        <f t="shared" si="146"/>
        <v>-97777</v>
      </c>
      <c r="BL83" s="398">
        <f t="shared" si="147"/>
        <v>-372581</v>
      </c>
      <c r="BM83" s="398">
        <f t="shared" si="147"/>
        <v>-434500</v>
      </c>
      <c r="BN83" s="398">
        <f t="shared" si="147"/>
        <v>-114087</v>
      </c>
      <c r="BO83" s="398">
        <f t="shared" si="147"/>
        <v>-148729</v>
      </c>
      <c r="BP83" s="398">
        <f t="shared" si="148"/>
        <v>-181779</v>
      </c>
      <c r="BQ83" s="398">
        <f t="shared" si="149"/>
        <v>-141433</v>
      </c>
      <c r="BR83" s="398">
        <f t="shared" si="150"/>
        <v>-223875</v>
      </c>
      <c r="BS83" s="278"/>
      <c r="BT83" s="391"/>
    </row>
    <row r="84" spans="1:72" x14ac:dyDescent="0.25">
      <c r="A84" s="341"/>
      <c r="B84" s="390" t="s">
        <v>39</v>
      </c>
      <c r="C84" s="432">
        <v>409398</v>
      </c>
      <c r="D84" s="108">
        <v>272619</v>
      </c>
      <c r="E84" s="108">
        <v>206669</v>
      </c>
      <c r="F84" s="108">
        <v>170691</v>
      </c>
      <c r="G84" s="108">
        <v>184866</v>
      </c>
      <c r="H84" s="108">
        <v>165594</v>
      </c>
      <c r="I84" s="108">
        <v>138728</v>
      </c>
      <c r="J84" s="108">
        <v>186073</v>
      </c>
      <c r="K84" s="108">
        <v>250238</v>
      </c>
      <c r="L84" s="364">
        <v>315212</v>
      </c>
      <c r="M84" s="432">
        <v>332792</v>
      </c>
      <c r="N84" s="108">
        <v>267787</v>
      </c>
      <c r="O84" s="108">
        <v>289423</v>
      </c>
      <c r="P84" s="108">
        <f>41169+117515+28457+136309</f>
        <v>323450</v>
      </c>
      <c r="Q84" s="108">
        <f>7547+33835+16815+130936</f>
        <v>189133</v>
      </c>
      <c r="R84" s="108">
        <f>2279+57537+8449+113397</f>
        <v>181662</v>
      </c>
      <c r="S84" s="108">
        <f>1855+43977+6207+127758</f>
        <v>179797</v>
      </c>
      <c r="T84" s="108">
        <f>4565+51519-3774+123637</f>
        <v>175947</v>
      </c>
      <c r="U84" s="108">
        <v>191095.52</v>
      </c>
      <c r="V84" s="108">
        <f>2746+33258+10676+142905</f>
        <v>189585</v>
      </c>
      <c r="W84" s="108">
        <f>9178+49349+17008+187781</f>
        <v>263316</v>
      </c>
      <c r="X84" s="364">
        <f>27975+103900+27875+198848</f>
        <v>358598</v>
      </c>
      <c r="Y84" s="108">
        <f>101569+95261+49125+219382</f>
        <v>465337</v>
      </c>
      <c r="Z84" s="108">
        <f>38809+94383+36378+197950</f>
        <v>367520</v>
      </c>
      <c r="AA84" s="108">
        <f>72203+71858+25601+195902</f>
        <v>365564</v>
      </c>
      <c r="AB84" s="108">
        <f>46209+78554+18094+176639</f>
        <v>319496</v>
      </c>
      <c r="AC84" s="422">
        <v>480829</v>
      </c>
      <c r="AD84" s="422">
        <f>11588.77+53320.61+9252.72</f>
        <v>74162.100000000006</v>
      </c>
      <c r="AE84" s="422">
        <f>3578+21320+3020+146418</f>
        <v>174336</v>
      </c>
      <c r="AF84" s="422">
        <f>2771+84727+3589+134951</f>
        <v>226038</v>
      </c>
      <c r="AG84" s="422">
        <f>3412+36042</f>
        <v>39454</v>
      </c>
      <c r="AH84" s="422">
        <f>6746+34031+6367+147351</f>
        <v>194495</v>
      </c>
      <c r="AI84" s="422">
        <f>-2393+161055+7786+155066</f>
        <v>321514</v>
      </c>
      <c r="AJ84" s="422">
        <f>24407+163040+26879+217696</f>
        <v>432022</v>
      </c>
      <c r="AK84" s="422">
        <f>108444+70293+40592+227583</f>
        <v>446912</v>
      </c>
      <c r="AL84" s="378">
        <f>74059+191266+74028+245237</f>
        <v>584590</v>
      </c>
      <c r="AM84" s="422">
        <f>-38989+90717+50369+227554</f>
        <v>329651</v>
      </c>
      <c r="AN84" s="422">
        <f>35554+72185+31175+227074</f>
        <v>365988</v>
      </c>
      <c r="AO84" s="422">
        <f>14430+276988+20970+199979</f>
        <v>512367</v>
      </c>
      <c r="AP84" s="422">
        <f>SUM(5214,149432,10341,168925)</f>
        <v>333912</v>
      </c>
      <c r="AQ84" s="422">
        <f>8192+18588+4065+153169</f>
        <v>184014</v>
      </c>
      <c r="AR84" s="422">
        <f>3826+272270+3828+152215</f>
        <v>432139</v>
      </c>
      <c r="AS84" s="422">
        <f>9896+226869+2039+59225</f>
        <v>298029</v>
      </c>
      <c r="AT84" s="422">
        <f>6306+168231+4065+227590</f>
        <v>406192</v>
      </c>
      <c r="AU84" s="422">
        <f>12487+149157+8591+151492</f>
        <v>321727</v>
      </c>
      <c r="AV84" s="422">
        <f>89000+19897+239296+35903</f>
        <v>384096</v>
      </c>
      <c r="AW84" s="463">
        <f>57523+82229+43147+193621</f>
        <v>376520</v>
      </c>
      <c r="AX84" s="398">
        <f>43481+185743+58225+73289</f>
        <v>360738</v>
      </c>
      <c r="AY84" s="398">
        <f>55958+81023+44423+301918</f>
        <v>483322</v>
      </c>
      <c r="AZ84" s="398">
        <f>SUM(7712+12832+38043+185124)</f>
        <v>243711</v>
      </c>
      <c r="BA84" s="577">
        <v>264568</v>
      </c>
      <c r="BB84" s="577">
        <f>SUM(5847+76541+13597+217663)</f>
        <v>313648</v>
      </c>
      <c r="BC84" s="580">
        <f>SUM(6216+12276+7651+156931)</f>
        <v>183074</v>
      </c>
      <c r="BD84" s="398">
        <f>(4736+9760+31857+109398)</f>
        <v>155751</v>
      </c>
      <c r="BE84" s="398">
        <f>6188+57273+3395+91172</f>
        <v>158028</v>
      </c>
      <c r="BF84" s="398">
        <f>3294+53122+2806+273687</f>
        <v>332909</v>
      </c>
      <c r="BG84" s="278"/>
      <c r="BH84" s="391"/>
      <c r="BI84" s="463">
        <f t="shared" si="144"/>
        <v>-70392</v>
      </c>
      <c r="BJ84" s="398">
        <f t="shared" si="145"/>
        <v>-223852</v>
      </c>
      <c r="BK84" s="398">
        <f t="shared" si="146"/>
        <v>153671</v>
      </c>
      <c r="BL84" s="398">
        <f t="shared" si="147"/>
        <v>-122277</v>
      </c>
      <c r="BM84" s="398">
        <f t="shared" si="147"/>
        <v>-247799</v>
      </c>
      <c r="BN84" s="398">
        <f t="shared" si="147"/>
        <v>-20264</v>
      </c>
      <c r="BO84" s="398">
        <f t="shared" si="147"/>
        <v>-940</v>
      </c>
      <c r="BP84" s="398">
        <f t="shared" si="148"/>
        <v>-276388</v>
      </c>
      <c r="BQ84" s="398">
        <f t="shared" si="149"/>
        <v>-140001</v>
      </c>
      <c r="BR84" s="398">
        <f t="shared" si="150"/>
        <v>-73283</v>
      </c>
      <c r="BS84" s="278"/>
      <c r="BT84" s="391"/>
    </row>
    <row r="85" spans="1:72" x14ac:dyDescent="0.25">
      <c r="A85" s="341"/>
      <c r="B85" s="390" t="s">
        <v>40</v>
      </c>
      <c r="C85" s="432">
        <f>SUM(C80:C84)</f>
        <v>12106135</v>
      </c>
      <c r="D85" s="108">
        <f>SUM(D80:D84)</f>
        <v>9039383</v>
      </c>
      <c r="E85" s="108">
        <f t="shared" ref="E85:T85" si="151">SUM(E80:E84)</f>
        <v>4742032</v>
      </c>
      <c r="F85" s="108">
        <f t="shared" si="151"/>
        <v>2303947</v>
      </c>
      <c r="G85" s="108">
        <f t="shared" si="151"/>
        <v>1945164</v>
      </c>
      <c r="H85" s="108">
        <f t="shared" si="151"/>
        <v>1756618</v>
      </c>
      <c r="I85" s="108">
        <f t="shared" si="151"/>
        <v>1805710</v>
      </c>
      <c r="J85" s="108">
        <f t="shared" si="151"/>
        <v>2062500</v>
      </c>
      <c r="K85" s="108">
        <f t="shared" si="151"/>
        <v>4734828</v>
      </c>
      <c r="L85" s="364">
        <f t="shared" si="151"/>
        <v>9731684</v>
      </c>
      <c r="M85" s="432">
        <f t="shared" si="151"/>
        <v>12809442</v>
      </c>
      <c r="N85" s="108">
        <f t="shared" si="151"/>
        <v>11104485</v>
      </c>
      <c r="O85" s="108">
        <f t="shared" si="151"/>
        <v>10101706</v>
      </c>
      <c r="P85" s="108">
        <f t="shared" si="151"/>
        <v>8356125</v>
      </c>
      <c r="Q85" s="108">
        <f t="shared" si="151"/>
        <v>6172402</v>
      </c>
      <c r="R85" s="108">
        <f t="shared" si="151"/>
        <v>2476216</v>
      </c>
      <c r="S85" s="108">
        <f t="shared" si="151"/>
        <v>1921778</v>
      </c>
      <c r="T85" s="108">
        <f t="shared" si="151"/>
        <v>1896715</v>
      </c>
      <c r="U85" s="108">
        <f t="shared" ref="U85:AC85" si="152">SUM(U80:U84)</f>
        <v>1826069.8900000001</v>
      </c>
      <c r="V85" s="108">
        <f t="shared" si="152"/>
        <v>2280546</v>
      </c>
      <c r="W85" s="108">
        <f t="shared" si="152"/>
        <v>4267121</v>
      </c>
      <c r="X85" s="364">
        <f t="shared" si="152"/>
        <v>8383009</v>
      </c>
      <c r="Y85" s="108">
        <f t="shared" si="152"/>
        <v>13584399</v>
      </c>
      <c r="Z85" s="108">
        <f t="shared" si="152"/>
        <v>12832479</v>
      </c>
      <c r="AA85" s="108">
        <f t="shared" si="152"/>
        <v>12012718</v>
      </c>
      <c r="AB85" s="108">
        <f t="shared" si="152"/>
        <v>8550153</v>
      </c>
      <c r="AC85" s="108">
        <f t="shared" si="152"/>
        <v>5394988</v>
      </c>
      <c r="AD85" s="108">
        <f t="shared" ref="AD85:AI85" si="153">SUM(AD80:AD84)</f>
        <v>2577922.06</v>
      </c>
      <c r="AE85" s="108">
        <f t="shared" si="153"/>
        <v>2014920</v>
      </c>
      <c r="AF85" s="108">
        <f t="shared" si="153"/>
        <v>2179490</v>
      </c>
      <c r="AG85" s="108">
        <f t="shared" si="153"/>
        <v>1802581</v>
      </c>
      <c r="AH85" s="108">
        <f t="shared" si="153"/>
        <v>2126260</v>
      </c>
      <c r="AI85" s="108">
        <f t="shared" si="153"/>
        <v>4870785</v>
      </c>
      <c r="AJ85" s="108">
        <f>SUM(AJ80:AJ84)</f>
        <v>11876216</v>
      </c>
      <c r="AK85" s="108">
        <f>SUM(AK80:AK84)</f>
        <v>16546586</v>
      </c>
      <c r="AL85" s="108">
        <f>SUM(AL80:AL84)</f>
        <v>19209882</v>
      </c>
      <c r="AM85" s="108">
        <f t="shared" ref="AM85:AR85" si="154">SUM(AM80:AM84)</f>
        <v>15266945</v>
      </c>
      <c r="AN85" s="108">
        <f t="shared" si="154"/>
        <v>13429196</v>
      </c>
      <c r="AO85" s="108">
        <f t="shared" si="154"/>
        <v>6966701</v>
      </c>
      <c r="AP85" s="108">
        <f t="shared" si="154"/>
        <v>3838433</v>
      </c>
      <c r="AQ85" s="108">
        <f t="shared" si="154"/>
        <v>3460026</v>
      </c>
      <c r="AR85" s="108">
        <f t="shared" si="154"/>
        <v>2956767</v>
      </c>
      <c r="AS85" s="108">
        <f t="shared" ref="AS85:AX85" si="155">SUM(AS80:AS84)</f>
        <v>3092288</v>
      </c>
      <c r="AT85" s="108">
        <f t="shared" si="155"/>
        <v>3758765</v>
      </c>
      <c r="AU85" s="108">
        <f t="shared" si="155"/>
        <v>5412358</v>
      </c>
      <c r="AV85" s="108">
        <f t="shared" si="155"/>
        <v>12423415</v>
      </c>
      <c r="AW85" s="463">
        <f t="shared" si="155"/>
        <v>17443390</v>
      </c>
      <c r="AX85" s="398">
        <f t="shared" si="155"/>
        <v>16702410</v>
      </c>
      <c r="AY85" s="399">
        <f t="shared" ref="AY85:BD85" si="156">SUM(AY80:AY84)</f>
        <v>15308181</v>
      </c>
      <c r="AZ85" s="398">
        <f t="shared" si="156"/>
        <v>11692252</v>
      </c>
      <c r="BA85" s="398">
        <f t="shared" si="156"/>
        <v>5117380</v>
      </c>
      <c r="BB85" s="398">
        <f t="shared" si="156"/>
        <v>3076275</v>
      </c>
      <c r="BC85" s="398">
        <f t="shared" si="156"/>
        <v>2294760</v>
      </c>
      <c r="BD85" s="398">
        <f t="shared" si="156"/>
        <v>1891536</v>
      </c>
      <c r="BE85" s="398">
        <f>SUM(BE80:BE84)</f>
        <v>2142382</v>
      </c>
      <c r="BF85" s="398">
        <f>SUM(BF80:BF84)</f>
        <v>2448196</v>
      </c>
      <c r="BG85" s="278"/>
      <c r="BH85" s="391"/>
      <c r="BI85" s="463">
        <f t="shared" si="144"/>
        <v>896804</v>
      </c>
      <c r="BJ85" s="398">
        <f t="shared" si="145"/>
        <v>-2507472</v>
      </c>
      <c r="BK85" s="398">
        <f t="shared" si="146"/>
        <v>41236</v>
      </c>
      <c r="BL85" s="398">
        <f t="shared" si="147"/>
        <v>-1736944</v>
      </c>
      <c r="BM85" s="398">
        <f t="shared" si="147"/>
        <v>-1849321</v>
      </c>
      <c r="BN85" s="398">
        <f t="shared" si="147"/>
        <v>-762158</v>
      </c>
      <c r="BO85" s="398">
        <f t="shared" si="147"/>
        <v>-1165266</v>
      </c>
      <c r="BP85" s="398">
        <f t="shared" si="148"/>
        <v>-1065231</v>
      </c>
      <c r="BQ85" s="398">
        <f t="shared" si="149"/>
        <v>-949906</v>
      </c>
      <c r="BR85" s="398">
        <f t="shared" si="150"/>
        <v>-1310569</v>
      </c>
      <c r="BS85" s="278"/>
      <c r="BT85" s="391"/>
    </row>
    <row r="86" spans="1:72" x14ac:dyDescent="0.25">
      <c r="A86" s="341">
        <f>+A79+1</f>
        <v>12</v>
      </c>
      <c r="B86" s="397" t="s">
        <v>44</v>
      </c>
      <c r="C86" s="431"/>
      <c r="D86" s="361"/>
      <c r="E86" s="361"/>
      <c r="F86" s="361"/>
      <c r="G86" s="361"/>
      <c r="H86" s="361"/>
      <c r="I86" s="361"/>
      <c r="J86" s="361"/>
      <c r="K86" s="361"/>
      <c r="L86" s="365"/>
      <c r="M86" s="431"/>
      <c r="N86" s="361"/>
      <c r="O86" s="361"/>
      <c r="P86" s="361"/>
      <c r="Q86" s="361"/>
      <c r="R86" s="361"/>
      <c r="S86" s="361"/>
      <c r="T86" s="361"/>
      <c r="U86" s="361"/>
      <c r="V86" s="361"/>
      <c r="W86" s="361"/>
      <c r="X86" s="365"/>
      <c r="Y86" s="361"/>
      <c r="Z86" s="361"/>
      <c r="AA86" s="361"/>
      <c r="AB86" s="361"/>
      <c r="AC86" s="361"/>
      <c r="AD86" s="361"/>
      <c r="AE86" s="361"/>
      <c r="AF86" s="361"/>
      <c r="AG86" s="361"/>
      <c r="AH86" s="361"/>
      <c r="AI86" s="361"/>
      <c r="AJ86" s="361"/>
      <c r="AK86" s="361"/>
      <c r="AL86" s="361"/>
      <c r="AM86" s="361"/>
      <c r="AN86" s="361"/>
      <c r="AO86" s="361"/>
      <c r="AP86" s="361"/>
      <c r="AQ86" s="361"/>
      <c r="AR86" s="361"/>
      <c r="AS86" s="361"/>
      <c r="AT86" s="361"/>
      <c r="AU86" s="361"/>
      <c r="AV86" s="361"/>
      <c r="AW86" s="465"/>
      <c r="AX86" s="278"/>
      <c r="AY86" s="278"/>
      <c r="AZ86" s="278"/>
      <c r="BA86" s="278"/>
      <c r="BB86" s="278"/>
      <c r="BC86" s="278"/>
      <c r="BD86" s="278"/>
      <c r="BE86" s="278"/>
      <c r="BF86" s="278"/>
      <c r="BG86" s="278"/>
      <c r="BH86" s="391"/>
      <c r="BI86" s="465"/>
      <c r="BJ86" s="278"/>
      <c r="BK86" s="278"/>
      <c r="BL86" s="278"/>
      <c r="BM86" s="278"/>
      <c r="BN86" s="278"/>
      <c r="BO86" s="278"/>
      <c r="BP86" s="278"/>
      <c r="BQ86" s="278"/>
      <c r="BR86" s="278"/>
      <c r="BS86" s="278"/>
      <c r="BT86" s="391"/>
    </row>
    <row r="87" spans="1:72" x14ac:dyDescent="0.25">
      <c r="A87" s="341"/>
      <c r="B87" s="390" t="s">
        <v>35</v>
      </c>
      <c r="C87" s="433"/>
      <c r="D87" s="378"/>
      <c r="E87" s="378"/>
      <c r="F87" s="378"/>
      <c r="G87" s="378"/>
      <c r="H87" s="378"/>
      <c r="I87" s="378"/>
      <c r="J87" s="378"/>
      <c r="K87" s="378"/>
      <c r="L87" s="434"/>
      <c r="M87" s="433"/>
      <c r="N87" s="378"/>
      <c r="O87" s="378"/>
      <c r="P87" s="378"/>
      <c r="Q87" s="378"/>
      <c r="R87" s="378"/>
      <c r="S87" s="378"/>
      <c r="T87" s="378"/>
      <c r="U87" s="378"/>
      <c r="V87" s="378"/>
      <c r="W87" s="378"/>
      <c r="X87" s="434"/>
      <c r="Y87" s="378"/>
      <c r="Z87" s="378"/>
      <c r="AA87" s="378"/>
      <c r="AB87" s="378"/>
      <c r="AC87" s="378"/>
      <c r="AD87" s="378"/>
      <c r="AE87" s="378"/>
      <c r="AF87" s="378"/>
      <c r="AG87" s="378"/>
      <c r="AH87" s="378"/>
      <c r="AI87" s="378"/>
      <c r="AJ87" s="378"/>
      <c r="AK87" s="378"/>
      <c r="AL87" s="378"/>
      <c r="AM87" s="378"/>
      <c r="AN87" s="378"/>
      <c r="AO87" s="378"/>
      <c r="AP87" s="378"/>
      <c r="AQ87" s="378"/>
      <c r="AR87" s="378"/>
      <c r="AS87" s="378"/>
      <c r="AT87" s="378"/>
      <c r="AU87" s="378"/>
      <c r="AV87" s="378"/>
      <c r="AW87" s="465"/>
      <c r="AX87" s="278"/>
      <c r="AY87" s="278"/>
      <c r="AZ87" s="278"/>
      <c r="BA87" s="278"/>
      <c r="BB87" s="278"/>
      <c r="BC87" s="278"/>
      <c r="BD87" s="278"/>
      <c r="BE87" s="278"/>
      <c r="BF87" s="278"/>
      <c r="BG87" s="278"/>
      <c r="BH87" s="391"/>
      <c r="BI87" s="465"/>
      <c r="BJ87" s="278"/>
      <c r="BK87" s="278"/>
      <c r="BL87" s="278"/>
      <c r="BM87" s="278"/>
      <c r="BN87" s="278"/>
      <c r="BO87" s="278"/>
      <c r="BP87" s="278"/>
      <c r="BQ87" s="278"/>
      <c r="BR87" s="278"/>
      <c r="BS87" s="278"/>
      <c r="BT87" s="391"/>
    </row>
    <row r="88" spans="1:72" x14ac:dyDescent="0.25">
      <c r="A88" s="341"/>
      <c r="B88" s="390" t="s">
        <v>36</v>
      </c>
      <c r="C88" s="433"/>
      <c r="D88" s="378"/>
      <c r="E88" s="378"/>
      <c r="F88" s="378"/>
      <c r="G88" s="378"/>
      <c r="H88" s="378"/>
      <c r="I88" s="378"/>
      <c r="J88" s="378"/>
      <c r="K88" s="378"/>
      <c r="L88" s="434"/>
      <c r="M88" s="433"/>
      <c r="N88" s="378"/>
      <c r="O88" s="378"/>
      <c r="P88" s="378"/>
      <c r="Q88" s="378"/>
      <c r="R88" s="378"/>
      <c r="S88" s="378"/>
      <c r="T88" s="378"/>
      <c r="U88" s="378"/>
      <c r="V88" s="378"/>
      <c r="W88" s="378"/>
      <c r="X88" s="434"/>
      <c r="Y88" s="378"/>
      <c r="Z88" s="378"/>
      <c r="AA88" s="378"/>
      <c r="AB88" s="378"/>
      <c r="AC88" s="378"/>
      <c r="AD88" s="378"/>
      <c r="AE88" s="378"/>
      <c r="AF88" s="378"/>
      <c r="AG88" s="378"/>
      <c r="AH88" s="378"/>
      <c r="AI88" s="378"/>
      <c r="AJ88" s="378"/>
      <c r="AK88" s="378"/>
      <c r="AL88" s="378"/>
      <c r="AM88" s="378"/>
      <c r="AN88" s="378"/>
      <c r="AO88" s="378"/>
      <c r="AP88" s="378"/>
      <c r="AQ88" s="378"/>
      <c r="AR88" s="378"/>
      <c r="AS88" s="378"/>
      <c r="AT88" s="378"/>
      <c r="AU88" s="378"/>
      <c r="AV88" s="378"/>
      <c r="AW88" s="465"/>
      <c r="AX88" s="278"/>
      <c r="AY88" s="278"/>
      <c r="AZ88" s="278"/>
      <c r="BA88" s="278"/>
      <c r="BB88" s="278"/>
      <c r="BC88" s="278"/>
      <c r="BD88" s="278"/>
      <c r="BE88" s="278"/>
      <c r="BF88" s="278"/>
      <c r="BG88" s="278"/>
      <c r="BH88" s="391"/>
      <c r="BI88" s="465"/>
      <c r="BJ88" s="278"/>
      <c r="BK88" s="278"/>
      <c r="BL88" s="278"/>
      <c r="BM88" s="278"/>
      <c r="BN88" s="278"/>
      <c r="BO88" s="278"/>
      <c r="BP88" s="278"/>
      <c r="BQ88" s="278"/>
      <c r="BR88" s="278"/>
      <c r="BS88" s="278"/>
      <c r="BT88" s="391"/>
    </row>
    <row r="89" spans="1:72" x14ac:dyDescent="0.25">
      <c r="A89" s="341"/>
      <c r="B89" s="390" t="s">
        <v>37</v>
      </c>
      <c r="C89" s="433"/>
      <c r="D89" s="378"/>
      <c r="E89" s="378"/>
      <c r="F89" s="378"/>
      <c r="G89" s="378"/>
      <c r="H89" s="378"/>
      <c r="I89" s="378"/>
      <c r="J89" s="378"/>
      <c r="K89" s="378"/>
      <c r="L89" s="434"/>
      <c r="M89" s="433"/>
      <c r="N89" s="378"/>
      <c r="O89" s="378"/>
      <c r="P89" s="378"/>
      <c r="Q89" s="378"/>
      <c r="R89" s="378"/>
      <c r="S89" s="378"/>
      <c r="T89" s="378"/>
      <c r="U89" s="378"/>
      <c r="V89" s="378"/>
      <c r="W89" s="378"/>
      <c r="X89" s="434"/>
      <c r="Y89" s="378"/>
      <c r="Z89" s="378"/>
      <c r="AA89" s="378"/>
      <c r="AB89" s="378"/>
      <c r="AC89" s="378"/>
      <c r="AD89" s="378"/>
      <c r="AE89" s="378"/>
      <c r="AF89" s="378"/>
      <c r="AG89" s="378"/>
      <c r="AH89" s="378"/>
      <c r="AI89" s="378"/>
      <c r="AJ89" s="378"/>
      <c r="AK89" s="378"/>
      <c r="AL89" s="378"/>
      <c r="AM89" s="378"/>
      <c r="AN89" s="378"/>
      <c r="AO89" s="378"/>
      <c r="AP89" s="378"/>
      <c r="AQ89" s="378"/>
      <c r="AR89" s="378"/>
      <c r="AS89" s="378"/>
      <c r="AT89" s="378"/>
      <c r="AU89" s="378"/>
      <c r="AV89" s="378"/>
      <c r="AW89" s="465"/>
      <c r="AX89" s="278"/>
      <c r="AY89" s="278"/>
      <c r="AZ89" s="278"/>
      <c r="BA89" s="278"/>
      <c r="BB89" s="278"/>
      <c r="BC89" s="278"/>
      <c r="BD89" s="278"/>
      <c r="BE89" s="278"/>
      <c r="BF89" s="278"/>
      <c r="BG89" s="278"/>
      <c r="BH89" s="391"/>
      <c r="BI89" s="465"/>
      <c r="BJ89" s="278"/>
      <c r="BK89" s="278"/>
      <c r="BL89" s="278"/>
      <c r="BM89" s="278"/>
      <c r="BN89" s="278"/>
      <c r="BO89" s="278"/>
      <c r="BP89" s="278"/>
      <c r="BQ89" s="278"/>
      <c r="BR89" s="278"/>
      <c r="BS89" s="278"/>
      <c r="BT89" s="391"/>
    </row>
    <row r="90" spans="1:72" x14ac:dyDescent="0.25">
      <c r="A90" s="341"/>
      <c r="B90" s="390" t="s">
        <v>38</v>
      </c>
      <c r="C90" s="433"/>
      <c r="D90" s="378"/>
      <c r="E90" s="378"/>
      <c r="F90" s="378"/>
      <c r="G90" s="378"/>
      <c r="H90" s="378"/>
      <c r="I90" s="378"/>
      <c r="J90" s="378"/>
      <c r="K90" s="378"/>
      <c r="L90" s="434"/>
      <c r="M90" s="433"/>
      <c r="N90" s="378"/>
      <c r="O90" s="378"/>
      <c r="P90" s="378"/>
      <c r="Q90" s="378"/>
      <c r="R90" s="378"/>
      <c r="S90" s="378"/>
      <c r="T90" s="378"/>
      <c r="U90" s="378"/>
      <c r="V90" s="378"/>
      <c r="W90" s="378"/>
      <c r="X90" s="434"/>
      <c r="Y90" s="378"/>
      <c r="Z90" s="378"/>
      <c r="AA90" s="378"/>
      <c r="AB90" s="378"/>
      <c r="AC90" s="378"/>
      <c r="AD90" s="378"/>
      <c r="AE90" s="378"/>
      <c r="AF90" s="378"/>
      <c r="AG90" s="378"/>
      <c r="AH90" s="378"/>
      <c r="AI90" s="378"/>
      <c r="AJ90" s="378"/>
      <c r="AK90" s="378"/>
      <c r="AL90" s="378"/>
      <c r="AM90" s="378"/>
      <c r="AN90" s="378"/>
      <c r="AO90" s="378"/>
      <c r="AP90" s="378"/>
      <c r="AQ90" s="378"/>
      <c r="AR90" s="378"/>
      <c r="AS90" s="378"/>
      <c r="AT90" s="378"/>
      <c r="AU90" s="378"/>
      <c r="AV90" s="378"/>
      <c r="AW90" s="465"/>
      <c r="AX90" s="278"/>
      <c r="AY90" s="278"/>
      <c r="AZ90" s="278"/>
      <c r="BA90" s="278"/>
      <c r="BB90" s="278"/>
      <c r="BC90" s="278"/>
      <c r="BD90" s="278"/>
      <c r="BE90" s="278"/>
      <c r="BF90" s="278"/>
      <c r="BG90" s="278"/>
      <c r="BH90" s="391"/>
      <c r="BI90" s="465"/>
      <c r="BJ90" s="278"/>
      <c r="BK90" s="278"/>
      <c r="BL90" s="278"/>
      <c r="BM90" s="278"/>
      <c r="BN90" s="278"/>
      <c r="BO90" s="278"/>
      <c r="BP90" s="278"/>
      <c r="BQ90" s="278"/>
      <c r="BR90" s="278"/>
      <c r="BS90" s="278"/>
      <c r="BT90" s="391"/>
    </row>
    <row r="91" spans="1:72" x14ac:dyDescent="0.25">
      <c r="A91" s="341"/>
      <c r="B91" s="390" t="s">
        <v>39</v>
      </c>
      <c r="C91" s="433"/>
      <c r="D91" s="378"/>
      <c r="E91" s="378"/>
      <c r="F91" s="378"/>
      <c r="G91" s="378"/>
      <c r="H91" s="378"/>
      <c r="I91" s="378"/>
      <c r="J91" s="378"/>
      <c r="K91" s="378"/>
      <c r="L91" s="434"/>
      <c r="M91" s="433"/>
      <c r="N91" s="378"/>
      <c r="O91" s="378"/>
      <c r="P91" s="378"/>
      <c r="Q91" s="378"/>
      <c r="R91" s="378"/>
      <c r="S91" s="378"/>
      <c r="T91" s="378"/>
      <c r="U91" s="378"/>
      <c r="V91" s="378"/>
      <c r="W91" s="378"/>
      <c r="X91" s="434"/>
      <c r="Y91" s="378"/>
      <c r="Z91" s="378"/>
      <c r="AA91" s="378"/>
      <c r="AB91" s="378"/>
      <c r="AC91" s="378"/>
      <c r="AD91" s="378"/>
      <c r="AE91" s="378"/>
      <c r="AF91" s="378"/>
      <c r="AG91" s="378"/>
      <c r="AH91" s="378"/>
      <c r="AI91" s="378"/>
      <c r="AJ91" s="378"/>
      <c r="AK91" s="378"/>
      <c r="AL91" s="378"/>
      <c r="AM91" s="378"/>
      <c r="AN91" s="378"/>
      <c r="AO91" s="378"/>
      <c r="AP91" s="378"/>
      <c r="AQ91" s="378"/>
      <c r="AR91" s="378"/>
      <c r="AS91" s="378"/>
      <c r="AT91" s="378"/>
      <c r="AU91" s="378"/>
      <c r="AV91" s="378"/>
      <c r="AW91" s="465"/>
      <c r="AX91" s="278"/>
      <c r="AY91" s="278"/>
      <c r="AZ91" s="278"/>
      <c r="BA91" s="278"/>
      <c r="BB91" s="278"/>
      <c r="BC91" s="278"/>
      <c r="BD91" s="278"/>
      <c r="BE91" s="278"/>
      <c r="BF91" s="278"/>
      <c r="BG91" s="278"/>
      <c r="BH91" s="391"/>
      <c r="BI91" s="465"/>
      <c r="BJ91" s="278"/>
      <c r="BK91" s="278"/>
      <c r="BL91" s="278"/>
      <c r="BM91" s="278"/>
      <c r="BN91" s="278"/>
      <c r="BO91" s="278"/>
      <c r="BP91" s="278"/>
      <c r="BQ91" s="278"/>
      <c r="BR91" s="278"/>
      <c r="BS91" s="278"/>
      <c r="BT91" s="391"/>
    </row>
    <row r="92" spans="1:72" x14ac:dyDescent="0.25">
      <c r="A92" s="341"/>
      <c r="B92" s="390" t="s">
        <v>40</v>
      </c>
      <c r="C92" s="433">
        <f>SUM(C87:C91)</f>
        <v>0</v>
      </c>
      <c r="D92" s="378">
        <f>SUM(D87:D91)</f>
        <v>0</v>
      </c>
      <c r="E92" s="378">
        <f t="shared" ref="E92:U92" si="157">SUM(E87:E91)</f>
        <v>0</v>
      </c>
      <c r="F92" s="378">
        <f t="shared" si="157"/>
        <v>0</v>
      </c>
      <c r="G92" s="378">
        <f t="shared" si="157"/>
        <v>0</v>
      </c>
      <c r="H92" s="378">
        <f t="shared" si="157"/>
        <v>0</v>
      </c>
      <c r="I92" s="378">
        <f t="shared" si="157"/>
        <v>0</v>
      </c>
      <c r="J92" s="378">
        <f t="shared" si="157"/>
        <v>0</v>
      </c>
      <c r="K92" s="378">
        <f t="shared" si="157"/>
        <v>0</v>
      </c>
      <c r="L92" s="434">
        <f t="shared" si="157"/>
        <v>0</v>
      </c>
      <c r="M92" s="433">
        <f t="shared" si="157"/>
        <v>0</v>
      </c>
      <c r="N92" s="378">
        <f t="shared" si="157"/>
        <v>0</v>
      </c>
      <c r="O92" s="378">
        <f t="shared" si="157"/>
        <v>0</v>
      </c>
      <c r="P92" s="378">
        <f t="shared" si="157"/>
        <v>0</v>
      </c>
      <c r="Q92" s="378">
        <f t="shared" si="157"/>
        <v>0</v>
      </c>
      <c r="R92" s="378">
        <f t="shared" si="157"/>
        <v>0</v>
      </c>
      <c r="S92" s="378">
        <f t="shared" si="157"/>
        <v>0</v>
      </c>
      <c r="T92" s="378">
        <f t="shared" si="157"/>
        <v>0</v>
      </c>
      <c r="U92" s="378">
        <f t="shared" si="157"/>
        <v>0</v>
      </c>
      <c r="V92" s="378"/>
      <c r="W92" s="378"/>
      <c r="X92" s="434"/>
      <c r="Y92" s="378"/>
      <c r="Z92" s="378"/>
      <c r="AA92" s="378"/>
      <c r="AB92" s="378"/>
      <c r="AC92" s="378"/>
      <c r="AD92" s="378"/>
      <c r="AE92" s="378"/>
      <c r="AF92" s="378"/>
      <c r="AG92" s="378"/>
      <c r="AH92" s="378"/>
      <c r="AI92" s="378"/>
      <c r="AJ92" s="378"/>
      <c r="AK92" s="378"/>
      <c r="AL92" s="378"/>
      <c r="AM92" s="378"/>
      <c r="AN92" s="378"/>
      <c r="AO92" s="378"/>
      <c r="AP92" s="378"/>
      <c r="AQ92" s="378"/>
      <c r="AR92" s="378"/>
      <c r="AS92" s="378"/>
      <c r="AT92" s="378"/>
      <c r="AU92" s="378"/>
      <c r="AV92" s="378"/>
      <c r="AW92" s="465"/>
      <c r="AX92" s="278"/>
      <c r="AY92" s="278"/>
      <c r="AZ92" s="278"/>
      <c r="BA92" s="278"/>
      <c r="BB92" s="278"/>
      <c r="BC92" s="278"/>
      <c r="BD92" s="278"/>
      <c r="BE92" s="278"/>
      <c r="BF92" s="278"/>
      <c r="BG92" s="278"/>
      <c r="BH92" s="391"/>
      <c r="BI92" s="465"/>
      <c r="BJ92" s="278"/>
      <c r="BK92" s="278"/>
      <c r="BL92" s="278"/>
      <c r="BM92" s="278"/>
      <c r="BN92" s="278"/>
      <c r="BO92" s="278"/>
      <c r="BP92" s="278"/>
      <c r="BQ92" s="278"/>
      <c r="BR92" s="278"/>
      <c r="BS92" s="278"/>
      <c r="BT92" s="391"/>
    </row>
    <row r="93" spans="1:72" x14ac:dyDescent="0.25">
      <c r="A93" s="341">
        <f>+A86+1</f>
        <v>13</v>
      </c>
      <c r="B93" s="403" t="s">
        <v>42</v>
      </c>
      <c r="C93" s="431"/>
      <c r="D93" s="361"/>
      <c r="E93" s="361"/>
      <c r="F93" s="361"/>
      <c r="G93" s="361"/>
      <c r="H93" s="361"/>
      <c r="I93" s="361"/>
      <c r="J93" s="361"/>
      <c r="K93" s="361"/>
      <c r="L93" s="365"/>
      <c r="M93" s="431"/>
      <c r="N93" s="361"/>
      <c r="O93" s="361"/>
      <c r="P93" s="361"/>
      <c r="Q93" s="361"/>
      <c r="R93" s="361"/>
      <c r="S93" s="361"/>
      <c r="T93" s="361"/>
      <c r="U93" s="361"/>
      <c r="V93" s="361"/>
      <c r="W93" s="361"/>
      <c r="X93" s="365"/>
      <c r="Y93" s="361"/>
      <c r="Z93" s="361"/>
      <c r="AA93" s="361"/>
      <c r="AB93" s="361"/>
      <c r="AC93" s="361"/>
      <c r="AD93" s="361"/>
      <c r="AE93" s="361"/>
      <c r="AF93" s="361"/>
      <c r="AG93" s="361"/>
      <c r="AH93" s="361"/>
      <c r="AI93" s="361"/>
      <c r="AJ93" s="361"/>
      <c r="AK93" s="361"/>
      <c r="AL93" s="361"/>
      <c r="AM93" s="361"/>
      <c r="AN93" s="361"/>
      <c r="AO93" s="361"/>
      <c r="AP93" s="361"/>
      <c r="AQ93" s="361"/>
      <c r="AR93" s="361"/>
      <c r="AS93" s="361"/>
      <c r="AT93" s="361"/>
      <c r="AU93" s="361"/>
      <c r="AV93" s="361"/>
      <c r="AW93" s="465"/>
      <c r="AX93" s="278"/>
      <c r="AY93" s="278"/>
      <c r="AZ93" s="278"/>
      <c r="BA93" s="278"/>
      <c r="BB93" s="278"/>
      <c r="BC93" s="278"/>
      <c r="BD93" s="278"/>
      <c r="BE93" s="278"/>
      <c r="BF93" s="278"/>
      <c r="BG93" s="278"/>
      <c r="BH93" s="391"/>
      <c r="BI93" s="465"/>
      <c r="BJ93" s="278"/>
      <c r="BK93" s="278"/>
      <c r="BL93" s="278"/>
      <c r="BM93" s="278"/>
      <c r="BN93" s="278"/>
      <c r="BO93" s="278"/>
      <c r="BP93" s="278"/>
      <c r="BQ93" s="278"/>
      <c r="BR93" s="278"/>
      <c r="BS93" s="278"/>
      <c r="BT93" s="391"/>
    </row>
    <row r="94" spans="1:72" x14ac:dyDescent="0.25">
      <c r="A94" s="341"/>
      <c r="B94" s="390" t="s">
        <v>35</v>
      </c>
      <c r="C94" s="432">
        <f t="shared" ref="C94:AN94" si="158">C80+C87</f>
        <v>7320652</v>
      </c>
      <c r="D94" s="108">
        <f t="shared" si="158"/>
        <v>5383472</v>
      </c>
      <c r="E94" s="108">
        <f t="shared" si="158"/>
        <v>2835928</v>
      </c>
      <c r="F94" s="108">
        <f t="shared" si="158"/>
        <v>1635234</v>
      </c>
      <c r="G94" s="108">
        <f t="shared" si="158"/>
        <v>1190977</v>
      </c>
      <c r="H94" s="108">
        <f t="shared" si="158"/>
        <v>1073742</v>
      </c>
      <c r="I94" s="108">
        <f t="shared" si="158"/>
        <v>1093327</v>
      </c>
      <c r="J94" s="108">
        <f t="shared" si="158"/>
        <v>1204853</v>
      </c>
      <c r="K94" s="108">
        <f t="shared" si="158"/>
        <v>2832598</v>
      </c>
      <c r="L94" s="364">
        <f t="shared" si="158"/>
        <v>6007193</v>
      </c>
      <c r="M94" s="432">
        <f t="shared" si="158"/>
        <v>7862432</v>
      </c>
      <c r="N94" s="108">
        <f t="shared" si="158"/>
        <v>6861669</v>
      </c>
      <c r="O94" s="108">
        <f t="shared" si="158"/>
        <v>6223104</v>
      </c>
      <c r="P94" s="108">
        <f t="shared" si="158"/>
        <v>5136594</v>
      </c>
      <c r="Q94" s="108">
        <f t="shared" si="158"/>
        <v>3970052</v>
      </c>
      <c r="R94" s="108">
        <f t="shared" si="158"/>
        <v>1581867</v>
      </c>
      <c r="S94" s="108">
        <f t="shared" si="158"/>
        <v>1194981</v>
      </c>
      <c r="T94" s="108">
        <f t="shared" si="158"/>
        <v>1166766</v>
      </c>
      <c r="U94" s="108">
        <f t="shared" si="158"/>
        <v>1163542.1200000001</v>
      </c>
      <c r="V94" s="108">
        <f t="shared" si="158"/>
        <v>1380254</v>
      </c>
      <c r="W94" s="108">
        <f t="shared" si="158"/>
        <v>2575289</v>
      </c>
      <c r="X94" s="364">
        <f t="shared" si="158"/>
        <v>5138197</v>
      </c>
      <c r="Y94" s="108">
        <f t="shared" si="158"/>
        <v>8339408</v>
      </c>
      <c r="Z94" s="108">
        <f t="shared" si="158"/>
        <v>7933783</v>
      </c>
      <c r="AA94" s="108">
        <f t="shared" si="158"/>
        <v>7425714</v>
      </c>
      <c r="AB94" s="108">
        <f t="shared" si="158"/>
        <v>5296039</v>
      </c>
      <c r="AC94" s="108">
        <f t="shared" si="158"/>
        <v>3161210</v>
      </c>
      <c r="AD94" s="108">
        <f t="shared" si="158"/>
        <v>1684660.5399999998</v>
      </c>
      <c r="AE94" s="108">
        <f t="shared" si="158"/>
        <v>1261199</v>
      </c>
      <c r="AF94" s="108">
        <f t="shared" si="158"/>
        <v>1298784</v>
      </c>
      <c r="AG94" s="108">
        <f t="shared" si="158"/>
        <v>1225089</v>
      </c>
      <c r="AH94" s="108">
        <f t="shared" si="158"/>
        <v>1290956</v>
      </c>
      <c r="AI94" s="108">
        <f t="shared" si="158"/>
        <v>2808047</v>
      </c>
      <c r="AJ94" s="108">
        <f t="shared" si="158"/>
        <v>7373327</v>
      </c>
      <c r="AK94" s="108">
        <f t="shared" si="158"/>
        <v>10382398</v>
      </c>
      <c r="AL94" s="108">
        <f t="shared" si="158"/>
        <v>11888020</v>
      </c>
      <c r="AM94" s="108">
        <f t="shared" si="158"/>
        <v>9458282</v>
      </c>
      <c r="AN94" s="108">
        <f t="shared" si="158"/>
        <v>8139542</v>
      </c>
      <c r="AO94" s="422">
        <f>79900+3939595+16887</f>
        <v>4036382</v>
      </c>
      <c r="AP94" s="422">
        <f>SUM(72043,2146103,10919)</f>
        <v>2229065</v>
      </c>
      <c r="AQ94" s="422">
        <f>77264+2088544+9787</f>
        <v>2175595</v>
      </c>
      <c r="AR94" s="422">
        <f>61750+1582977+8242</f>
        <v>1652969</v>
      </c>
      <c r="AS94" s="422">
        <f>68114+1698150+9510</f>
        <v>1775774</v>
      </c>
      <c r="AT94" s="422">
        <f>72081+1990296+11830</f>
        <v>2074207</v>
      </c>
      <c r="AU94" s="422">
        <f>82615+3088166+15902</f>
        <v>3186683</v>
      </c>
      <c r="AV94" s="422">
        <f>113930+7538515+28252</f>
        <v>7680697</v>
      </c>
      <c r="AW94" s="463">
        <f>AW80+AW87</f>
        <v>10778168</v>
      </c>
      <c r="AX94" s="398">
        <f t="shared" ref="AX94:BA98" si="159">AX80+AX87</f>
        <v>10210389</v>
      </c>
      <c r="AY94" s="398">
        <f t="shared" si="159"/>
        <v>9332404</v>
      </c>
      <c r="AZ94" s="398">
        <f t="shared" si="159"/>
        <v>7129923</v>
      </c>
      <c r="BA94" s="398">
        <f t="shared" si="159"/>
        <v>3099646</v>
      </c>
      <c r="BB94" s="398">
        <f t="shared" ref="BB94:BF94" si="160">BB80+BB87</f>
        <v>1777522</v>
      </c>
      <c r="BC94" s="398">
        <f t="shared" si="160"/>
        <v>1398830</v>
      </c>
      <c r="BD94" s="398">
        <f t="shared" si="160"/>
        <v>1141099</v>
      </c>
      <c r="BE94" s="398">
        <f t="shared" si="160"/>
        <v>1288253</v>
      </c>
      <c r="BF94" s="398">
        <f t="shared" si="160"/>
        <v>1361056</v>
      </c>
      <c r="BG94" s="278"/>
      <c r="BH94" s="391"/>
      <c r="BI94" s="463">
        <f t="shared" ref="BI94:BI99" si="161">AW94-AK94</f>
        <v>395770</v>
      </c>
      <c r="BJ94" s="398">
        <f t="shared" ref="BJ94:BJ99" si="162">AX94-AL94</f>
        <v>-1677631</v>
      </c>
      <c r="BK94" s="398">
        <f t="shared" ref="BK94:BK99" si="163">AY94-AM94</f>
        <v>-125878</v>
      </c>
      <c r="BL94" s="398">
        <f t="shared" ref="BL94:BO99" si="164">AZ94-AN94</f>
        <v>-1009619</v>
      </c>
      <c r="BM94" s="398">
        <f t="shared" si="164"/>
        <v>-936736</v>
      </c>
      <c r="BN94" s="398">
        <f t="shared" si="164"/>
        <v>-451543</v>
      </c>
      <c r="BO94" s="398">
        <f t="shared" si="164"/>
        <v>-776765</v>
      </c>
      <c r="BP94" s="398">
        <f t="shared" ref="BP94:BP99" si="165">BD94-AR94</f>
        <v>-511870</v>
      </c>
      <c r="BQ94" s="398">
        <f t="shared" ref="BQ94:BQ99" si="166">BE94-AS94</f>
        <v>-487521</v>
      </c>
      <c r="BR94" s="398">
        <f t="shared" ref="BR94:BR99" si="167">BF94-AT94</f>
        <v>-713151</v>
      </c>
      <c r="BS94" s="278"/>
      <c r="BT94" s="391"/>
    </row>
    <row r="95" spans="1:72" x14ac:dyDescent="0.25">
      <c r="A95" s="341"/>
      <c r="B95" s="390" t="s">
        <v>36</v>
      </c>
      <c r="C95" s="432">
        <f t="shared" ref="C95:AN95" si="168">C81+C88</f>
        <v>1333487</v>
      </c>
      <c r="D95" s="108">
        <f t="shared" si="168"/>
        <v>958085</v>
      </c>
      <c r="E95" s="108">
        <f t="shared" si="168"/>
        <v>508395</v>
      </c>
      <c r="F95" s="108">
        <f t="shared" si="168"/>
        <v>288279</v>
      </c>
      <c r="G95" s="108">
        <f t="shared" si="168"/>
        <v>199067</v>
      </c>
      <c r="H95" s="108">
        <f t="shared" si="168"/>
        <v>185727</v>
      </c>
      <c r="I95" s="108">
        <f t="shared" si="168"/>
        <v>191423</v>
      </c>
      <c r="J95" s="108">
        <f t="shared" si="168"/>
        <v>225239</v>
      </c>
      <c r="K95" s="108">
        <f t="shared" si="168"/>
        <v>582954</v>
      </c>
      <c r="L95" s="364">
        <f t="shared" si="168"/>
        <v>1116062</v>
      </c>
      <c r="M95" s="432">
        <f t="shared" si="168"/>
        <v>1429370</v>
      </c>
      <c r="N95" s="108">
        <f t="shared" si="168"/>
        <v>1214330</v>
      </c>
      <c r="O95" s="108">
        <f t="shared" si="168"/>
        <v>1133263</v>
      </c>
      <c r="P95" s="108">
        <f t="shared" si="168"/>
        <v>949503</v>
      </c>
      <c r="Q95" s="108">
        <f t="shared" si="168"/>
        <v>690439</v>
      </c>
      <c r="R95" s="108">
        <f t="shared" si="168"/>
        <v>267576</v>
      </c>
      <c r="S95" s="108">
        <f t="shared" si="168"/>
        <v>191044</v>
      </c>
      <c r="T95" s="108">
        <f t="shared" si="168"/>
        <v>196521</v>
      </c>
      <c r="U95" s="108">
        <f t="shared" si="168"/>
        <v>195920.27</v>
      </c>
      <c r="V95" s="108">
        <f t="shared" si="168"/>
        <v>246100</v>
      </c>
      <c r="W95" s="108">
        <f t="shared" si="168"/>
        <v>505107</v>
      </c>
      <c r="X95" s="364">
        <f t="shared" si="168"/>
        <v>987910</v>
      </c>
      <c r="Y95" s="108">
        <f t="shared" si="168"/>
        <v>1444116</v>
      </c>
      <c r="Z95" s="108">
        <f t="shared" si="168"/>
        <v>1395746</v>
      </c>
      <c r="AA95" s="108">
        <f t="shared" si="168"/>
        <v>1259525</v>
      </c>
      <c r="AB95" s="108">
        <f t="shared" si="168"/>
        <v>846537</v>
      </c>
      <c r="AC95" s="108">
        <f t="shared" si="168"/>
        <v>564271</v>
      </c>
      <c r="AD95" s="108">
        <f t="shared" si="168"/>
        <v>247702.00999999998</v>
      </c>
      <c r="AE95" s="108">
        <f t="shared" si="168"/>
        <v>169120</v>
      </c>
      <c r="AF95" s="108">
        <f t="shared" si="168"/>
        <v>239074</v>
      </c>
      <c r="AG95" s="108">
        <f t="shared" si="168"/>
        <v>212229</v>
      </c>
      <c r="AH95" s="108">
        <f t="shared" si="168"/>
        <v>229178</v>
      </c>
      <c r="AI95" s="108">
        <f t="shared" si="168"/>
        <v>607293</v>
      </c>
      <c r="AJ95" s="108">
        <f t="shared" si="168"/>
        <v>1351125</v>
      </c>
      <c r="AK95" s="108">
        <f t="shared" si="168"/>
        <v>1872527</v>
      </c>
      <c r="AL95" s="108">
        <f t="shared" si="168"/>
        <v>2106974</v>
      </c>
      <c r="AM95" s="108">
        <f t="shared" si="168"/>
        <v>1689470</v>
      </c>
      <c r="AN95" s="108">
        <f t="shared" si="168"/>
        <v>1634486</v>
      </c>
      <c r="AO95" s="422">
        <f>7932+769701</f>
        <v>777633</v>
      </c>
      <c r="AP95" s="422">
        <f>SUM(7060,385923)</f>
        <v>392983</v>
      </c>
      <c r="AQ95" s="422">
        <f>7169+394329</f>
        <v>401498</v>
      </c>
      <c r="AR95" s="422">
        <f>5449+291696</f>
        <v>297145</v>
      </c>
      <c r="AS95" s="422">
        <f>7261+357486</f>
        <v>364747</v>
      </c>
      <c r="AT95" s="422">
        <f>6766+419512</f>
        <v>426278</v>
      </c>
      <c r="AU95" s="422">
        <f>7352+670960</f>
        <v>678312</v>
      </c>
      <c r="AV95" s="422">
        <f>10085+1505402</f>
        <v>1515487</v>
      </c>
      <c r="AW95" s="463">
        <f t="shared" ref="AW95:AW98" si="169">AW81+AW88</f>
        <v>2240055</v>
      </c>
      <c r="AX95" s="398">
        <f t="shared" si="159"/>
        <v>2062354</v>
      </c>
      <c r="AY95" s="398">
        <f t="shared" si="159"/>
        <v>1891635</v>
      </c>
      <c r="AZ95" s="398">
        <f t="shared" si="159"/>
        <v>1511408</v>
      </c>
      <c r="BA95" s="398">
        <f t="shared" si="159"/>
        <v>670096</v>
      </c>
      <c r="BB95" s="398">
        <f t="shared" ref="BB95:BF95" si="170">BB81+BB88</f>
        <v>337669</v>
      </c>
      <c r="BC95" s="398">
        <f t="shared" si="170"/>
        <v>279616</v>
      </c>
      <c r="BD95" s="398">
        <f t="shared" si="170"/>
        <v>228286</v>
      </c>
      <c r="BE95" s="398">
        <f t="shared" si="170"/>
        <v>278581</v>
      </c>
      <c r="BF95" s="398">
        <f t="shared" si="170"/>
        <v>300654</v>
      </c>
      <c r="BG95" s="278"/>
      <c r="BH95" s="391"/>
      <c r="BI95" s="463">
        <f t="shared" si="161"/>
        <v>367528</v>
      </c>
      <c r="BJ95" s="398">
        <f t="shared" si="162"/>
        <v>-44620</v>
      </c>
      <c r="BK95" s="398">
        <f t="shared" si="163"/>
        <v>202165</v>
      </c>
      <c r="BL95" s="398">
        <f t="shared" si="164"/>
        <v>-123078</v>
      </c>
      <c r="BM95" s="398">
        <f t="shared" si="164"/>
        <v>-107537</v>
      </c>
      <c r="BN95" s="398">
        <f t="shared" si="164"/>
        <v>-55314</v>
      </c>
      <c r="BO95" s="398">
        <f t="shared" si="164"/>
        <v>-121882</v>
      </c>
      <c r="BP95" s="398">
        <f t="shared" si="165"/>
        <v>-68859</v>
      </c>
      <c r="BQ95" s="398">
        <f t="shared" si="166"/>
        <v>-86166</v>
      </c>
      <c r="BR95" s="398">
        <f t="shared" si="167"/>
        <v>-125624</v>
      </c>
      <c r="BS95" s="278"/>
      <c r="BT95" s="391"/>
    </row>
    <row r="96" spans="1:72" x14ac:dyDescent="0.25">
      <c r="A96" s="341"/>
      <c r="B96" s="390" t="s">
        <v>37</v>
      </c>
      <c r="C96" s="432">
        <f t="shared" ref="C96:AN96" si="171">C82+C89</f>
        <v>1375645</v>
      </c>
      <c r="D96" s="108">
        <f t="shared" si="171"/>
        <v>923452</v>
      </c>
      <c r="E96" s="108">
        <f t="shared" si="171"/>
        <v>464298</v>
      </c>
      <c r="F96" s="108">
        <f t="shared" si="171"/>
        <v>262485</v>
      </c>
      <c r="G96" s="108">
        <f t="shared" si="171"/>
        <v>183929</v>
      </c>
      <c r="H96" s="108">
        <f t="shared" si="171"/>
        <v>161920</v>
      </c>
      <c r="I96" s="108">
        <f t="shared" si="171"/>
        <v>174763</v>
      </c>
      <c r="J96" s="108">
        <f t="shared" si="171"/>
        <v>203931</v>
      </c>
      <c r="K96" s="108">
        <f t="shared" si="171"/>
        <v>442864</v>
      </c>
      <c r="L96" s="364">
        <f t="shared" si="171"/>
        <v>1061728</v>
      </c>
      <c r="M96" s="432">
        <f t="shared" si="171"/>
        <v>1471763</v>
      </c>
      <c r="N96" s="108">
        <f t="shared" si="171"/>
        <v>1247966</v>
      </c>
      <c r="O96" s="108">
        <f t="shared" si="171"/>
        <v>1100675</v>
      </c>
      <c r="P96" s="108">
        <f t="shared" si="171"/>
        <v>841390</v>
      </c>
      <c r="Q96" s="108">
        <f t="shared" si="171"/>
        <v>560478</v>
      </c>
      <c r="R96" s="108">
        <f t="shared" si="171"/>
        <v>195767</v>
      </c>
      <c r="S96" s="108">
        <f t="shared" si="171"/>
        <v>170346</v>
      </c>
      <c r="T96" s="108">
        <f t="shared" si="171"/>
        <v>177695</v>
      </c>
      <c r="U96" s="108">
        <f t="shared" si="171"/>
        <v>144707.44</v>
      </c>
      <c r="V96" s="108">
        <f t="shared" si="171"/>
        <v>200859</v>
      </c>
      <c r="W96" s="108">
        <f t="shared" si="171"/>
        <v>386251</v>
      </c>
      <c r="X96" s="364">
        <f t="shared" si="171"/>
        <v>829481</v>
      </c>
      <c r="Y96" s="108">
        <f t="shared" si="171"/>
        <v>1484053</v>
      </c>
      <c r="Z96" s="108">
        <f t="shared" si="171"/>
        <v>1469815</v>
      </c>
      <c r="AA96" s="108">
        <f t="shared" si="171"/>
        <v>1333677</v>
      </c>
      <c r="AB96" s="108">
        <f t="shared" si="171"/>
        <v>873533</v>
      </c>
      <c r="AC96" s="108">
        <f t="shared" si="171"/>
        <v>492665</v>
      </c>
      <c r="AD96" s="108">
        <f t="shared" si="171"/>
        <v>239363</v>
      </c>
      <c r="AE96" s="108">
        <f t="shared" si="171"/>
        <v>185051</v>
      </c>
      <c r="AF96" s="108">
        <f t="shared" si="171"/>
        <v>193515</v>
      </c>
      <c r="AG96" s="108">
        <f t="shared" si="171"/>
        <v>200269</v>
      </c>
      <c r="AH96" s="108">
        <f t="shared" si="171"/>
        <v>202701</v>
      </c>
      <c r="AI96" s="108">
        <f t="shared" si="171"/>
        <v>438898</v>
      </c>
      <c r="AJ96" s="108">
        <f t="shared" si="171"/>
        <v>1175731</v>
      </c>
      <c r="AK96" s="108">
        <f t="shared" si="171"/>
        <v>1822448</v>
      </c>
      <c r="AL96" s="108">
        <f t="shared" si="171"/>
        <v>2197462</v>
      </c>
      <c r="AM96" s="108">
        <f t="shared" si="171"/>
        <v>1765951</v>
      </c>
      <c r="AN96" s="108">
        <f t="shared" si="171"/>
        <v>1387730</v>
      </c>
      <c r="AO96" s="422">
        <f>460239+138468+30106+6234</f>
        <v>635047</v>
      </c>
      <c r="AP96" s="422">
        <f>SUM(243800,114659,16315,6720)</f>
        <v>381494</v>
      </c>
      <c r="AQ96" s="422">
        <f>170370+145657+14079+4067</f>
        <v>334173</v>
      </c>
      <c r="AR96" s="422">
        <f>82828+105498+11222+4908</f>
        <v>204456</v>
      </c>
      <c r="AS96" s="422">
        <f>139654+124567+11817+8560</f>
        <v>284598</v>
      </c>
      <c r="AT96" s="422">
        <f>228582+122531+16950+4594</f>
        <v>372657</v>
      </c>
      <c r="AU96" s="422">
        <f>342060+138943+25910+7951</f>
        <v>514864</v>
      </c>
      <c r="AV96" s="422">
        <f>990217+192246+56087+24406</f>
        <v>1262956</v>
      </c>
      <c r="AW96" s="463">
        <f t="shared" si="169"/>
        <v>1900472</v>
      </c>
      <c r="AX96" s="398">
        <f t="shared" si="159"/>
        <v>1911729</v>
      </c>
      <c r="AY96" s="398">
        <f t="shared" si="159"/>
        <v>1675006</v>
      </c>
      <c r="AZ96" s="398">
        <f t="shared" si="159"/>
        <v>1278341</v>
      </c>
      <c r="BA96" s="398">
        <f t="shared" si="159"/>
        <v>512298</v>
      </c>
      <c r="BB96" s="398">
        <f t="shared" ref="BB96:BF96" si="172">BB82+BB89</f>
        <v>260544</v>
      </c>
      <c r="BC96" s="398">
        <f t="shared" si="172"/>
        <v>217223</v>
      </c>
      <c r="BD96" s="398">
        <f t="shared" si="172"/>
        <v>178121</v>
      </c>
      <c r="BE96" s="398">
        <f t="shared" si="172"/>
        <v>189813</v>
      </c>
      <c r="BF96" s="398">
        <f t="shared" si="172"/>
        <v>198021</v>
      </c>
      <c r="BG96" s="278"/>
      <c r="BH96" s="391"/>
      <c r="BI96" s="463">
        <f t="shared" si="161"/>
        <v>78024</v>
      </c>
      <c r="BJ96" s="398">
        <f t="shared" si="162"/>
        <v>-285733</v>
      </c>
      <c r="BK96" s="398">
        <f t="shared" si="163"/>
        <v>-90945</v>
      </c>
      <c r="BL96" s="398">
        <f t="shared" si="164"/>
        <v>-109389</v>
      </c>
      <c r="BM96" s="398">
        <f t="shared" si="164"/>
        <v>-122749</v>
      </c>
      <c r="BN96" s="398">
        <f t="shared" si="164"/>
        <v>-120950</v>
      </c>
      <c r="BO96" s="398">
        <f t="shared" si="164"/>
        <v>-116950</v>
      </c>
      <c r="BP96" s="398">
        <f t="shared" si="165"/>
        <v>-26335</v>
      </c>
      <c r="BQ96" s="398">
        <f t="shared" si="166"/>
        <v>-94785</v>
      </c>
      <c r="BR96" s="398">
        <f t="shared" si="167"/>
        <v>-174636</v>
      </c>
      <c r="BS96" s="278"/>
      <c r="BT96" s="391"/>
    </row>
    <row r="97" spans="1:72" x14ac:dyDescent="0.25">
      <c r="A97" s="341"/>
      <c r="B97" s="390" t="s">
        <v>38</v>
      </c>
      <c r="C97" s="432">
        <f t="shared" ref="C97:AN97" si="173">C83+C90</f>
        <v>1666953</v>
      </c>
      <c r="D97" s="108">
        <f t="shared" si="173"/>
        <v>1501755</v>
      </c>
      <c r="E97" s="108">
        <f t="shared" si="173"/>
        <v>726742</v>
      </c>
      <c r="F97" s="108">
        <f t="shared" si="173"/>
        <v>-52742</v>
      </c>
      <c r="G97" s="108">
        <f t="shared" si="173"/>
        <v>186325</v>
      </c>
      <c r="H97" s="108">
        <f t="shared" si="173"/>
        <v>169635</v>
      </c>
      <c r="I97" s="108">
        <f t="shared" si="173"/>
        <v>207469</v>
      </c>
      <c r="J97" s="108">
        <f t="shared" si="173"/>
        <v>242404</v>
      </c>
      <c r="K97" s="108">
        <f t="shared" si="173"/>
        <v>626174</v>
      </c>
      <c r="L97" s="364">
        <f t="shared" si="173"/>
        <v>1231489</v>
      </c>
      <c r="M97" s="432">
        <f t="shared" si="173"/>
        <v>1713085</v>
      </c>
      <c r="N97" s="108">
        <f t="shared" si="173"/>
        <v>1512733</v>
      </c>
      <c r="O97" s="108">
        <f t="shared" si="173"/>
        <v>1355241</v>
      </c>
      <c r="P97" s="108">
        <f t="shared" si="173"/>
        <v>1105188</v>
      </c>
      <c r="Q97" s="108">
        <f t="shared" si="173"/>
        <v>762300</v>
      </c>
      <c r="R97" s="108">
        <f t="shared" si="173"/>
        <v>249344</v>
      </c>
      <c r="S97" s="108">
        <f t="shared" si="173"/>
        <v>185610</v>
      </c>
      <c r="T97" s="108">
        <f t="shared" si="173"/>
        <v>179786</v>
      </c>
      <c r="U97" s="108">
        <f t="shared" si="173"/>
        <v>130804.54</v>
      </c>
      <c r="V97" s="108">
        <f t="shared" si="173"/>
        <v>263748</v>
      </c>
      <c r="W97" s="108">
        <f t="shared" si="173"/>
        <v>537158</v>
      </c>
      <c r="X97" s="364">
        <f t="shared" si="173"/>
        <v>1068823</v>
      </c>
      <c r="Y97" s="108">
        <f t="shared" si="173"/>
        <v>1851485</v>
      </c>
      <c r="Z97" s="108">
        <f t="shared" si="173"/>
        <v>1665615</v>
      </c>
      <c r="AA97" s="108">
        <f t="shared" si="173"/>
        <v>1628238</v>
      </c>
      <c r="AB97" s="108">
        <f t="shared" si="173"/>
        <v>1214548</v>
      </c>
      <c r="AC97" s="108">
        <f t="shared" si="173"/>
        <v>696013</v>
      </c>
      <c r="AD97" s="108">
        <f t="shared" si="173"/>
        <v>332034.40999999997</v>
      </c>
      <c r="AE97" s="108">
        <f t="shared" si="173"/>
        <v>225214</v>
      </c>
      <c r="AF97" s="108">
        <f t="shared" si="173"/>
        <v>222079</v>
      </c>
      <c r="AG97" s="108">
        <f t="shared" si="173"/>
        <v>125540</v>
      </c>
      <c r="AH97" s="108">
        <f t="shared" si="173"/>
        <v>208930</v>
      </c>
      <c r="AI97" s="108">
        <f t="shared" si="173"/>
        <v>695033</v>
      </c>
      <c r="AJ97" s="108">
        <f t="shared" si="173"/>
        <v>1544011</v>
      </c>
      <c r="AK97" s="108">
        <f t="shared" si="173"/>
        <v>2022301</v>
      </c>
      <c r="AL97" s="108">
        <f t="shared" si="173"/>
        <v>2432836</v>
      </c>
      <c r="AM97" s="108">
        <f t="shared" si="173"/>
        <v>2023591</v>
      </c>
      <c r="AN97" s="108">
        <f t="shared" si="173"/>
        <v>1901450</v>
      </c>
      <c r="AO97" s="422">
        <f>507062+222711+203217+72282</f>
        <v>1005272</v>
      </c>
      <c r="AP97" s="422">
        <f>SUM(133468,671824,132875,54740)</f>
        <v>992907</v>
      </c>
      <c r="AQ97" s="422">
        <f>92208+183397+44557+44584</f>
        <v>364746</v>
      </c>
      <c r="AR97" s="422">
        <f>72778+218700+38545+40035</f>
        <v>370058</v>
      </c>
      <c r="AS97" s="422">
        <f>79740+200897+42985+45518</f>
        <v>369140</v>
      </c>
      <c r="AT97" s="422">
        <f>146513+192801+89160+50957</f>
        <v>479431</v>
      </c>
      <c r="AU97" s="422">
        <f>269869+214628+165934+60341</f>
        <v>710772</v>
      </c>
      <c r="AV97" s="422">
        <f>815632+298813+368004+97730</f>
        <v>1580179</v>
      </c>
      <c r="AW97" s="463">
        <f t="shared" si="169"/>
        <v>2148175</v>
      </c>
      <c r="AX97" s="398">
        <f t="shared" si="159"/>
        <v>2157200</v>
      </c>
      <c r="AY97" s="398">
        <f t="shared" si="159"/>
        <v>1925814</v>
      </c>
      <c r="AZ97" s="398">
        <f t="shared" si="159"/>
        <v>1528869</v>
      </c>
      <c r="BA97" s="398">
        <f t="shared" si="159"/>
        <v>570772</v>
      </c>
      <c r="BB97" s="398">
        <f t="shared" ref="BB97:BF97" si="174">BB83+BB90</f>
        <v>386892</v>
      </c>
      <c r="BC97" s="398">
        <f t="shared" si="174"/>
        <v>216017</v>
      </c>
      <c r="BD97" s="398">
        <f t="shared" si="174"/>
        <v>188279</v>
      </c>
      <c r="BE97" s="398">
        <f t="shared" si="174"/>
        <v>227707</v>
      </c>
      <c r="BF97" s="398">
        <f t="shared" si="174"/>
        <v>255556</v>
      </c>
      <c r="BG97" s="278"/>
      <c r="BH97" s="391"/>
      <c r="BI97" s="463">
        <f t="shared" si="161"/>
        <v>125874</v>
      </c>
      <c r="BJ97" s="398">
        <f t="shared" si="162"/>
        <v>-275636</v>
      </c>
      <c r="BK97" s="398">
        <f t="shared" si="163"/>
        <v>-97777</v>
      </c>
      <c r="BL97" s="398">
        <f t="shared" si="164"/>
        <v>-372581</v>
      </c>
      <c r="BM97" s="398">
        <f t="shared" si="164"/>
        <v>-434500</v>
      </c>
      <c r="BN97" s="398">
        <f t="shared" si="164"/>
        <v>-606015</v>
      </c>
      <c r="BO97" s="398">
        <f t="shared" si="164"/>
        <v>-148729</v>
      </c>
      <c r="BP97" s="398">
        <f t="shared" si="165"/>
        <v>-181779</v>
      </c>
      <c r="BQ97" s="398">
        <f t="shared" si="166"/>
        <v>-141433</v>
      </c>
      <c r="BR97" s="398">
        <f t="shared" si="167"/>
        <v>-223875</v>
      </c>
      <c r="BS97" s="278"/>
      <c r="BT97" s="391"/>
    </row>
    <row r="98" spans="1:72" x14ac:dyDescent="0.25">
      <c r="A98" s="341"/>
      <c r="B98" s="390" t="s">
        <v>39</v>
      </c>
      <c r="C98" s="432">
        <f t="shared" ref="C98:AN98" si="175">C84+C91</f>
        <v>409398</v>
      </c>
      <c r="D98" s="108">
        <f t="shared" si="175"/>
        <v>272619</v>
      </c>
      <c r="E98" s="108">
        <f t="shared" si="175"/>
        <v>206669</v>
      </c>
      <c r="F98" s="108">
        <f t="shared" si="175"/>
        <v>170691</v>
      </c>
      <c r="G98" s="108">
        <f t="shared" si="175"/>
        <v>184866</v>
      </c>
      <c r="H98" s="108">
        <f t="shared" si="175"/>
        <v>165594</v>
      </c>
      <c r="I98" s="108">
        <f t="shared" si="175"/>
        <v>138728</v>
      </c>
      <c r="J98" s="108">
        <f t="shared" si="175"/>
        <v>186073</v>
      </c>
      <c r="K98" s="108">
        <f t="shared" si="175"/>
        <v>250238</v>
      </c>
      <c r="L98" s="364">
        <f t="shared" si="175"/>
        <v>315212</v>
      </c>
      <c r="M98" s="432">
        <f t="shared" si="175"/>
        <v>332792</v>
      </c>
      <c r="N98" s="108">
        <f t="shared" si="175"/>
        <v>267787</v>
      </c>
      <c r="O98" s="108">
        <f t="shared" si="175"/>
        <v>289423</v>
      </c>
      <c r="P98" s="108">
        <f t="shared" si="175"/>
        <v>323450</v>
      </c>
      <c r="Q98" s="108">
        <f t="shared" si="175"/>
        <v>189133</v>
      </c>
      <c r="R98" s="108">
        <f t="shared" si="175"/>
        <v>181662</v>
      </c>
      <c r="S98" s="108">
        <f t="shared" si="175"/>
        <v>179797</v>
      </c>
      <c r="T98" s="108">
        <f t="shared" si="175"/>
        <v>175947</v>
      </c>
      <c r="U98" s="108">
        <f t="shared" si="175"/>
        <v>191095.52</v>
      </c>
      <c r="V98" s="108">
        <f t="shared" si="175"/>
        <v>189585</v>
      </c>
      <c r="W98" s="108">
        <f t="shared" si="175"/>
        <v>263316</v>
      </c>
      <c r="X98" s="364">
        <f t="shared" si="175"/>
        <v>358598</v>
      </c>
      <c r="Y98" s="108">
        <f t="shared" si="175"/>
        <v>465337</v>
      </c>
      <c r="Z98" s="108">
        <f t="shared" si="175"/>
        <v>367520</v>
      </c>
      <c r="AA98" s="108">
        <f t="shared" si="175"/>
        <v>365564</v>
      </c>
      <c r="AB98" s="108">
        <f t="shared" si="175"/>
        <v>319496</v>
      </c>
      <c r="AC98" s="108">
        <f t="shared" si="175"/>
        <v>480829</v>
      </c>
      <c r="AD98" s="108">
        <f t="shared" si="175"/>
        <v>74162.100000000006</v>
      </c>
      <c r="AE98" s="108">
        <f t="shared" si="175"/>
        <v>174336</v>
      </c>
      <c r="AF98" s="108">
        <f t="shared" si="175"/>
        <v>226038</v>
      </c>
      <c r="AG98" s="108">
        <f t="shared" si="175"/>
        <v>39454</v>
      </c>
      <c r="AH98" s="108">
        <f t="shared" si="175"/>
        <v>194495</v>
      </c>
      <c r="AI98" s="108">
        <f t="shared" si="175"/>
        <v>321514</v>
      </c>
      <c r="AJ98" s="108">
        <f t="shared" si="175"/>
        <v>432022</v>
      </c>
      <c r="AK98" s="108">
        <f t="shared" si="175"/>
        <v>446912</v>
      </c>
      <c r="AL98" s="108">
        <f t="shared" si="175"/>
        <v>584590</v>
      </c>
      <c r="AM98" s="108">
        <f t="shared" si="175"/>
        <v>329651</v>
      </c>
      <c r="AN98" s="108">
        <f t="shared" si="175"/>
        <v>365988</v>
      </c>
      <c r="AO98" s="422">
        <f>14430+276988+20970+199979</f>
        <v>512367</v>
      </c>
      <c r="AP98" s="422">
        <f>SUM(5214,149432,10341,168925)</f>
        <v>333912</v>
      </c>
      <c r="AQ98" s="422">
        <f>8192+18588+4065+153169</f>
        <v>184014</v>
      </c>
      <c r="AR98" s="422">
        <f>3826+272270+3828+152215</f>
        <v>432139</v>
      </c>
      <c r="AS98" s="422">
        <f>9896+226869+2039+59225</f>
        <v>298029</v>
      </c>
      <c r="AT98" s="422">
        <f>6306+168231+4065+227590</f>
        <v>406192</v>
      </c>
      <c r="AU98" s="422">
        <f>12487+149157+8591+151492</f>
        <v>321727</v>
      </c>
      <c r="AV98" s="422">
        <f>89000+19897+239296+35903</f>
        <v>384096</v>
      </c>
      <c r="AW98" s="463">
        <f t="shared" si="169"/>
        <v>376520</v>
      </c>
      <c r="AX98" s="398">
        <f t="shared" si="159"/>
        <v>360738</v>
      </c>
      <c r="AY98" s="398">
        <f t="shared" si="159"/>
        <v>483322</v>
      </c>
      <c r="AZ98" s="398">
        <f t="shared" si="159"/>
        <v>243711</v>
      </c>
      <c r="BA98" s="398">
        <f t="shared" si="159"/>
        <v>264568</v>
      </c>
      <c r="BB98" s="398">
        <f t="shared" ref="BB98:BF98" si="176">BB84+BB91</f>
        <v>313648</v>
      </c>
      <c r="BC98" s="398">
        <f t="shared" si="176"/>
        <v>183074</v>
      </c>
      <c r="BD98" s="398">
        <f t="shared" si="176"/>
        <v>155751</v>
      </c>
      <c r="BE98" s="398">
        <f t="shared" si="176"/>
        <v>158028</v>
      </c>
      <c r="BF98" s="398">
        <f t="shared" si="176"/>
        <v>332909</v>
      </c>
      <c r="BG98" s="278"/>
      <c r="BH98" s="391"/>
      <c r="BI98" s="463">
        <f t="shared" si="161"/>
        <v>-70392</v>
      </c>
      <c r="BJ98" s="398">
        <f t="shared" si="162"/>
        <v>-223852</v>
      </c>
      <c r="BK98" s="398">
        <f t="shared" si="163"/>
        <v>153671</v>
      </c>
      <c r="BL98" s="398">
        <f t="shared" si="164"/>
        <v>-122277</v>
      </c>
      <c r="BM98" s="398">
        <f t="shared" si="164"/>
        <v>-247799</v>
      </c>
      <c r="BN98" s="398">
        <f t="shared" si="164"/>
        <v>-20264</v>
      </c>
      <c r="BO98" s="398">
        <f t="shared" si="164"/>
        <v>-940</v>
      </c>
      <c r="BP98" s="398">
        <f t="shared" si="165"/>
        <v>-276388</v>
      </c>
      <c r="BQ98" s="398">
        <f t="shared" si="166"/>
        <v>-140001</v>
      </c>
      <c r="BR98" s="398">
        <f t="shared" si="167"/>
        <v>-73283</v>
      </c>
      <c r="BS98" s="278"/>
      <c r="BT98" s="391"/>
    </row>
    <row r="99" spans="1:72" ht="15.75" thickBot="1" x14ac:dyDescent="0.3">
      <c r="A99" s="341"/>
      <c r="B99" s="392" t="s">
        <v>40</v>
      </c>
      <c r="C99" s="452">
        <f>SUM(C94:C98)</f>
        <v>12106135</v>
      </c>
      <c r="D99" s="453">
        <f t="shared" ref="D99:V99" si="177">SUM(D94:D98)</f>
        <v>9039383</v>
      </c>
      <c r="E99" s="453">
        <f t="shared" si="177"/>
        <v>4742032</v>
      </c>
      <c r="F99" s="453">
        <f t="shared" si="177"/>
        <v>2303947</v>
      </c>
      <c r="G99" s="453">
        <f t="shared" si="177"/>
        <v>1945164</v>
      </c>
      <c r="H99" s="453">
        <f t="shared" si="177"/>
        <v>1756618</v>
      </c>
      <c r="I99" s="453">
        <f t="shared" si="177"/>
        <v>1805710</v>
      </c>
      <c r="J99" s="453">
        <f t="shared" si="177"/>
        <v>2062500</v>
      </c>
      <c r="K99" s="453">
        <f t="shared" si="177"/>
        <v>4734828</v>
      </c>
      <c r="L99" s="454">
        <f t="shared" si="177"/>
        <v>9731684</v>
      </c>
      <c r="M99" s="452">
        <f t="shared" si="177"/>
        <v>12809442</v>
      </c>
      <c r="N99" s="453">
        <f t="shared" si="177"/>
        <v>11104485</v>
      </c>
      <c r="O99" s="453">
        <f t="shared" si="177"/>
        <v>10101706</v>
      </c>
      <c r="P99" s="453">
        <f t="shared" si="177"/>
        <v>8356125</v>
      </c>
      <c r="Q99" s="453">
        <f t="shared" si="177"/>
        <v>6172402</v>
      </c>
      <c r="R99" s="453">
        <f t="shared" si="177"/>
        <v>2476216</v>
      </c>
      <c r="S99" s="453">
        <f t="shared" si="177"/>
        <v>1921778</v>
      </c>
      <c r="T99" s="453">
        <f t="shared" si="177"/>
        <v>1896715</v>
      </c>
      <c r="U99" s="453">
        <f t="shared" si="177"/>
        <v>1826069.8900000001</v>
      </c>
      <c r="V99" s="453">
        <f t="shared" si="177"/>
        <v>2280546</v>
      </c>
      <c r="W99" s="453">
        <f t="shared" ref="W99:AB99" si="178">SUM(W94:W98)</f>
        <v>4267121</v>
      </c>
      <c r="X99" s="454">
        <f t="shared" si="178"/>
        <v>8383009</v>
      </c>
      <c r="Y99" s="453">
        <f t="shared" si="178"/>
        <v>13584399</v>
      </c>
      <c r="Z99" s="453">
        <f t="shared" si="178"/>
        <v>12832479</v>
      </c>
      <c r="AA99" s="453">
        <f t="shared" si="178"/>
        <v>12012718</v>
      </c>
      <c r="AB99" s="453">
        <f t="shared" si="178"/>
        <v>8550153</v>
      </c>
      <c r="AC99" s="453">
        <f>SUM(AC94:AC98)</f>
        <v>5394988</v>
      </c>
      <c r="AD99" s="453">
        <f>SUM(AD94:AD98)</f>
        <v>2577922.06</v>
      </c>
      <c r="AE99" s="453">
        <f t="shared" ref="AE99:AN99" si="179">AE85+AE92</f>
        <v>2014920</v>
      </c>
      <c r="AF99" s="453">
        <f t="shared" si="179"/>
        <v>2179490</v>
      </c>
      <c r="AG99" s="453">
        <f t="shared" si="179"/>
        <v>1802581</v>
      </c>
      <c r="AH99" s="453">
        <f t="shared" si="179"/>
        <v>2126260</v>
      </c>
      <c r="AI99" s="453">
        <f t="shared" si="179"/>
        <v>4870785</v>
      </c>
      <c r="AJ99" s="453">
        <f t="shared" si="179"/>
        <v>11876216</v>
      </c>
      <c r="AK99" s="453">
        <f t="shared" si="179"/>
        <v>16546586</v>
      </c>
      <c r="AL99" s="453">
        <f t="shared" si="179"/>
        <v>19209882</v>
      </c>
      <c r="AM99" s="453">
        <f t="shared" si="179"/>
        <v>15266945</v>
      </c>
      <c r="AN99" s="453">
        <f t="shared" si="179"/>
        <v>13429196</v>
      </c>
      <c r="AO99" s="453">
        <f>SUM(AO94:AO98)</f>
        <v>6966701</v>
      </c>
      <c r="AP99" s="453">
        <f>SUM(AP94:AP98)</f>
        <v>4330361</v>
      </c>
      <c r="AQ99" s="453">
        <f>SUM(AQ94:AQ98)</f>
        <v>3460026</v>
      </c>
      <c r="AR99" s="453">
        <f t="shared" ref="AR99:AW99" si="180">SUM(AR94:AR98)</f>
        <v>2956767</v>
      </c>
      <c r="AS99" s="453">
        <f t="shared" si="180"/>
        <v>3092288</v>
      </c>
      <c r="AT99" s="453">
        <f t="shared" si="180"/>
        <v>3758765</v>
      </c>
      <c r="AU99" s="453">
        <f t="shared" si="180"/>
        <v>5412358</v>
      </c>
      <c r="AV99" s="453">
        <f t="shared" si="180"/>
        <v>12423415</v>
      </c>
      <c r="AW99" s="466">
        <f t="shared" si="180"/>
        <v>17443390</v>
      </c>
      <c r="AX99" s="455">
        <f t="shared" ref="AX99:BF99" si="181">SUM(AX94:AX98)</f>
        <v>16702410</v>
      </c>
      <c r="AY99" s="456">
        <f t="shared" si="181"/>
        <v>15308181</v>
      </c>
      <c r="AZ99" s="455">
        <f t="shared" si="181"/>
        <v>11692252</v>
      </c>
      <c r="BA99" s="455">
        <f t="shared" si="181"/>
        <v>5117380</v>
      </c>
      <c r="BB99" s="455">
        <f t="shared" si="181"/>
        <v>3076275</v>
      </c>
      <c r="BC99" s="455">
        <f t="shared" si="181"/>
        <v>2294760</v>
      </c>
      <c r="BD99" s="455">
        <f t="shared" si="181"/>
        <v>1891536</v>
      </c>
      <c r="BE99" s="455">
        <f t="shared" si="181"/>
        <v>2142382</v>
      </c>
      <c r="BF99" s="455">
        <f t="shared" si="181"/>
        <v>2448196</v>
      </c>
      <c r="BG99" s="375"/>
      <c r="BH99" s="448"/>
      <c r="BI99" s="463">
        <f t="shared" si="161"/>
        <v>896804</v>
      </c>
      <c r="BJ99" s="398">
        <f t="shared" si="162"/>
        <v>-2507472</v>
      </c>
      <c r="BK99" s="398">
        <f t="shared" si="163"/>
        <v>41236</v>
      </c>
      <c r="BL99" s="398">
        <f t="shared" si="164"/>
        <v>-1736944</v>
      </c>
      <c r="BM99" s="398">
        <f t="shared" si="164"/>
        <v>-1849321</v>
      </c>
      <c r="BN99" s="398">
        <f t="shared" si="164"/>
        <v>-1254086</v>
      </c>
      <c r="BO99" s="398">
        <f t="shared" si="164"/>
        <v>-1165266</v>
      </c>
      <c r="BP99" s="398">
        <f t="shared" si="165"/>
        <v>-1065231</v>
      </c>
      <c r="BQ99" s="398">
        <f t="shared" si="166"/>
        <v>-949906</v>
      </c>
      <c r="BR99" s="398">
        <f t="shared" si="167"/>
        <v>-1310569</v>
      </c>
      <c r="BS99" s="375"/>
      <c r="BT99" s="448"/>
    </row>
    <row r="100" spans="1:72" x14ac:dyDescent="0.25">
      <c r="A100" s="341">
        <f>+A93+1</f>
        <v>14</v>
      </c>
      <c r="B100" s="404" t="s">
        <v>34</v>
      </c>
      <c r="C100" s="449"/>
      <c r="D100" s="405"/>
      <c r="E100" s="405"/>
      <c r="F100" s="405"/>
      <c r="G100" s="405"/>
      <c r="H100" s="405"/>
      <c r="I100" s="405"/>
      <c r="J100" s="405"/>
      <c r="K100" s="405"/>
      <c r="L100" s="406"/>
      <c r="M100" s="449"/>
      <c r="N100" s="405"/>
      <c r="O100" s="405"/>
      <c r="P100" s="405"/>
      <c r="Q100" s="405"/>
      <c r="R100" s="405"/>
      <c r="S100" s="405"/>
      <c r="T100" s="405"/>
      <c r="U100" s="405"/>
      <c r="V100" s="405"/>
      <c r="W100" s="405"/>
      <c r="X100" s="406"/>
      <c r="Y100" s="405"/>
      <c r="Z100" s="405"/>
      <c r="AA100" s="405"/>
      <c r="AB100" s="405"/>
      <c r="AC100" s="405"/>
      <c r="AD100" s="405"/>
      <c r="AE100" s="405"/>
      <c r="AF100" s="405"/>
      <c r="AG100" s="405"/>
      <c r="AH100" s="405"/>
      <c r="AI100" s="405"/>
      <c r="AJ100" s="405"/>
      <c r="AK100" s="405"/>
      <c r="AL100" s="405"/>
      <c r="AM100" s="405"/>
      <c r="AN100" s="405"/>
      <c r="AO100" s="405"/>
      <c r="AP100" s="405"/>
      <c r="AQ100" s="405"/>
      <c r="AR100" s="405"/>
      <c r="AS100" s="405"/>
      <c r="AT100" s="405"/>
      <c r="AU100" s="405"/>
      <c r="AV100" s="405"/>
      <c r="AW100" s="459"/>
      <c r="AX100" s="388"/>
      <c r="AY100" s="388"/>
      <c r="AZ100" s="451"/>
      <c r="BA100" s="388"/>
      <c r="BB100" s="388"/>
      <c r="BC100" s="388"/>
      <c r="BD100" s="388"/>
      <c r="BE100" s="388"/>
      <c r="BF100" s="388"/>
      <c r="BG100" s="388"/>
      <c r="BH100" s="389"/>
      <c r="BI100" s="459"/>
      <c r="BJ100" s="388"/>
      <c r="BK100" s="388"/>
      <c r="BL100" s="451"/>
      <c r="BM100" s="451"/>
      <c r="BN100" s="451"/>
      <c r="BO100" s="451"/>
      <c r="BP100" s="451"/>
      <c r="BQ100" s="451"/>
      <c r="BR100" s="451"/>
      <c r="BS100" s="388"/>
      <c r="BT100" s="389"/>
    </row>
    <row r="101" spans="1:72" x14ac:dyDescent="0.25">
      <c r="A101" s="341"/>
      <c r="B101" s="390" t="s">
        <v>35</v>
      </c>
      <c r="C101" s="432">
        <v>6224696.2800000003</v>
      </c>
      <c r="D101" s="108">
        <v>5966497.21</v>
      </c>
      <c r="E101" s="108">
        <v>4109908.97</v>
      </c>
      <c r="F101" s="108">
        <v>2389317.29</v>
      </c>
      <c r="G101" s="108">
        <v>1869752.79</v>
      </c>
      <c r="H101" s="108">
        <v>1382025.56</v>
      </c>
      <c r="I101" s="108">
        <v>1280183.56</v>
      </c>
      <c r="J101" s="108">
        <v>1381879.3</v>
      </c>
      <c r="K101" s="108">
        <v>1370910.83</v>
      </c>
      <c r="L101" s="364">
        <v>3476734.93</v>
      </c>
      <c r="M101" s="432">
        <v>5089419.13</v>
      </c>
      <c r="N101" s="108">
        <v>6093875.9000000004</v>
      </c>
      <c r="O101" s="108">
        <v>6288096.2400000002</v>
      </c>
      <c r="P101" s="108">
        <v>5142196.13</v>
      </c>
      <c r="Q101" s="108">
        <v>4068503.46</v>
      </c>
      <c r="R101" s="108">
        <v>3756883.99</v>
      </c>
      <c r="S101" s="108">
        <v>1873972.34</v>
      </c>
      <c r="T101" s="108">
        <v>1460567.9</v>
      </c>
      <c r="U101" s="108">
        <v>1376164.47</v>
      </c>
      <c r="V101" s="108">
        <v>1484271.12</v>
      </c>
      <c r="W101" s="108">
        <v>1553679.22</v>
      </c>
      <c r="X101" s="364">
        <v>3091867.4</v>
      </c>
      <c r="Y101" s="108">
        <v>4969355.67</v>
      </c>
      <c r="Z101" s="108">
        <v>5624037.3700000001</v>
      </c>
      <c r="AA101" s="108">
        <v>8160353.6500000004</v>
      </c>
      <c r="AB101" s="108">
        <v>5480730.5</v>
      </c>
      <c r="AC101" s="108" t="e">
        <f>SUM(#REF!)</f>
        <v>#REF!</v>
      </c>
      <c r="AD101" s="108">
        <v>5696281.6500000004</v>
      </c>
      <c r="AE101" s="108">
        <v>3353089.44</v>
      </c>
      <c r="AF101" s="108">
        <v>3454109.01</v>
      </c>
      <c r="AG101" s="377">
        <v>2425754.1</v>
      </c>
      <c r="AH101" s="377">
        <v>2387264.5499999998</v>
      </c>
      <c r="AI101" s="377">
        <v>5549704.0800000001</v>
      </c>
      <c r="AJ101" s="377">
        <v>5998795.0599999996</v>
      </c>
      <c r="AK101" s="377">
        <v>10179783.84</v>
      </c>
      <c r="AL101" s="377">
        <v>10179783.84</v>
      </c>
      <c r="AM101" s="377">
        <v>18607589.84</v>
      </c>
      <c r="AN101" s="377">
        <v>12244120.189999999</v>
      </c>
      <c r="AO101" s="377">
        <v>10929667.42</v>
      </c>
      <c r="AP101" s="377">
        <v>7211448.1500000004</v>
      </c>
      <c r="AQ101" s="377">
        <v>5286146.83</v>
      </c>
      <c r="AR101" s="377">
        <v>4449164.1900000004</v>
      </c>
      <c r="AS101" s="377">
        <v>3167591.56</v>
      </c>
      <c r="AT101" s="377">
        <v>3796430.66</v>
      </c>
      <c r="AU101" s="377">
        <v>4480771.84</v>
      </c>
      <c r="AV101" s="377">
        <v>6844121.3600000003</v>
      </c>
      <c r="AW101" s="463">
        <v>12671556.220000001</v>
      </c>
      <c r="AX101" s="398">
        <v>13569731.15</v>
      </c>
      <c r="AY101" s="398">
        <v>15584492.300000001</v>
      </c>
      <c r="AZ101" s="398">
        <v>11923103.810000001</v>
      </c>
      <c r="BA101" s="398">
        <v>11073320.039999999</v>
      </c>
      <c r="BB101" s="398">
        <v>6101403.8499999996</v>
      </c>
      <c r="BC101" s="398">
        <f>SUM(2294760+4226455)</f>
        <v>6521215</v>
      </c>
      <c r="BD101" s="398">
        <v>3670362.26</v>
      </c>
      <c r="BE101" s="398">
        <v>2645696.54</v>
      </c>
      <c r="BF101" s="398">
        <v>3073377.6</v>
      </c>
      <c r="BG101" s="278"/>
      <c r="BH101" s="391"/>
      <c r="BI101" s="463">
        <f t="shared" ref="BI101" si="182">AW101-AK101</f>
        <v>2491772.3800000008</v>
      </c>
      <c r="BJ101" s="398">
        <f t="shared" ref="BJ101" si="183">AX101-AL101</f>
        <v>3389947.3100000005</v>
      </c>
      <c r="BK101" s="398">
        <f t="shared" ref="BK101" si="184">AY101-AM101</f>
        <v>-3023097.5399999991</v>
      </c>
      <c r="BL101" s="398">
        <f t="shared" ref="BL101:BO101" si="185">AZ101-AN101</f>
        <v>-321016.37999999896</v>
      </c>
      <c r="BM101" s="398">
        <f t="shared" si="185"/>
        <v>143652.61999999918</v>
      </c>
      <c r="BN101" s="398">
        <f t="shared" si="185"/>
        <v>-1110044.3000000007</v>
      </c>
      <c r="BO101" s="398">
        <f t="shared" si="185"/>
        <v>1235068.17</v>
      </c>
      <c r="BP101" s="398">
        <f t="shared" ref="BP101" si="186">BD101-AR101</f>
        <v>-778801.93000000063</v>
      </c>
      <c r="BQ101" s="398">
        <f t="shared" ref="BQ101" si="187">BE101-AS101</f>
        <v>-521895.02</v>
      </c>
      <c r="BR101" s="398">
        <f t="shared" ref="BR101" si="188">BF101-AT101</f>
        <v>-723053.06</v>
      </c>
      <c r="BS101" s="278"/>
      <c r="BT101" s="391"/>
    </row>
    <row r="102" spans="1:72" x14ac:dyDescent="0.25">
      <c r="A102" s="341"/>
      <c r="B102" s="390" t="s">
        <v>36</v>
      </c>
      <c r="C102" s="432">
        <v>1152704.6599999999</v>
      </c>
      <c r="D102" s="108">
        <v>1205346.18</v>
      </c>
      <c r="E102" s="108">
        <v>1113240.8999999999</v>
      </c>
      <c r="F102" s="108">
        <v>334407.42</v>
      </c>
      <c r="G102" s="108">
        <v>243720.66</v>
      </c>
      <c r="H102" s="108">
        <v>206173.58</v>
      </c>
      <c r="I102" s="108">
        <v>178229.8</v>
      </c>
      <c r="J102" s="108">
        <v>188945.35</v>
      </c>
      <c r="K102" s="108">
        <v>288079.65000000002</v>
      </c>
      <c r="L102" s="364">
        <v>538926.78</v>
      </c>
      <c r="M102" s="432">
        <v>1370380.67</v>
      </c>
      <c r="N102" s="108">
        <v>1174618.57</v>
      </c>
      <c r="O102" s="108">
        <v>1223880.3400000001</v>
      </c>
      <c r="P102" s="108">
        <v>572923.34</v>
      </c>
      <c r="Q102" s="108">
        <v>790662.2</v>
      </c>
      <c r="R102" s="108">
        <v>540631.37</v>
      </c>
      <c r="S102" s="108">
        <v>322995.63</v>
      </c>
      <c r="T102" s="108">
        <v>163410.35999999999</v>
      </c>
      <c r="U102" s="108">
        <v>144194.82</v>
      </c>
      <c r="V102" s="108">
        <v>142063.85</v>
      </c>
      <c r="W102" s="108">
        <v>131282.1</v>
      </c>
      <c r="X102" s="364">
        <v>363426.81</v>
      </c>
      <c r="Y102" s="108">
        <v>597678.12</v>
      </c>
      <c r="Z102" s="108">
        <v>837373.62</v>
      </c>
      <c r="AA102" s="108">
        <v>1541214.99</v>
      </c>
      <c r="AB102" s="108">
        <v>1666763.74</v>
      </c>
      <c r="AC102" s="108" t="e">
        <f>SUM(#REF!)</f>
        <v>#REF!</v>
      </c>
      <c r="AD102" s="108" t="e">
        <f>SUM(#REF!)</f>
        <v>#REF!</v>
      </c>
      <c r="AE102" s="108">
        <v>0</v>
      </c>
      <c r="AF102" s="108">
        <v>0</v>
      </c>
      <c r="AG102" s="108">
        <v>0</v>
      </c>
      <c r="AH102" s="108"/>
      <c r="AI102" s="108"/>
      <c r="AJ102" s="108"/>
      <c r="AK102" s="108"/>
      <c r="AL102" s="108"/>
      <c r="AM102" s="108"/>
      <c r="AN102" s="108"/>
      <c r="AO102" s="108"/>
      <c r="AP102" s="108"/>
      <c r="AQ102" s="108"/>
      <c r="AR102" s="108"/>
      <c r="AS102" s="108"/>
      <c r="AT102" s="108"/>
      <c r="AU102" s="108"/>
      <c r="AV102" s="108"/>
      <c r="AW102" s="463"/>
      <c r="AX102" s="398"/>
      <c r="AY102" s="398"/>
      <c r="AZ102" s="398"/>
      <c r="BA102" s="398"/>
      <c r="BB102" s="398"/>
      <c r="BC102" s="398"/>
      <c r="BD102" s="398"/>
      <c r="BE102" s="398"/>
      <c r="BF102" s="398"/>
      <c r="BG102" s="278"/>
      <c r="BH102" s="391"/>
      <c r="BI102" s="465"/>
      <c r="BJ102" s="278"/>
      <c r="BK102" s="278"/>
      <c r="BL102" s="398"/>
      <c r="BM102" s="398"/>
      <c r="BN102" s="398"/>
      <c r="BO102" s="398"/>
      <c r="BP102" s="398"/>
      <c r="BQ102" s="398"/>
      <c r="BR102" s="398"/>
      <c r="BS102" s="278"/>
      <c r="BT102" s="391"/>
    </row>
    <row r="103" spans="1:72" x14ac:dyDescent="0.25">
      <c r="A103" s="341"/>
      <c r="B103" s="390" t="s">
        <v>37</v>
      </c>
      <c r="C103" s="432">
        <v>1338903.8600000001</v>
      </c>
      <c r="D103" s="108">
        <v>1253267.72</v>
      </c>
      <c r="E103" s="108">
        <v>736421.66</v>
      </c>
      <c r="F103" s="108">
        <v>389481.37</v>
      </c>
      <c r="G103" s="108">
        <v>249568.06</v>
      </c>
      <c r="H103" s="108">
        <v>181985.06</v>
      </c>
      <c r="I103" s="108">
        <v>171141.23</v>
      </c>
      <c r="J103" s="108">
        <v>207768.59</v>
      </c>
      <c r="K103" s="108">
        <v>220879.42</v>
      </c>
      <c r="L103" s="364">
        <v>642369.98</v>
      </c>
      <c r="M103" s="432">
        <v>926205.67</v>
      </c>
      <c r="N103" s="108">
        <v>1284933.42</v>
      </c>
      <c r="O103" s="108">
        <v>1338234.06</v>
      </c>
      <c r="P103" s="108">
        <v>944649.84</v>
      </c>
      <c r="Q103" s="108">
        <v>686592.76</v>
      </c>
      <c r="R103" s="108">
        <v>662227.56999999995</v>
      </c>
      <c r="S103" s="108">
        <v>269127.25</v>
      </c>
      <c r="T103" s="108">
        <v>226509.85</v>
      </c>
      <c r="U103" s="108">
        <v>230746.62</v>
      </c>
      <c r="V103" s="108">
        <v>194491.59</v>
      </c>
      <c r="W103" s="108">
        <v>200497.33</v>
      </c>
      <c r="X103" s="364">
        <v>465900.4</v>
      </c>
      <c r="Y103" s="108">
        <v>897870.5</v>
      </c>
      <c r="Z103" s="108">
        <v>1220382.67</v>
      </c>
      <c r="AA103" s="108">
        <v>1849852.36</v>
      </c>
      <c r="AB103" s="108">
        <v>1220906.53</v>
      </c>
      <c r="AC103" s="108" t="e">
        <f>SUM(#REF!)</f>
        <v>#REF!</v>
      </c>
      <c r="AD103" s="108" t="e">
        <f>SUM(#REF!)</f>
        <v>#REF!</v>
      </c>
      <c r="AE103" s="108">
        <v>0</v>
      </c>
      <c r="AF103" s="108">
        <v>0</v>
      </c>
      <c r="AG103" s="108">
        <v>0</v>
      </c>
      <c r="AH103" s="108"/>
      <c r="AI103" s="108"/>
      <c r="AJ103" s="108"/>
      <c r="AK103" s="108"/>
      <c r="AL103" s="108"/>
      <c r="AM103" s="108"/>
      <c r="AN103" s="108"/>
      <c r="AO103" s="108"/>
      <c r="AP103" s="108"/>
      <c r="AQ103" s="108"/>
      <c r="AR103" s="108"/>
      <c r="AS103" s="108"/>
      <c r="AT103" s="108"/>
      <c r="AU103" s="108"/>
      <c r="AV103" s="108"/>
      <c r="AW103" s="463"/>
      <c r="AX103" s="398"/>
      <c r="AY103" s="398"/>
      <c r="AZ103" s="398"/>
      <c r="BA103" s="398"/>
      <c r="BB103" s="398"/>
      <c r="BC103" s="398"/>
      <c r="BD103" s="398"/>
      <c r="BE103" s="398"/>
      <c r="BF103" s="398"/>
      <c r="BG103" s="278"/>
      <c r="BH103" s="391"/>
      <c r="BI103" s="465"/>
      <c r="BJ103" s="278"/>
      <c r="BK103" s="278"/>
      <c r="BL103" s="398"/>
      <c r="BM103" s="398"/>
      <c r="BN103" s="398"/>
      <c r="BO103" s="398"/>
      <c r="BP103" s="398"/>
      <c r="BQ103" s="398"/>
      <c r="BR103" s="398"/>
      <c r="BS103" s="278"/>
      <c r="BT103" s="391"/>
    </row>
    <row r="104" spans="1:72" x14ac:dyDescent="0.25">
      <c r="A104" s="341"/>
      <c r="B104" s="390" t="s">
        <v>38</v>
      </c>
      <c r="C104" s="432">
        <v>1928917.59</v>
      </c>
      <c r="D104" s="108">
        <v>1689842.93</v>
      </c>
      <c r="E104" s="108">
        <v>1068180.8799999999</v>
      </c>
      <c r="F104" s="108">
        <v>587471.06000000006</v>
      </c>
      <c r="G104" s="108">
        <v>373450.97</v>
      </c>
      <c r="H104" s="108">
        <v>208150.33</v>
      </c>
      <c r="I104" s="108">
        <v>185953.29</v>
      </c>
      <c r="J104" s="108">
        <v>232630.14</v>
      </c>
      <c r="K104" s="108">
        <v>252697.01699999999</v>
      </c>
      <c r="L104" s="364">
        <v>809851.28</v>
      </c>
      <c r="M104" s="432">
        <v>1112456.3500000001</v>
      </c>
      <c r="N104" s="108">
        <v>1544069.19</v>
      </c>
      <c r="O104" s="108">
        <v>1676548.89</v>
      </c>
      <c r="P104" s="108">
        <v>1123779.1599999999</v>
      </c>
      <c r="Q104" s="108">
        <v>850744.08</v>
      </c>
      <c r="R104" s="108">
        <v>841788.72</v>
      </c>
      <c r="S104" s="108">
        <v>321609.38</v>
      </c>
      <c r="T104" s="108">
        <v>222264.56</v>
      </c>
      <c r="U104" s="108">
        <v>231548.13</v>
      </c>
      <c r="V104" s="108">
        <v>246717.02</v>
      </c>
      <c r="W104" s="108">
        <v>258288.5</v>
      </c>
      <c r="X104" s="364">
        <v>618248.94999999995</v>
      </c>
      <c r="Y104" s="108">
        <v>1009552.11</v>
      </c>
      <c r="Z104" s="108">
        <v>1462723.26</v>
      </c>
      <c r="AA104" s="108">
        <v>2456826.89</v>
      </c>
      <c r="AB104" s="108">
        <v>1386065.66</v>
      </c>
      <c r="AC104" s="108" t="e">
        <f>SUM(#REF!)</f>
        <v>#REF!</v>
      </c>
      <c r="AD104" s="108" t="e">
        <f>SUM(#REF!)</f>
        <v>#REF!</v>
      </c>
      <c r="AE104" s="108">
        <v>0</v>
      </c>
      <c r="AF104" s="108">
        <v>0</v>
      </c>
      <c r="AG104" s="108">
        <v>0</v>
      </c>
      <c r="AH104" s="108"/>
      <c r="AI104" s="108"/>
      <c r="AJ104" s="108"/>
      <c r="AK104" s="108"/>
      <c r="AL104" s="108"/>
      <c r="AM104" s="108"/>
      <c r="AN104" s="108"/>
      <c r="AO104" s="108"/>
      <c r="AP104" s="108"/>
      <c r="AQ104" s="108"/>
      <c r="AR104" s="108"/>
      <c r="AS104" s="108"/>
      <c r="AT104" s="108"/>
      <c r="AU104" s="108"/>
      <c r="AV104" s="108"/>
      <c r="AW104" s="463"/>
      <c r="AX104" s="398"/>
      <c r="AY104" s="398"/>
      <c r="AZ104" s="398"/>
      <c r="BA104" s="398"/>
      <c r="BB104" s="398"/>
      <c r="BC104" s="398"/>
      <c r="BD104" s="398"/>
      <c r="BE104" s="398"/>
      <c r="BF104" s="398"/>
      <c r="BG104" s="278"/>
      <c r="BH104" s="391"/>
      <c r="BI104" s="465"/>
      <c r="BJ104" s="278"/>
      <c r="BK104" s="278"/>
      <c r="BL104" s="398"/>
      <c r="BM104" s="398"/>
      <c r="BN104" s="398"/>
      <c r="BO104" s="398"/>
      <c r="BP104" s="398"/>
      <c r="BQ104" s="398"/>
      <c r="BR104" s="398"/>
      <c r="BS104" s="278"/>
      <c r="BT104" s="391"/>
    </row>
    <row r="105" spans="1:72" x14ac:dyDescent="0.25">
      <c r="A105" s="341"/>
      <c r="B105" s="390" t="s">
        <v>39</v>
      </c>
      <c r="C105" s="432">
        <v>542865.93000000005</v>
      </c>
      <c r="D105" s="108">
        <v>690944.67</v>
      </c>
      <c r="E105" s="108">
        <v>201634.94</v>
      </c>
      <c r="F105" s="108">
        <v>582547</v>
      </c>
      <c r="G105" s="108">
        <v>395762.86</v>
      </c>
      <c r="H105" s="108">
        <v>355310.46</v>
      </c>
      <c r="I105" s="108">
        <v>341466.93</v>
      </c>
      <c r="J105" s="108">
        <v>278171.59999999998</v>
      </c>
      <c r="K105" s="108">
        <v>347851.2</v>
      </c>
      <c r="L105" s="364">
        <v>416494.79</v>
      </c>
      <c r="M105" s="432">
        <v>470839.95</v>
      </c>
      <c r="N105" s="108">
        <v>468482.97</v>
      </c>
      <c r="O105" s="108">
        <v>470029.83</v>
      </c>
      <c r="P105" s="108">
        <v>349206.2</v>
      </c>
      <c r="Q105" s="108">
        <v>376956.64</v>
      </c>
      <c r="R105" s="108">
        <v>528877.03</v>
      </c>
      <c r="S105" s="108">
        <v>353511.97</v>
      </c>
      <c r="T105" s="108">
        <v>420958.27</v>
      </c>
      <c r="U105" s="108">
        <v>337894.28</v>
      </c>
      <c r="V105" s="108">
        <v>389343.91</v>
      </c>
      <c r="W105" s="108">
        <v>188692.81</v>
      </c>
      <c r="X105" s="364">
        <v>640813.85</v>
      </c>
      <c r="Y105" s="108">
        <v>520252.57</v>
      </c>
      <c r="Z105" s="108">
        <v>529662.76</v>
      </c>
      <c r="AA105" s="108">
        <v>943216.09</v>
      </c>
      <c r="AB105" s="108">
        <v>558217.62</v>
      </c>
      <c r="AC105" s="108" t="e">
        <f>SUM(#REF!)</f>
        <v>#REF!</v>
      </c>
      <c r="AD105" s="108" t="e">
        <f>SUM(#REF!)</f>
        <v>#REF!</v>
      </c>
      <c r="AE105" s="108">
        <v>0</v>
      </c>
      <c r="AF105" s="108">
        <v>0</v>
      </c>
      <c r="AG105" s="108">
        <v>0</v>
      </c>
      <c r="AH105" s="108"/>
      <c r="AI105" s="108"/>
      <c r="AJ105" s="108"/>
      <c r="AK105" s="108"/>
      <c r="AL105" s="108"/>
      <c r="AM105" s="108"/>
      <c r="AN105" s="108"/>
      <c r="AO105" s="108"/>
      <c r="AP105" s="108"/>
      <c r="AQ105" s="108"/>
      <c r="AR105" s="108"/>
      <c r="AS105" s="108"/>
      <c r="AT105" s="108"/>
      <c r="AU105" s="108"/>
      <c r="AV105" s="108"/>
      <c r="AW105" s="463"/>
      <c r="AX105" s="398"/>
      <c r="AY105" s="398"/>
      <c r="AZ105" s="398"/>
      <c r="BA105" s="398"/>
      <c r="BB105" s="398"/>
      <c r="BC105" s="398"/>
      <c r="BD105" s="398"/>
      <c r="BE105" s="398"/>
      <c r="BF105" s="398"/>
      <c r="BG105" s="278"/>
      <c r="BH105" s="391"/>
      <c r="BI105" s="465"/>
      <c r="BJ105" s="278"/>
      <c r="BK105" s="278"/>
      <c r="BL105" s="398"/>
      <c r="BM105" s="398"/>
      <c r="BN105" s="398"/>
      <c r="BO105" s="398"/>
      <c r="BP105" s="398"/>
      <c r="BQ105" s="398"/>
      <c r="BR105" s="398"/>
      <c r="BS105" s="278"/>
      <c r="BT105" s="391"/>
    </row>
    <row r="106" spans="1:72" x14ac:dyDescent="0.25">
      <c r="A106" s="341"/>
      <c r="B106" s="390" t="s">
        <v>40</v>
      </c>
      <c r="C106" s="432">
        <f>SUM(C101:C105)</f>
        <v>11188088.32</v>
      </c>
      <c r="D106" s="108">
        <f>SUM(D101:D105)</f>
        <v>10805898.709999999</v>
      </c>
      <c r="E106" s="108">
        <f t="shared" ref="E106:V106" si="189">SUM(E101:E105)</f>
        <v>7229387.3500000006</v>
      </c>
      <c r="F106" s="108">
        <f t="shared" si="189"/>
        <v>4283224.1400000006</v>
      </c>
      <c r="G106" s="108">
        <f t="shared" si="189"/>
        <v>3132255.3400000003</v>
      </c>
      <c r="H106" s="108">
        <f t="shared" si="189"/>
        <v>2333644.9900000002</v>
      </c>
      <c r="I106" s="108">
        <f t="shared" si="189"/>
        <v>2156974.81</v>
      </c>
      <c r="J106" s="108">
        <f t="shared" si="189"/>
        <v>2289394.9800000004</v>
      </c>
      <c r="K106" s="108">
        <f t="shared" si="189"/>
        <v>2480418.1170000001</v>
      </c>
      <c r="L106" s="364">
        <f t="shared" si="189"/>
        <v>5884377.7599999998</v>
      </c>
      <c r="M106" s="432">
        <f t="shared" si="189"/>
        <v>8969301.7699999996</v>
      </c>
      <c r="N106" s="108">
        <f t="shared" si="189"/>
        <v>10565980.050000001</v>
      </c>
      <c r="O106" s="108">
        <f t="shared" si="189"/>
        <v>10996789.360000001</v>
      </c>
      <c r="P106" s="108">
        <f t="shared" si="189"/>
        <v>8132754.6699999999</v>
      </c>
      <c r="Q106" s="108">
        <f t="shared" si="189"/>
        <v>6773459.1399999997</v>
      </c>
      <c r="R106" s="108">
        <f t="shared" si="189"/>
        <v>6330408.6800000006</v>
      </c>
      <c r="S106" s="108">
        <f t="shared" si="189"/>
        <v>3141216.5700000003</v>
      </c>
      <c r="T106" s="108">
        <f t="shared" si="189"/>
        <v>2493710.94</v>
      </c>
      <c r="U106" s="108">
        <f t="shared" si="189"/>
        <v>2320548.3200000003</v>
      </c>
      <c r="V106" s="108">
        <f t="shared" si="189"/>
        <v>2456887.4900000002</v>
      </c>
      <c r="W106" s="108">
        <f t="shared" ref="W106:AB106" si="190">SUM(W101:W105)</f>
        <v>2332439.9600000004</v>
      </c>
      <c r="X106" s="364">
        <f t="shared" si="190"/>
        <v>5180257.4099999992</v>
      </c>
      <c r="Y106" s="108">
        <f t="shared" si="190"/>
        <v>7994708.9700000007</v>
      </c>
      <c r="Z106" s="108">
        <f t="shared" si="190"/>
        <v>9674179.6799999997</v>
      </c>
      <c r="AA106" s="108">
        <f t="shared" si="190"/>
        <v>14951463.98</v>
      </c>
      <c r="AB106" s="108">
        <f t="shared" si="190"/>
        <v>10312684.049999999</v>
      </c>
      <c r="AC106" s="108" t="e">
        <f t="shared" ref="AC106:AI106" si="191">SUM(AC101:AC105)</f>
        <v>#REF!</v>
      </c>
      <c r="AD106" s="108" t="e">
        <f t="shared" si="191"/>
        <v>#REF!</v>
      </c>
      <c r="AE106" s="108">
        <f t="shared" si="191"/>
        <v>3353089.44</v>
      </c>
      <c r="AF106" s="108">
        <f t="shared" si="191"/>
        <v>3454109.01</v>
      </c>
      <c r="AG106" s="108">
        <f t="shared" si="191"/>
        <v>2425754.1</v>
      </c>
      <c r="AH106" s="108">
        <f t="shared" si="191"/>
        <v>2387264.5499999998</v>
      </c>
      <c r="AI106" s="108">
        <f t="shared" si="191"/>
        <v>5549704.0800000001</v>
      </c>
      <c r="AJ106" s="108">
        <f>SUM(AJ101:AJ105)</f>
        <v>5998795.0599999996</v>
      </c>
      <c r="AK106" s="108">
        <f>SUM(AK101:AK105)</f>
        <v>10179783.84</v>
      </c>
      <c r="AL106" s="108">
        <v>14623207.449999999</v>
      </c>
      <c r="AM106" s="108">
        <v>14623207.449999999</v>
      </c>
      <c r="AN106" s="108">
        <v>14623207.449999999</v>
      </c>
      <c r="AO106" s="108">
        <f>SUM(AO101:AO105)</f>
        <v>10929667.42</v>
      </c>
      <c r="AP106" s="108">
        <v>7211448.1500000004</v>
      </c>
      <c r="AQ106" s="108">
        <v>5286146.83</v>
      </c>
      <c r="AR106" s="423">
        <v>4449164.1900000004</v>
      </c>
      <c r="AS106" s="377">
        <v>3167591.56</v>
      </c>
      <c r="AT106" s="377">
        <v>3796430.66</v>
      </c>
      <c r="AU106" s="377">
        <v>4480771.84</v>
      </c>
      <c r="AV106" s="377">
        <v>6844121.3600000003</v>
      </c>
      <c r="AW106" s="463">
        <f>AW101</f>
        <v>12671556.220000001</v>
      </c>
      <c r="AX106" s="398">
        <f>AX101</f>
        <v>13569731.15</v>
      </c>
      <c r="AY106" s="398">
        <f t="shared" ref="AY106:BB106" si="192">AY101</f>
        <v>15584492.300000001</v>
      </c>
      <c r="AZ106" s="398">
        <f t="shared" si="192"/>
        <v>11923103.810000001</v>
      </c>
      <c r="BA106" s="398">
        <f t="shared" si="192"/>
        <v>11073320.039999999</v>
      </c>
      <c r="BB106" s="398">
        <f t="shared" si="192"/>
        <v>6101403.8499999996</v>
      </c>
      <c r="BC106" s="398">
        <f>SUM(BC101:BC105)</f>
        <v>6521215</v>
      </c>
      <c r="BD106" s="398">
        <v>3670362</v>
      </c>
      <c r="BE106" s="398">
        <v>2645696.54</v>
      </c>
      <c r="BF106" s="398">
        <v>3073377.6</v>
      </c>
      <c r="BG106" s="278"/>
      <c r="BH106" s="391"/>
      <c r="BI106" s="463">
        <f t="shared" ref="BI106" si="193">AW106-AK106</f>
        <v>2491772.3800000008</v>
      </c>
      <c r="BJ106" s="398">
        <f t="shared" ref="BJ106" si="194">AX106-AL106</f>
        <v>-1053476.2999999989</v>
      </c>
      <c r="BK106" s="398">
        <f t="shared" ref="BK106" si="195">AY106-AM106</f>
        <v>961284.85000000149</v>
      </c>
      <c r="BL106" s="398">
        <f t="shared" ref="BL106:BO106" si="196">AZ106-AN106</f>
        <v>-2700103.6399999987</v>
      </c>
      <c r="BM106" s="398">
        <f t="shared" si="196"/>
        <v>143652.61999999918</v>
      </c>
      <c r="BN106" s="398">
        <f t="shared" si="196"/>
        <v>-1110044.3000000007</v>
      </c>
      <c r="BO106" s="398">
        <f t="shared" si="196"/>
        <v>1235068.17</v>
      </c>
      <c r="BP106" s="398">
        <f t="shared" ref="BP106" si="197">BD106-AR106</f>
        <v>-778802.19000000041</v>
      </c>
      <c r="BQ106" s="398">
        <f t="shared" ref="BQ106" si="198">BE106-AS106</f>
        <v>-521895.02</v>
      </c>
      <c r="BR106" s="398">
        <f t="shared" ref="BR106" si="199">BF106-AT106</f>
        <v>-723053.06</v>
      </c>
      <c r="BS106" s="278"/>
      <c r="BT106" s="391"/>
    </row>
    <row r="107" spans="1:72" x14ac:dyDescent="0.25">
      <c r="A107" s="341">
        <f>+A100+1</f>
        <v>15</v>
      </c>
      <c r="B107" s="403" t="s">
        <v>31</v>
      </c>
      <c r="C107" s="435"/>
      <c r="D107" s="424"/>
      <c r="E107" s="424"/>
      <c r="F107" s="424"/>
      <c r="G107" s="424"/>
      <c r="H107" s="424"/>
      <c r="I107" s="424"/>
      <c r="J107" s="424"/>
      <c r="K107" s="424"/>
      <c r="L107" s="436"/>
      <c r="M107" s="435"/>
      <c r="N107" s="424"/>
      <c r="O107" s="424"/>
      <c r="P107" s="424"/>
      <c r="Q107" s="424"/>
      <c r="R107" s="424"/>
      <c r="S107" s="424"/>
      <c r="T107" s="424"/>
      <c r="U107" s="424"/>
      <c r="V107" s="424"/>
      <c r="W107" s="424"/>
      <c r="X107" s="436"/>
      <c r="Y107" s="424"/>
      <c r="Z107" s="424"/>
      <c r="AA107" s="424"/>
      <c r="AB107" s="424"/>
      <c r="AC107" s="424"/>
      <c r="AD107" s="424"/>
      <c r="AE107" s="424"/>
      <c r="AF107" s="424"/>
      <c r="AG107" s="424"/>
      <c r="AH107" s="424"/>
      <c r="AI107" s="424"/>
      <c r="AJ107" s="424"/>
      <c r="AK107" s="424"/>
      <c r="AL107" s="424"/>
      <c r="AM107" s="424"/>
      <c r="AN107" s="424"/>
      <c r="AO107" s="424"/>
      <c r="AP107" s="424"/>
      <c r="AQ107" s="424"/>
      <c r="AR107" s="424"/>
      <c r="AS107" s="424"/>
      <c r="AT107" s="424"/>
      <c r="AU107" s="424"/>
      <c r="AV107" s="424"/>
      <c r="AW107" s="465"/>
      <c r="AX107" s="278"/>
      <c r="AY107" s="278"/>
      <c r="AZ107" s="398"/>
      <c r="BA107" s="278"/>
      <c r="BB107" s="278"/>
      <c r="BC107" s="278"/>
      <c r="BD107" s="278"/>
      <c r="BE107" s="278"/>
      <c r="BF107" s="278"/>
      <c r="BG107" s="278"/>
      <c r="BH107" s="391"/>
      <c r="BI107" s="465"/>
      <c r="BJ107" s="278"/>
      <c r="BK107" s="278"/>
      <c r="BL107" s="398"/>
      <c r="BM107" s="398"/>
      <c r="BN107" s="398"/>
      <c r="BO107" s="398"/>
      <c r="BP107" s="398"/>
      <c r="BQ107" s="398"/>
      <c r="BR107" s="398"/>
      <c r="BS107" s="278"/>
      <c r="BT107" s="391"/>
    </row>
    <row r="108" spans="1:72" x14ac:dyDescent="0.25">
      <c r="A108" s="341"/>
      <c r="B108" s="390" t="s">
        <v>35</v>
      </c>
      <c r="C108" s="429">
        <v>31838</v>
      </c>
      <c r="D108" s="280">
        <v>33081</v>
      </c>
      <c r="E108" s="280">
        <v>31193</v>
      </c>
      <c r="F108" s="280">
        <v>28141</v>
      </c>
      <c r="G108" s="280">
        <v>31124</v>
      </c>
      <c r="H108" s="280">
        <v>28268</v>
      </c>
      <c r="I108" s="280">
        <v>28195</v>
      </c>
      <c r="J108" s="280">
        <v>31279</v>
      </c>
      <c r="K108" s="280">
        <v>24640</v>
      </c>
      <c r="L108" s="430">
        <v>33868</v>
      </c>
      <c r="M108" s="429">
        <v>30933</v>
      </c>
      <c r="N108" s="280">
        <v>32879</v>
      </c>
      <c r="O108" s="280">
        <v>36883</v>
      </c>
      <c r="P108" s="280">
        <v>33330</v>
      </c>
      <c r="Q108" s="280">
        <v>29310</v>
      </c>
      <c r="R108" s="280">
        <v>38391</v>
      </c>
      <c r="S108" s="280">
        <v>31047</v>
      </c>
      <c r="T108" s="280">
        <v>29739</v>
      </c>
      <c r="U108" s="280">
        <v>30126</v>
      </c>
      <c r="V108" s="280">
        <v>30533</v>
      </c>
      <c r="W108" s="280">
        <v>26370</v>
      </c>
      <c r="X108" s="430">
        <v>35953</v>
      </c>
      <c r="Y108" s="280">
        <v>31799</v>
      </c>
      <c r="Z108" s="280">
        <v>29599</v>
      </c>
      <c r="AA108" s="280">
        <v>41022</v>
      </c>
      <c r="AB108" s="280">
        <v>31195</v>
      </c>
      <c r="AC108" s="280" t="e">
        <f>SUM(#REF!)</f>
        <v>#REF!</v>
      </c>
      <c r="AD108" s="280">
        <v>44363</v>
      </c>
      <c r="AE108" s="280">
        <v>34709</v>
      </c>
      <c r="AF108" s="280">
        <v>43611</v>
      </c>
      <c r="AG108" s="280">
        <v>35467</v>
      </c>
      <c r="AH108" s="280">
        <v>35471</v>
      </c>
      <c r="AI108" s="280">
        <v>45890</v>
      </c>
      <c r="AJ108" s="280">
        <v>36512</v>
      </c>
      <c r="AK108" s="280">
        <v>38422</v>
      </c>
      <c r="AL108" s="280">
        <v>45460</v>
      </c>
      <c r="AM108" s="280">
        <f>AM113</f>
        <v>51973</v>
      </c>
      <c r="AN108" s="280">
        <v>40205</v>
      </c>
      <c r="AO108" s="280">
        <v>45993</v>
      </c>
      <c r="AP108" s="280">
        <v>43332</v>
      </c>
      <c r="AQ108" s="280">
        <v>36878</v>
      </c>
      <c r="AR108" s="280">
        <v>42834</v>
      </c>
      <c r="AS108" s="280">
        <v>33950</v>
      </c>
      <c r="AT108" s="280">
        <v>37025</v>
      </c>
      <c r="AU108" s="280">
        <v>38307</v>
      </c>
      <c r="AV108" s="280">
        <v>37583</v>
      </c>
      <c r="AW108" s="462">
        <v>46194</v>
      </c>
      <c r="AX108" s="395">
        <v>45282</v>
      </c>
      <c r="AY108" s="395">
        <v>51285</v>
      </c>
      <c r="AZ108" s="394">
        <v>41999</v>
      </c>
      <c r="BA108" s="394">
        <v>51854</v>
      </c>
      <c r="BB108" s="394">
        <v>40618</v>
      </c>
      <c r="BC108" s="394">
        <f>SUM(2329+40518+240)</f>
        <v>43087</v>
      </c>
      <c r="BD108" s="394">
        <v>40397</v>
      </c>
      <c r="BE108" s="394">
        <v>35500</v>
      </c>
      <c r="BF108" s="394">
        <v>57258</v>
      </c>
      <c r="BG108" s="278"/>
      <c r="BH108" s="391"/>
      <c r="BI108" s="460">
        <f t="shared" ref="BI108" si="200">AW108-AK108</f>
        <v>7772</v>
      </c>
      <c r="BJ108" s="394">
        <f t="shared" ref="BJ108" si="201">AX108-AL108</f>
        <v>-178</v>
      </c>
      <c r="BK108" s="394">
        <f t="shared" ref="BK108" si="202">AY108-AM108</f>
        <v>-688</v>
      </c>
      <c r="BL108" s="394">
        <f t="shared" ref="BL108:BO108" si="203">AZ108-AN108</f>
        <v>1794</v>
      </c>
      <c r="BM108" s="394">
        <f t="shared" si="203"/>
        <v>5861</v>
      </c>
      <c r="BN108" s="394">
        <f t="shared" si="203"/>
        <v>-2714</v>
      </c>
      <c r="BO108" s="394">
        <f t="shared" si="203"/>
        <v>6209</v>
      </c>
      <c r="BP108" s="394">
        <f t="shared" ref="BP108" si="204">BD108-AR108</f>
        <v>-2437</v>
      </c>
      <c r="BQ108" s="394">
        <f t="shared" ref="BQ108" si="205">BE108-AS108</f>
        <v>1550</v>
      </c>
      <c r="BR108" s="394">
        <f t="shared" ref="BR108" si="206">BF108-AT108</f>
        <v>20233</v>
      </c>
      <c r="BS108" s="278"/>
      <c r="BT108" s="391"/>
    </row>
    <row r="109" spans="1:72" x14ac:dyDescent="0.25">
      <c r="A109" s="341"/>
      <c r="B109" s="390" t="s">
        <v>36</v>
      </c>
      <c r="C109" s="429">
        <v>6771</v>
      </c>
      <c r="D109" s="280">
        <v>7575</v>
      </c>
      <c r="E109" s="280">
        <v>9731</v>
      </c>
      <c r="F109" s="280">
        <v>5421</v>
      </c>
      <c r="G109" s="280">
        <v>3682</v>
      </c>
      <c r="H109" s="280">
        <v>3839</v>
      </c>
      <c r="I109" s="280">
        <v>3977</v>
      </c>
      <c r="J109" s="280">
        <v>4349</v>
      </c>
      <c r="K109" s="280">
        <v>4452</v>
      </c>
      <c r="L109" s="430">
        <v>5266</v>
      </c>
      <c r="M109" s="429">
        <v>9600</v>
      </c>
      <c r="N109" s="280">
        <v>7934</v>
      </c>
      <c r="O109" s="280">
        <v>9447</v>
      </c>
      <c r="P109" s="280">
        <v>4771</v>
      </c>
      <c r="Q109" s="280">
        <v>8029</v>
      </c>
      <c r="R109" s="280">
        <v>8259</v>
      </c>
      <c r="S109" s="280">
        <v>3985</v>
      </c>
      <c r="T109" s="280">
        <v>3239</v>
      </c>
      <c r="U109" s="280">
        <v>3654</v>
      </c>
      <c r="V109" s="280">
        <v>3666</v>
      </c>
      <c r="W109" s="280">
        <v>3130</v>
      </c>
      <c r="X109" s="430">
        <v>4775</v>
      </c>
      <c r="Y109" s="280">
        <v>4778</v>
      </c>
      <c r="Z109" s="280">
        <v>5514</v>
      </c>
      <c r="AA109" s="280">
        <v>9198</v>
      </c>
      <c r="AB109" s="280">
        <v>8874</v>
      </c>
      <c r="AC109" s="280" t="e">
        <f>SUM(#REF!)</f>
        <v>#REF!</v>
      </c>
      <c r="AD109" s="280" t="e">
        <f>SUM(#REF!)</f>
        <v>#REF!</v>
      </c>
      <c r="AE109" s="280">
        <v>0</v>
      </c>
      <c r="AF109" s="280">
        <v>0</v>
      </c>
      <c r="AG109" s="280">
        <v>0</v>
      </c>
      <c r="AH109" s="280"/>
      <c r="AI109" s="280"/>
      <c r="AJ109" s="280"/>
      <c r="AK109" s="280"/>
      <c r="AL109" s="280"/>
      <c r="AM109" s="280"/>
      <c r="AN109" s="280"/>
      <c r="AO109" s="280"/>
      <c r="AP109" s="280"/>
      <c r="AQ109" s="280"/>
      <c r="AR109" s="280"/>
      <c r="AS109" s="280"/>
      <c r="AT109" s="280"/>
      <c r="AU109" s="280"/>
      <c r="AV109" s="280"/>
      <c r="AW109" s="460"/>
      <c r="AX109" s="394"/>
      <c r="AY109" s="394"/>
      <c r="AZ109" s="394"/>
      <c r="BA109" s="278"/>
      <c r="BB109" s="278"/>
      <c r="BC109" s="278"/>
      <c r="BD109" s="278"/>
      <c r="BE109" s="278"/>
      <c r="BF109" s="278"/>
      <c r="BG109" s="278"/>
      <c r="BH109" s="391"/>
      <c r="BI109" s="460"/>
      <c r="BJ109" s="394"/>
      <c r="BK109" s="394"/>
      <c r="BL109" s="394"/>
      <c r="BM109" s="394"/>
      <c r="BN109" s="394"/>
      <c r="BO109" s="394"/>
      <c r="BP109" s="394"/>
      <c r="BQ109" s="394"/>
      <c r="BR109" s="394"/>
      <c r="BS109" s="278"/>
      <c r="BT109" s="391"/>
    </row>
    <row r="110" spans="1:72" x14ac:dyDescent="0.25">
      <c r="A110" s="341"/>
      <c r="B110" s="390" t="s">
        <v>37</v>
      </c>
      <c r="C110" s="429">
        <v>3168</v>
      </c>
      <c r="D110" s="280">
        <v>3289</v>
      </c>
      <c r="E110" s="280">
        <v>2956</v>
      </c>
      <c r="F110" s="280">
        <v>2949</v>
      </c>
      <c r="G110" s="280">
        <v>3102</v>
      </c>
      <c r="H110" s="280">
        <v>2928</v>
      </c>
      <c r="I110" s="280">
        <v>2930</v>
      </c>
      <c r="J110" s="280">
        <v>3201</v>
      </c>
      <c r="K110" s="280">
        <v>2573</v>
      </c>
      <c r="L110" s="430">
        <v>3455</v>
      </c>
      <c r="M110" s="429">
        <v>2837</v>
      </c>
      <c r="N110" s="280">
        <v>3239</v>
      </c>
      <c r="O110" s="280">
        <v>3787</v>
      </c>
      <c r="P110" s="280">
        <v>2883</v>
      </c>
      <c r="Q110" s="280">
        <v>2709</v>
      </c>
      <c r="R110" s="280">
        <v>3920</v>
      </c>
      <c r="S110" s="280">
        <v>3094</v>
      </c>
      <c r="T110" s="280">
        <v>3053</v>
      </c>
      <c r="U110" s="280">
        <v>3107</v>
      </c>
      <c r="V110" s="280">
        <v>2979</v>
      </c>
      <c r="W110" s="280">
        <v>2659</v>
      </c>
      <c r="X110" s="430">
        <v>3469</v>
      </c>
      <c r="Y110" s="280">
        <v>3078</v>
      </c>
      <c r="Z110" s="280">
        <v>2937</v>
      </c>
      <c r="AA110" s="280">
        <v>4377</v>
      </c>
      <c r="AB110" s="280">
        <v>3298</v>
      </c>
      <c r="AC110" s="280" t="e">
        <f>SUM(#REF!)</f>
        <v>#REF!</v>
      </c>
      <c r="AD110" s="280" t="e">
        <f>SUM(#REF!)</f>
        <v>#REF!</v>
      </c>
      <c r="AE110" s="280">
        <v>0</v>
      </c>
      <c r="AF110" s="280">
        <v>0</v>
      </c>
      <c r="AG110" s="280">
        <v>0</v>
      </c>
      <c r="AH110" s="280"/>
      <c r="AI110" s="280"/>
      <c r="AJ110" s="280"/>
      <c r="AK110" s="280"/>
      <c r="AL110" s="280"/>
      <c r="AM110" s="280"/>
      <c r="AN110" s="280"/>
      <c r="AO110" s="280"/>
      <c r="AP110" s="280"/>
      <c r="AQ110" s="280"/>
      <c r="AR110" s="280"/>
      <c r="AS110" s="280"/>
      <c r="AT110" s="280"/>
      <c r="AU110" s="280"/>
      <c r="AV110" s="280"/>
      <c r="AW110" s="460"/>
      <c r="AX110" s="394"/>
      <c r="AY110" s="394"/>
      <c r="AZ110" s="394"/>
      <c r="BA110" s="278"/>
      <c r="BB110" s="278"/>
      <c r="BC110" s="278"/>
      <c r="BD110" s="278"/>
      <c r="BE110" s="278"/>
      <c r="BF110" s="278"/>
      <c r="BG110" s="278"/>
      <c r="BH110" s="391"/>
      <c r="BI110" s="460"/>
      <c r="BJ110" s="394"/>
      <c r="BK110" s="394"/>
      <c r="BL110" s="394"/>
      <c r="BM110" s="394"/>
      <c r="BN110" s="394"/>
      <c r="BO110" s="394"/>
      <c r="BP110" s="394"/>
      <c r="BQ110" s="394"/>
      <c r="BR110" s="394"/>
      <c r="BS110" s="278"/>
      <c r="BT110" s="391"/>
    </row>
    <row r="111" spans="1:72" x14ac:dyDescent="0.25">
      <c r="A111" s="341"/>
      <c r="B111" s="390" t="s">
        <v>38</v>
      </c>
      <c r="C111" s="429">
        <v>549</v>
      </c>
      <c r="D111" s="280">
        <v>568</v>
      </c>
      <c r="E111" s="280">
        <v>486</v>
      </c>
      <c r="F111" s="280">
        <v>478</v>
      </c>
      <c r="G111" s="280">
        <v>558</v>
      </c>
      <c r="H111" s="280">
        <v>489</v>
      </c>
      <c r="I111" s="280">
        <v>471</v>
      </c>
      <c r="J111" s="280">
        <v>537</v>
      </c>
      <c r="K111" s="280">
        <v>406</v>
      </c>
      <c r="L111" s="430">
        <v>562</v>
      </c>
      <c r="M111" s="429">
        <v>454</v>
      </c>
      <c r="N111" s="280">
        <v>483</v>
      </c>
      <c r="O111" s="280">
        <v>598</v>
      </c>
      <c r="P111" s="280">
        <v>444</v>
      </c>
      <c r="Q111" s="280">
        <v>402</v>
      </c>
      <c r="R111" s="280">
        <v>608</v>
      </c>
      <c r="S111" s="280">
        <v>506</v>
      </c>
      <c r="T111" s="280">
        <v>470</v>
      </c>
      <c r="U111" s="280">
        <v>497</v>
      </c>
      <c r="V111" s="280">
        <v>456</v>
      </c>
      <c r="W111" s="280">
        <v>397</v>
      </c>
      <c r="X111" s="430">
        <v>528</v>
      </c>
      <c r="Y111" s="280">
        <v>488</v>
      </c>
      <c r="Z111" s="280">
        <v>461</v>
      </c>
      <c r="AA111" s="280">
        <v>780</v>
      </c>
      <c r="AB111" s="280">
        <v>488</v>
      </c>
      <c r="AC111" s="280" t="e">
        <f>SUM(#REF!)</f>
        <v>#REF!</v>
      </c>
      <c r="AD111" s="280" t="e">
        <f>SUM(#REF!)</f>
        <v>#REF!</v>
      </c>
      <c r="AE111" s="280">
        <v>0</v>
      </c>
      <c r="AF111" s="280">
        <v>0</v>
      </c>
      <c r="AG111" s="280">
        <v>0</v>
      </c>
      <c r="AH111" s="280"/>
      <c r="AI111" s="280"/>
      <c r="AJ111" s="280"/>
      <c r="AK111" s="280"/>
      <c r="AL111" s="280"/>
      <c r="AM111" s="280"/>
      <c r="AN111" s="280"/>
      <c r="AO111" s="280"/>
      <c r="AP111" s="280"/>
      <c r="AQ111" s="280"/>
      <c r="AR111" s="280"/>
      <c r="AS111" s="280"/>
      <c r="AT111" s="280"/>
      <c r="AU111" s="280"/>
      <c r="AV111" s="280"/>
      <c r="AW111" s="460"/>
      <c r="AX111" s="394"/>
      <c r="AY111" s="394"/>
      <c r="AZ111" s="394"/>
      <c r="BA111" s="278"/>
      <c r="BB111" s="278"/>
      <c r="BC111" s="278"/>
      <c r="BD111" s="278"/>
      <c r="BE111" s="278"/>
      <c r="BF111" s="278"/>
      <c r="BG111" s="278"/>
      <c r="BH111" s="391"/>
      <c r="BI111" s="460"/>
      <c r="BJ111" s="394"/>
      <c r="BK111" s="394"/>
      <c r="BL111" s="394"/>
      <c r="BM111" s="394"/>
      <c r="BN111" s="394"/>
      <c r="BO111" s="394"/>
      <c r="BP111" s="394"/>
      <c r="BQ111" s="394"/>
      <c r="BR111" s="394"/>
      <c r="BS111" s="278"/>
      <c r="BT111" s="391"/>
    </row>
    <row r="112" spans="1:72" x14ac:dyDescent="0.25">
      <c r="A112" s="341"/>
      <c r="B112" s="390" t="s">
        <v>39</v>
      </c>
      <c r="C112" s="429">
        <v>27</v>
      </c>
      <c r="D112" s="280">
        <v>34</v>
      </c>
      <c r="E112" s="280">
        <v>11</v>
      </c>
      <c r="F112" s="280">
        <v>28</v>
      </c>
      <c r="G112" s="280">
        <v>34</v>
      </c>
      <c r="H112" s="280">
        <v>30</v>
      </c>
      <c r="I112" s="280">
        <v>35</v>
      </c>
      <c r="J112" s="280">
        <v>20</v>
      </c>
      <c r="K112" s="280">
        <v>26</v>
      </c>
      <c r="L112" s="430">
        <v>32</v>
      </c>
      <c r="M112" s="429">
        <v>25</v>
      </c>
      <c r="N112" s="280">
        <v>26</v>
      </c>
      <c r="O112" s="280">
        <v>27</v>
      </c>
      <c r="P112" s="280">
        <v>21</v>
      </c>
      <c r="Q112" s="280">
        <v>18</v>
      </c>
      <c r="R112" s="280">
        <v>36</v>
      </c>
      <c r="S112" s="280">
        <v>32</v>
      </c>
      <c r="T112" s="280">
        <v>29</v>
      </c>
      <c r="U112" s="280">
        <v>28</v>
      </c>
      <c r="V112" s="280">
        <v>31</v>
      </c>
      <c r="W112" s="280">
        <v>20</v>
      </c>
      <c r="X112" s="430">
        <v>33</v>
      </c>
      <c r="Y112" s="280">
        <v>29</v>
      </c>
      <c r="Z112" s="280">
        <v>25</v>
      </c>
      <c r="AA112" s="280">
        <v>48</v>
      </c>
      <c r="AB112" s="280">
        <v>24</v>
      </c>
      <c r="AC112" s="280" t="e">
        <f>SUM(#REF!)</f>
        <v>#REF!</v>
      </c>
      <c r="AD112" s="280" t="e">
        <f>SUM(#REF!)</f>
        <v>#REF!</v>
      </c>
      <c r="AE112" s="280">
        <v>0</v>
      </c>
      <c r="AF112" s="280">
        <v>0</v>
      </c>
      <c r="AG112" s="280">
        <v>0</v>
      </c>
      <c r="AH112" s="280"/>
      <c r="AI112" s="280"/>
      <c r="AJ112" s="280"/>
      <c r="AK112" s="280"/>
      <c r="AL112" s="280"/>
      <c r="AM112" s="280"/>
      <c r="AN112" s="280"/>
      <c r="AO112" s="280"/>
      <c r="AP112" s="280"/>
      <c r="AQ112" s="280"/>
      <c r="AR112" s="280"/>
      <c r="AS112" s="280"/>
      <c r="AT112" s="280"/>
      <c r="AU112" s="280"/>
      <c r="AV112" s="280"/>
      <c r="AW112" s="460"/>
      <c r="AX112" s="394"/>
      <c r="AY112" s="394"/>
      <c r="AZ112" s="394"/>
      <c r="BA112" s="278"/>
      <c r="BB112" s="278"/>
      <c r="BC112" s="278"/>
      <c r="BD112" s="278"/>
      <c r="BE112" s="278"/>
      <c r="BF112" s="278"/>
      <c r="BG112" s="278"/>
      <c r="BH112" s="391"/>
      <c r="BI112" s="460"/>
      <c r="BJ112" s="394"/>
      <c r="BK112" s="394"/>
      <c r="BL112" s="394"/>
      <c r="BM112" s="394"/>
      <c r="BN112" s="394"/>
      <c r="BO112" s="394"/>
      <c r="BP112" s="394"/>
      <c r="BQ112" s="394"/>
      <c r="BR112" s="394"/>
      <c r="BS112" s="278"/>
      <c r="BT112" s="391"/>
    </row>
    <row r="113" spans="1:72" ht="15.75" thickBot="1" x14ac:dyDescent="0.3">
      <c r="A113" s="341"/>
      <c r="B113" s="392" t="s">
        <v>40</v>
      </c>
      <c r="C113" s="447">
        <f>SUM(C108:C112)</f>
        <v>42353</v>
      </c>
      <c r="D113" s="407">
        <f>SUM(D108:D112)</f>
        <v>44547</v>
      </c>
      <c r="E113" s="407">
        <f t="shared" ref="E113:V113" si="207">SUM(E108:E112)</f>
        <v>44377</v>
      </c>
      <c r="F113" s="407">
        <f t="shared" si="207"/>
        <v>37017</v>
      </c>
      <c r="G113" s="407">
        <f t="shared" si="207"/>
        <v>38500</v>
      </c>
      <c r="H113" s="407">
        <f t="shared" si="207"/>
        <v>35554</v>
      </c>
      <c r="I113" s="407">
        <f t="shared" si="207"/>
        <v>35608</v>
      </c>
      <c r="J113" s="407">
        <f t="shared" si="207"/>
        <v>39386</v>
      </c>
      <c r="K113" s="407">
        <f t="shared" si="207"/>
        <v>32097</v>
      </c>
      <c r="L113" s="393">
        <f t="shared" si="207"/>
        <v>43183</v>
      </c>
      <c r="M113" s="447">
        <f t="shared" si="207"/>
        <v>43849</v>
      </c>
      <c r="N113" s="407">
        <f t="shared" si="207"/>
        <v>44561</v>
      </c>
      <c r="O113" s="407">
        <f t="shared" si="207"/>
        <v>50742</v>
      </c>
      <c r="P113" s="407">
        <f t="shared" si="207"/>
        <v>41449</v>
      </c>
      <c r="Q113" s="407">
        <f t="shared" si="207"/>
        <v>40468</v>
      </c>
      <c r="R113" s="407">
        <f t="shared" si="207"/>
        <v>51214</v>
      </c>
      <c r="S113" s="407">
        <f t="shared" si="207"/>
        <v>38664</v>
      </c>
      <c r="T113" s="407">
        <f t="shared" si="207"/>
        <v>36530</v>
      </c>
      <c r="U113" s="407">
        <f t="shared" si="207"/>
        <v>37412</v>
      </c>
      <c r="V113" s="407">
        <f t="shared" si="207"/>
        <v>37665</v>
      </c>
      <c r="W113" s="407">
        <f t="shared" ref="W113:AB113" si="208">SUM(W108:W112)</f>
        <v>32576</v>
      </c>
      <c r="X113" s="393">
        <f t="shared" si="208"/>
        <v>44758</v>
      </c>
      <c r="Y113" s="407">
        <f t="shared" si="208"/>
        <v>40172</v>
      </c>
      <c r="Z113" s="407">
        <f t="shared" si="208"/>
        <v>38536</v>
      </c>
      <c r="AA113" s="407">
        <f t="shared" si="208"/>
        <v>55425</v>
      </c>
      <c r="AB113" s="407">
        <f t="shared" si="208"/>
        <v>43879</v>
      </c>
      <c r="AC113" s="407" t="e">
        <f t="shared" ref="AC113:AI113" si="209">SUM(AC108:AC112)</f>
        <v>#REF!</v>
      </c>
      <c r="AD113" s="407" t="e">
        <f t="shared" si="209"/>
        <v>#REF!</v>
      </c>
      <c r="AE113" s="407">
        <f t="shared" si="209"/>
        <v>34709</v>
      </c>
      <c r="AF113" s="407">
        <f t="shared" si="209"/>
        <v>43611</v>
      </c>
      <c r="AG113" s="407">
        <f t="shared" si="209"/>
        <v>35467</v>
      </c>
      <c r="AH113" s="407">
        <f t="shared" si="209"/>
        <v>35471</v>
      </c>
      <c r="AI113" s="407">
        <f t="shared" si="209"/>
        <v>45890</v>
      </c>
      <c r="AJ113" s="407">
        <f>SUM(AJ108:AJ112)</f>
        <v>36512</v>
      </c>
      <c r="AK113" s="407">
        <f>SUM(AK108:AK112)</f>
        <v>38422</v>
      </c>
      <c r="AL113" s="407">
        <f>SUM(AL108:AL112)</f>
        <v>45460</v>
      </c>
      <c r="AM113" s="407">
        <v>51973</v>
      </c>
      <c r="AN113" s="407">
        <f>SUM(AN108:AN112)</f>
        <v>40205</v>
      </c>
      <c r="AO113" s="407">
        <v>45993</v>
      </c>
      <c r="AP113" s="407">
        <v>43332</v>
      </c>
      <c r="AQ113" s="407">
        <v>36878</v>
      </c>
      <c r="AR113" s="407">
        <v>42834</v>
      </c>
      <c r="AS113" s="407">
        <v>33950</v>
      </c>
      <c r="AT113" s="407">
        <v>37025</v>
      </c>
      <c r="AU113" s="407">
        <v>38307</v>
      </c>
      <c r="AV113" s="407">
        <v>37583</v>
      </c>
      <c r="AW113" s="467">
        <f>AW108</f>
        <v>46194</v>
      </c>
      <c r="AX113" s="408">
        <f>AX108</f>
        <v>45282</v>
      </c>
      <c r="AY113" s="408">
        <f t="shared" ref="AY113:BB113" si="210">AY108</f>
        <v>51285</v>
      </c>
      <c r="AZ113" s="408">
        <f t="shared" si="210"/>
        <v>41999</v>
      </c>
      <c r="BA113" s="408">
        <f t="shared" si="210"/>
        <v>51854</v>
      </c>
      <c r="BB113" s="408">
        <f t="shared" si="210"/>
        <v>40618</v>
      </c>
      <c r="BC113" s="396">
        <f>SUM(BC108:BC112)</f>
        <v>43087</v>
      </c>
      <c r="BD113" s="396">
        <f t="shared" ref="BD113:BF113" si="211">SUM(BD108:BD112)</f>
        <v>40397</v>
      </c>
      <c r="BE113" s="396">
        <f t="shared" si="211"/>
        <v>35500</v>
      </c>
      <c r="BF113" s="396">
        <f t="shared" si="211"/>
        <v>57258</v>
      </c>
      <c r="BG113" s="375"/>
      <c r="BH113" s="448"/>
      <c r="BI113" s="460">
        <f t="shared" ref="BI113" si="212">AW113-AK113</f>
        <v>7772</v>
      </c>
      <c r="BJ113" s="394">
        <f t="shared" ref="BJ113" si="213">AX113-AL113</f>
        <v>-178</v>
      </c>
      <c r="BK113" s="394">
        <f t="shared" ref="BK113" si="214">AY113-AM113</f>
        <v>-688</v>
      </c>
      <c r="BL113" s="394">
        <f t="shared" ref="BL113:BO113" si="215">AZ113-AN113</f>
        <v>1794</v>
      </c>
      <c r="BM113" s="394">
        <f t="shared" si="215"/>
        <v>5861</v>
      </c>
      <c r="BN113" s="394">
        <f t="shared" si="215"/>
        <v>-2714</v>
      </c>
      <c r="BO113" s="394">
        <f t="shared" si="215"/>
        <v>6209</v>
      </c>
      <c r="BP113" s="394">
        <f t="shared" ref="BP113" si="216">BD113-AR113</f>
        <v>-2437</v>
      </c>
      <c r="BQ113" s="394">
        <f t="shared" ref="BQ113" si="217">BE113-AS113</f>
        <v>1550</v>
      </c>
      <c r="BR113" s="394">
        <f t="shared" ref="BR113" si="218">BF113-AT113</f>
        <v>20233</v>
      </c>
      <c r="BS113" s="375"/>
      <c r="BT113" s="448"/>
    </row>
    <row r="114" spans="1:72" x14ac:dyDescent="0.25">
      <c r="A114" s="341">
        <f>+A107+1</f>
        <v>16</v>
      </c>
      <c r="B114" s="387" t="s">
        <v>43</v>
      </c>
      <c r="C114" s="443"/>
      <c r="D114" s="410"/>
      <c r="E114" s="410"/>
      <c r="F114" s="410"/>
      <c r="G114" s="410"/>
      <c r="H114" s="410"/>
      <c r="I114" s="410"/>
      <c r="J114" s="410"/>
      <c r="K114" s="410"/>
      <c r="L114" s="411"/>
      <c r="M114" s="443"/>
      <c r="N114" s="410"/>
      <c r="O114" s="410"/>
      <c r="P114" s="410"/>
      <c r="Q114" s="410"/>
      <c r="R114" s="410"/>
      <c r="S114" s="410"/>
      <c r="T114" s="410"/>
      <c r="U114" s="410"/>
      <c r="V114" s="410"/>
      <c r="W114" s="410"/>
      <c r="X114" s="411"/>
      <c r="Y114" s="410"/>
      <c r="Z114" s="410"/>
      <c r="AA114" s="410"/>
      <c r="AB114" s="410"/>
      <c r="AC114" s="410"/>
      <c r="AD114" s="410"/>
      <c r="AE114" s="410"/>
      <c r="AF114" s="410"/>
      <c r="AG114" s="410"/>
      <c r="AH114" s="410"/>
      <c r="AI114" s="410"/>
      <c r="AJ114" s="410"/>
      <c r="AK114" s="410"/>
      <c r="AL114" s="410"/>
      <c r="AM114" s="410"/>
      <c r="AN114" s="410"/>
      <c r="AO114" s="410"/>
      <c r="AP114" s="410"/>
      <c r="AQ114" s="410"/>
      <c r="AR114" s="410"/>
      <c r="AS114" s="410"/>
      <c r="AT114" s="410"/>
      <c r="AU114" s="410"/>
      <c r="AV114" s="410"/>
      <c r="AW114" s="459"/>
      <c r="AX114" s="388"/>
      <c r="AY114" s="388"/>
      <c r="AZ114" s="388"/>
      <c r="BA114" s="388"/>
      <c r="BB114" s="388"/>
      <c r="BC114" s="388"/>
      <c r="BD114" s="388"/>
      <c r="BE114" s="388"/>
      <c r="BF114" s="388"/>
      <c r="BG114" s="388"/>
      <c r="BH114" s="389"/>
      <c r="BI114" s="459"/>
      <c r="BJ114" s="388"/>
      <c r="BK114" s="388"/>
      <c r="BL114" s="388"/>
      <c r="BM114" s="388"/>
      <c r="BN114" s="388"/>
      <c r="BO114" s="388"/>
      <c r="BP114" s="388"/>
      <c r="BQ114" s="388"/>
      <c r="BR114" s="388"/>
      <c r="BS114" s="388"/>
      <c r="BT114" s="389"/>
    </row>
    <row r="115" spans="1:72" x14ac:dyDescent="0.25">
      <c r="A115" s="341"/>
      <c r="B115" s="390" t="s">
        <v>35</v>
      </c>
      <c r="C115" s="432">
        <f>C94-C101</f>
        <v>1095955.7199999997</v>
      </c>
      <c r="D115" s="108">
        <f>D94-D101</f>
        <v>-583025.21</v>
      </c>
      <c r="E115" s="108">
        <f t="shared" ref="E115:V115" si="219">E94-E101</f>
        <v>-1273980.9700000002</v>
      </c>
      <c r="F115" s="108">
        <f t="shared" si="219"/>
        <v>-754083.29</v>
      </c>
      <c r="G115" s="108">
        <f t="shared" si="219"/>
        <v>-678775.79</v>
      </c>
      <c r="H115" s="108">
        <f t="shared" si="219"/>
        <v>-308283.56000000006</v>
      </c>
      <c r="I115" s="108">
        <f t="shared" si="219"/>
        <v>-186856.56000000006</v>
      </c>
      <c r="J115" s="108">
        <f t="shared" si="219"/>
        <v>-177026.30000000005</v>
      </c>
      <c r="K115" s="108">
        <f t="shared" si="219"/>
        <v>1461687.17</v>
      </c>
      <c r="L115" s="364">
        <f t="shared" si="219"/>
        <v>2530458.0699999998</v>
      </c>
      <c r="M115" s="432">
        <f t="shared" si="219"/>
        <v>2773012.87</v>
      </c>
      <c r="N115" s="108">
        <f>N94-N101</f>
        <v>767793.09999999963</v>
      </c>
      <c r="O115" s="108">
        <f t="shared" si="219"/>
        <v>-64992.240000000224</v>
      </c>
      <c r="P115" s="108">
        <f t="shared" si="219"/>
        <v>-5602.1299999998882</v>
      </c>
      <c r="Q115" s="108">
        <f t="shared" si="219"/>
        <v>-98451.459999999963</v>
      </c>
      <c r="R115" s="108">
        <f t="shared" si="219"/>
        <v>-2175016.9900000002</v>
      </c>
      <c r="S115" s="108">
        <f t="shared" si="219"/>
        <v>-678991.34000000008</v>
      </c>
      <c r="T115" s="108">
        <f t="shared" si="219"/>
        <v>-293801.89999999991</v>
      </c>
      <c r="U115" s="108">
        <f t="shared" si="219"/>
        <v>-212622.34999999986</v>
      </c>
      <c r="V115" s="108">
        <f t="shared" si="219"/>
        <v>-104017.12000000011</v>
      </c>
      <c r="W115" s="108">
        <f t="shared" ref="W115:AC119" si="220">W94-W101</f>
        <v>1021609.78</v>
      </c>
      <c r="X115" s="364">
        <f t="shared" si="220"/>
        <v>2046329.6</v>
      </c>
      <c r="Y115" s="108">
        <f t="shared" si="220"/>
        <v>3370052.33</v>
      </c>
      <c r="Z115" s="108">
        <f t="shared" si="220"/>
        <v>2309745.63</v>
      </c>
      <c r="AA115" s="108">
        <f t="shared" si="220"/>
        <v>-734639.65000000037</v>
      </c>
      <c r="AB115" s="108">
        <f t="shared" si="220"/>
        <v>-184691.5</v>
      </c>
      <c r="AC115" s="108" t="e">
        <f t="shared" si="220"/>
        <v>#REF!</v>
      </c>
      <c r="AD115" s="108">
        <f t="shared" ref="AD115:AI119" si="221">AD94-AD101</f>
        <v>-4011621.1100000003</v>
      </c>
      <c r="AE115" s="108">
        <f t="shared" si="221"/>
        <v>-2091890.44</v>
      </c>
      <c r="AF115" s="108">
        <f t="shared" si="221"/>
        <v>-2155325.0099999998</v>
      </c>
      <c r="AG115" s="108">
        <f t="shared" si="221"/>
        <v>-1200665.1000000001</v>
      </c>
      <c r="AH115" s="108">
        <f t="shared" si="221"/>
        <v>-1096308.5499999998</v>
      </c>
      <c r="AI115" s="108">
        <f t="shared" si="221"/>
        <v>-2741657.08</v>
      </c>
      <c r="AJ115" s="108">
        <f t="shared" ref="AJ115:AO115" si="222">AJ94-AJ101</f>
        <v>1374531.9400000004</v>
      </c>
      <c r="AK115" s="108">
        <f t="shared" si="222"/>
        <v>202614.16000000015</v>
      </c>
      <c r="AL115" s="108">
        <f t="shared" si="222"/>
        <v>1708236.1600000001</v>
      </c>
      <c r="AM115" s="108">
        <f t="shared" si="222"/>
        <v>-9149307.8399999999</v>
      </c>
      <c r="AN115" s="108">
        <f t="shared" si="222"/>
        <v>-4104578.1899999995</v>
      </c>
      <c r="AO115" s="108">
        <f t="shared" si="222"/>
        <v>-6893285.4199999999</v>
      </c>
      <c r="AP115" s="108">
        <f t="shared" ref="AP115:AU115" si="223">SUM(AP99-AP101)</f>
        <v>-2881087.1500000004</v>
      </c>
      <c r="AQ115" s="108">
        <f t="shared" si="223"/>
        <v>-1826120.83</v>
      </c>
      <c r="AR115" s="108">
        <f t="shared" si="223"/>
        <v>-1492397.1900000004</v>
      </c>
      <c r="AS115" s="108">
        <f t="shared" si="223"/>
        <v>-75303.560000000056</v>
      </c>
      <c r="AT115" s="108">
        <f t="shared" si="223"/>
        <v>-37665.660000000149</v>
      </c>
      <c r="AU115" s="108">
        <f t="shared" si="223"/>
        <v>931586.16000000015</v>
      </c>
      <c r="AV115" s="108">
        <f t="shared" ref="AV115:AY115" si="224">SUM(AV99-AV101)</f>
        <v>5579293.6399999997</v>
      </c>
      <c r="AW115" s="432">
        <f t="shared" si="224"/>
        <v>4771833.7799999993</v>
      </c>
      <c r="AX115" s="108">
        <f t="shared" si="224"/>
        <v>3132678.8499999996</v>
      </c>
      <c r="AY115" s="108">
        <f t="shared" si="224"/>
        <v>-276311.30000000075</v>
      </c>
      <c r="AZ115" s="108">
        <f t="shared" ref="AZ115:BE115" si="225">SUM(AZ99-AZ101)</f>
        <v>-230851.81000000052</v>
      </c>
      <c r="BA115" s="108">
        <f t="shared" si="225"/>
        <v>-5955940.0399999991</v>
      </c>
      <c r="BB115" s="108">
        <f t="shared" si="225"/>
        <v>-3025128.8499999996</v>
      </c>
      <c r="BC115" s="108">
        <f t="shared" si="225"/>
        <v>-4226455</v>
      </c>
      <c r="BD115" s="108">
        <f t="shared" si="225"/>
        <v>-1778826.2599999998</v>
      </c>
      <c r="BE115" s="108">
        <f t="shared" si="225"/>
        <v>-503314.54000000004</v>
      </c>
      <c r="BF115" s="108">
        <f t="shared" ref="BF115" si="226">SUM(BF99-BF101)</f>
        <v>-625181.60000000009</v>
      </c>
      <c r="BG115" s="278"/>
      <c r="BH115" s="391"/>
      <c r="BI115" s="463">
        <f t="shared" ref="BI115:BI120" si="227">AW115-AK115</f>
        <v>4569219.6199999992</v>
      </c>
      <c r="BJ115" s="398">
        <f t="shared" ref="BJ115:BJ120" si="228">AX115-AL115</f>
        <v>1424442.6899999995</v>
      </c>
      <c r="BK115" s="398">
        <f t="shared" ref="BK115:BK120" si="229">AY115-AM115</f>
        <v>8872996.5399999991</v>
      </c>
      <c r="BL115" s="398">
        <f t="shared" ref="BL115:BO120" si="230">AZ115-AN115</f>
        <v>3873726.379999999</v>
      </c>
      <c r="BM115" s="398">
        <f t="shared" si="230"/>
        <v>937345.38000000082</v>
      </c>
      <c r="BN115" s="398">
        <f t="shared" si="230"/>
        <v>-144041.69999999925</v>
      </c>
      <c r="BO115" s="398">
        <f t="shared" si="230"/>
        <v>-2400334.17</v>
      </c>
      <c r="BP115" s="398">
        <f t="shared" ref="BP115:BP120" si="231">BD115-AR115</f>
        <v>-286429.06999999937</v>
      </c>
      <c r="BQ115" s="398">
        <f t="shared" ref="BQ115:BQ120" si="232">BE115-AS115</f>
        <v>-428010.98</v>
      </c>
      <c r="BR115" s="398">
        <f t="shared" ref="BR115:BR120" si="233">BF115-AT115</f>
        <v>-587515.93999999994</v>
      </c>
      <c r="BS115" s="278"/>
      <c r="BT115" s="391"/>
    </row>
    <row r="116" spans="1:72" x14ac:dyDescent="0.25">
      <c r="A116" s="341"/>
      <c r="B116" s="412" t="s">
        <v>36</v>
      </c>
      <c r="C116" s="432">
        <f t="shared" ref="C116:D119" si="234">C95-C102</f>
        <v>180782.34000000008</v>
      </c>
      <c r="D116" s="108">
        <f t="shared" si="234"/>
        <v>-247261.17999999993</v>
      </c>
      <c r="E116" s="108">
        <f t="shared" ref="E116:V116" si="235">E95-E102</f>
        <v>-604845.89999999991</v>
      </c>
      <c r="F116" s="108">
        <f t="shared" si="235"/>
        <v>-46128.419999999984</v>
      </c>
      <c r="G116" s="108">
        <f t="shared" si="235"/>
        <v>-44653.66</v>
      </c>
      <c r="H116" s="108">
        <f t="shared" si="235"/>
        <v>-20446.579999999987</v>
      </c>
      <c r="I116" s="108">
        <f t="shared" si="235"/>
        <v>13193.200000000012</v>
      </c>
      <c r="J116" s="108">
        <f t="shared" si="235"/>
        <v>36293.649999999994</v>
      </c>
      <c r="K116" s="108">
        <f t="shared" si="235"/>
        <v>294874.34999999998</v>
      </c>
      <c r="L116" s="364">
        <f t="shared" si="235"/>
        <v>577135.22</v>
      </c>
      <c r="M116" s="432">
        <f t="shared" si="235"/>
        <v>58989.330000000075</v>
      </c>
      <c r="N116" s="108">
        <f t="shared" si="235"/>
        <v>39711.429999999935</v>
      </c>
      <c r="O116" s="108">
        <f t="shared" si="235"/>
        <v>-90617.340000000084</v>
      </c>
      <c r="P116" s="108">
        <f t="shared" si="235"/>
        <v>376579.66000000003</v>
      </c>
      <c r="Q116" s="108">
        <f t="shared" si="235"/>
        <v>-100223.19999999995</v>
      </c>
      <c r="R116" s="108">
        <f t="shared" si="235"/>
        <v>-273055.37</v>
      </c>
      <c r="S116" s="108">
        <f t="shared" si="235"/>
        <v>-131951.63</v>
      </c>
      <c r="T116" s="108">
        <f t="shared" si="235"/>
        <v>33110.640000000014</v>
      </c>
      <c r="U116" s="108">
        <f t="shared" si="235"/>
        <v>51725.449999999983</v>
      </c>
      <c r="V116" s="108">
        <f t="shared" si="235"/>
        <v>104036.15</v>
      </c>
      <c r="W116" s="108">
        <f t="shared" si="220"/>
        <v>373824.9</v>
      </c>
      <c r="X116" s="364">
        <f t="shared" si="220"/>
        <v>624483.18999999994</v>
      </c>
      <c r="Y116" s="108">
        <f t="shared" si="220"/>
        <v>846437.88</v>
      </c>
      <c r="Z116" s="108">
        <f t="shared" si="220"/>
        <v>558372.38</v>
      </c>
      <c r="AA116" s="108">
        <f t="shared" si="220"/>
        <v>-281689.99</v>
      </c>
      <c r="AB116" s="108">
        <f t="shared" ref="AB116:AC119" si="236">AB95-AB102</f>
        <v>-820226.74</v>
      </c>
      <c r="AC116" s="108" t="e">
        <f t="shared" si="236"/>
        <v>#REF!</v>
      </c>
      <c r="AD116" s="108" t="e">
        <f t="shared" si="221"/>
        <v>#REF!</v>
      </c>
      <c r="AE116" s="108">
        <f t="shared" si="221"/>
        <v>169120</v>
      </c>
      <c r="AF116" s="108">
        <f t="shared" si="221"/>
        <v>239074</v>
      </c>
      <c r="AG116" s="108">
        <f t="shared" si="221"/>
        <v>212229</v>
      </c>
      <c r="AH116" s="108">
        <f t="shared" ref="AH116:AY116" si="237">AH95-AH102</f>
        <v>229178</v>
      </c>
      <c r="AI116" s="108">
        <f t="shared" si="237"/>
        <v>607293</v>
      </c>
      <c r="AJ116" s="108">
        <f t="shared" si="237"/>
        <v>1351125</v>
      </c>
      <c r="AK116" s="108">
        <f t="shared" si="237"/>
        <v>1872527</v>
      </c>
      <c r="AL116" s="108">
        <f t="shared" si="237"/>
        <v>2106974</v>
      </c>
      <c r="AM116" s="108">
        <f t="shared" si="237"/>
        <v>1689470</v>
      </c>
      <c r="AN116" s="108">
        <f t="shared" si="237"/>
        <v>1634486</v>
      </c>
      <c r="AO116" s="108">
        <f t="shared" si="237"/>
        <v>777633</v>
      </c>
      <c r="AP116" s="108">
        <f t="shared" si="237"/>
        <v>392983</v>
      </c>
      <c r="AQ116" s="108">
        <f t="shared" si="237"/>
        <v>401498</v>
      </c>
      <c r="AR116" s="108">
        <f t="shared" si="237"/>
        <v>297145</v>
      </c>
      <c r="AS116" s="108">
        <f t="shared" si="237"/>
        <v>364747</v>
      </c>
      <c r="AT116" s="108">
        <f t="shared" si="237"/>
        <v>426278</v>
      </c>
      <c r="AU116" s="108">
        <f t="shared" si="237"/>
        <v>678312</v>
      </c>
      <c r="AV116" s="108">
        <f t="shared" si="237"/>
        <v>1515487</v>
      </c>
      <c r="AW116" s="432">
        <f t="shared" si="237"/>
        <v>2240055</v>
      </c>
      <c r="AX116" s="108">
        <f t="shared" si="237"/>
        <v>2062354</v>
      </c>
      <c r="AY116" s="108">
        <f t="shared" si="237"/>
        <v>1891635</v>
      </c>
      <c r="AZ116" s="108">
        <f t="shared" ref="AZ116:BE116" si="238">AZ95-AZ102</f>
        <v>1511408</v>
      </c>
      <c r="BA116" s="108">
        <f t="shared" si="238"/>
        <v>670096</v>
      </c>
      <c r="BB116" s="108">
        <f t="shared" si="238"/>
        <v>337669</v>
      </c>
      <c r="BC116" s="108">
        <f t="shared" si="238"/>
        <v>279616</v>
      </c>
      <c r="BD116" s="108">
        <f t="shared" si="238"/>
        <v>228286</v>
      </c>
      <c r="BE116" s="108">
        <f t="shared" si="238"/>
        <v>278581</v>
      </c>
      <c r="BF116" s="108">
        <f t="shared" ref="BF116" si="239">BF95-BF102</f>
        <v>300654</v>
      </c>
      <c r="BG116" s="278"/>
      <c r="BH116" s="391"/>
      <c r="BI116" s="463">
        <f t="shared" si="227"/>
        <v>367528</v>
      </c>
      <c r="BJ116" s="398">
        <f t="shared" si="228"/>
        <v>-44620</v>
      </c>
      <c r="BK116" s="398">
        <f t="shared" si="229"/>
        <v>202165</v>
      </c>
      <c r="BL116" s="398">
        <f t="shared" si="230"/>
        <v>-123078</v>
      </c>
      <c r="BM116" s="398">
        <f t="shared" si="230"/>
        <v>-107537</v>
      </c>
      <c r="BN116" s="398">
        <f t="shared" si="230"/>
        <v>-55314</v>
      </c>
      <c r="BO116" s="398">
        <f t="shared" si="230"/>
        <v>-121882</v>
      </c>
      <c r="BP116" s="398">
        <f t="shared" si="231"/>
        <v>-68859</v>
      </c>
      <c r="BQ116" s="398">
        <f t="shared" si="232"/>
        <v>-86166</v>
      </c>
      <c r="BR116" s="398">
        <f t="shared" si="233"/>
        <v>-125624</v>
      </c>
      <c r="BS116" s="278"/>
      <c r="BT116" s="391"/>
    </row>
    <row r="117" spans="1:72" x14ac:dyDescent="0.25">
      <c r="A117" s="341"/>
      <c r="B117" s="390" t="s">
        <v>37</v>
      </c>
      <c r="C117" s="432">
        <f t="shared" si="234"/>
        <v>36741.139999999898</v>
      </c>
      <c r="D117" s="108">
        <f t="shared" si="234"/>
        <v>-329815.71999999997</v>
      </c>
      <c r="E117" s="108">
        <f t="shared" ref="E117:V117" si="240">E96-E103</f>
        <v>-272123.66000000003</v>
      </c>
      <c r="F117" s="108">
        <f t="shared" si="240"/>
        <v>-126996.37</v>
      </c>
      <c r="G117" s="108">
        <f t="shared" si="240"/>
        <v>-65639.06</v>
      </c>
      <c r="H117" s="108">
        <f t="shared" si="240"/>
        <v>-20065.059999999998</v>
      </c>
      <c r="I117" s="108">
        <f t="shared" si="240"/>
        <v>3621.7699999999895</v>
      </c>
      <c r="J117" s="108">
        <f t="shared" si="240"/>
        <v>-3837.5899999999965</v>
      </c>
      <c r="K117" s="108">
        <f t="shared" si="240"/>
        <v>221984.58</v>
      </c>
      <c r="L117" s="364">
        <f t="shared" si="240"/>
        <v>419358.02</v>
      </c>
      <c r="M117" s="432">
        <f t="shared" si="240"/>
        <v>545557.32999999996</v>
      </c>
      <c r="N117" s="108">
        <f t="shared" si="240"/>
        <v>-36967.419999999925</v>
      </c>
      <c r="O117" s="108">
        <f t="shared" si="240"/>
        <v>-237559.06000000006</v>
      </c>
      <c r="P117" s="108">
        <f t="shared" si="240"/>
        <v>-103259.83999999997</v>
      </c>
      <c r="Q117" s="108">
        <f t="shared" si="240"/>
        <v>-126114.76000000001</v>
      </c>
      <c r="R117" s="108">
        <f t="shared" si="240"/>
        <v>-466460.56999999995</v>
      </c>
      <c r="S117" s="108">
        <f>S96-S103</f>
        <v>-98781.25</v>
      </c>
      <c r="T117" s="108">
        <f t="shared" si="240"/>
        <v>-48814.850000000006</v>
      </c>
      <c r="U117" s="108">
        <f t="shared" si="240"/>
        <v>-86039.18</v>
      </c>
      <c r="V117" s="108">
        <f t="shared" si="240"/>
        <v>6367.4100000000035</v>
      </c>
      <c r="W117" s="108">
        <f t="shared" si="220"/>
        <v>185753.67</v>
      </c>
      <c r="X117" s="364">
        <f t="shared" si="220"/>
        <v>363580.6</v>
      </c>
      <c r="Y117" s="108">
        <f t="shared" si="220"/>
        <v>586182.5</v>
      </c>
      <c r="Z117" s="108">
        <f t="shared" si="220"/>
        <v>249432.33000000007</v>
      </c>
      <c r="AA117" s="108">
        <f t="shared" si="220"/>
        <v>-516175.3600000001</v>
      </c>
      <c r="AB117" s="108">
        <f t="shared" si="236"/>
        <v>-347373.53</v>
      </c>
      <c r="AC117" s="108" t="e">
        <f t="shared" si="236"/>
        <v>#REF!</v>
      </c>
      <c r="AD117" s="108" t="e">
        <f t="shared" si="221"/>
        <v>#REF!</v>
      </c>
      <c r="AE117" s="108">
        <f t="shared" si="221"/>
        <v>185051</v>
      </c>
      <c r="AF117" s="108">
        <f t="shared" si="221"/>
        <v>193515</v>
      </c>
      <c r="AG117" s="108">
        <f t="shared" si="221"/>
        <v>200269</v>
      </c>
      <c r="AH117" s="108">
        <f t="shared" si="221"/>
        <v>202701</v>
      </c>
      <c r="AI117" s="108">
        <f t="shared" si="221"/>
        <v>438898</v>
      </c>
      <c r="AJ117" s="108">
        <f t="shared" ref="AJ117:AY117" si="241">AJ96-AJ103</f>
        <v>1175731</v>
      </c>
      <c r="AK117" s="108">
        <f t="shared" si="241"/>
        <v>1822448</v>
      </c>
      <c r="AL117" s="108">
        <f t="shared" si="241"/>
        <v>2197462</v>
      </c>
      <c r="AM117" s="108">
        <f t="shared" si="241"/>
        <v>1765951</v>
      </c>
      <c r="AN117" s="108">
        <f t="shared" si="241"/>
        <v>1387730</v>
      </c>
      <c r="AO117" s="108">
        <f t="shared" si="241"/>
        <v>635047</v>
      </c>
      <c r="AP117" s="108">
        <f t="shared" si="241"/>
        <v>381494</v>
      </c>
      <c r="AQ117" s="108">
        <f t="shared" si="241"/>
        <v>334173</v>
      </c>
      <c r="AR117" s="108">
        <f t="shared" si="241"/>
        <v>204456</v>
      </c>
      <c r="AS117" s="108">
        <f t="shared" si="241"/>
        <v>284598</v>
      </c>
      <c r="AT117" s="108">
        <f t="shared" si="241"/>
        <v>372657</v>
      </c>
      <c r="AU117" s="108">
        <f t="shared" si="241"/>
        <v>514864</v>
      </c>
      <c r="AV117" s="108">
        <f t="shared" si="241"/>
        <v>1262956</v>
      </c>
      <c r="AW117" s="432">
        <f t="shared" si="241"/>
        <v>1900472</v>
      </c>
      <c r="AX117" s="108">
        <f t="shared" si="241"/>
        <v>1911729</v>
      </c>
      <c r="AY117" s="108">
        <f t="shared" si="241"/>
        <v>1675006</v>
      </c>
      <c r="AZ117" s="108">
        <f t="shared" ref="AZ117:BE117" si="242">AZ96-AZ103</f>
        <v>1278341</v>
      </c>
      <c r="BA117" s="108">
        <f t="shared" si="242"/>
        <v>512298</v>
      </c>
      <c r="BB117" s="108">
        <f t="shared" si="242"/>
        <v>260544</v>
      </c>
      <c r="BC117" s="108">
        <f t="shared" si="242"/>
        <v>217223</v>
      </c>
      <c r="BD117" s="108">
        <f t="shared" si="242"/>
        <v>178121</v>
      </c>
      <c r="BE117" s="108">
        <f t="shared" si="242"/>
        <v>189813</v>
      </c>
      <c r="BF117" s="108">
        <f t="shared" ref="BF117" si="243">BF96-BF103</f>
        <v>198021</v>
      </c>
      <c r="BG117" s="278"/>
      <c r="BH117" s="391"/>
      <c r="BI117" s="463">
        <f t="shared" si="227"/>
        <v>78024</v>
      </c>
      <c r="BJ117" s="398">
        <f t="shared" si="228"/>
        <v>-285733</v>
      </c>
      <c r="BK117" s="398">
        <f t="shared" si="229"/>
        <v>-90945</v>
      </c>
      <c r="BL117" s="398">
        <f t="shared" si="230"/>
        <v>-109389</v>
      </c>
      <c r="BM117" s="398">
        <f t="shared" si="230"/>
        <v>-122749</v>
      </c>
      <c r="BN117" s="398">
        <f t="shared" si="230"/>
        <v>-120950</v>
      </c>
      <c r="BO117" s="398">
        <f t="shared" si="230"/>
        <v>-116950</v>
      </c>
      <c r="BP117" s="398">
        <f t="shared" si="231"/>
        <v>-26335</v>
      </c>
      <c r="BQ117" s="398">
        <f t="shared" si="232"/>
        <v>-94785</v>
      </c>
      <c r="BR117" s="398">
        <f t="shared" si="233"/>
        <v>-174636</v>
      </c>
      <c r="BS117" s="278"/>
      <c r="BT117" s="391"/>
    </row>
    <row r="118" spans="1:72" x14ac:dyDescent="0.25">
      <c r="A118" s="341"/>
      <c r="B118" s="390" t="s">
        <v>38</v>
      </c>
      <c r="C118" s="432">
        <f t="shared" si="234"/>
        <v>-261964.59000000008</v>
      </c>
      <c r="D118" s="108">
        <f t="shared" si="234"/>
        <v>-188087.92999999993</v>
      </c>
      <c r="E118" s="108">
        <f t="shared" ref="E118:V118" si="244">E97-E104</f>
        <v>-341438.87999999989</v>
      </c>
      <c r="F118" s="108">
        <f t="shared" si="244"/>
        <v>-640213.06000000006</v>
      </c>
      <c r="G118" s="108">
        <f t="shared" si="244"/>
        <v>-187125.96999999997</v>
      </c>
      <c r="H118" s="108">
        <f t="shared" si="244"/>
        <v>-38515.329999999987</v>
      </c>
      <c r="I118" s="108">
        <f t="shared" si="244"/>
        <v>21515.709999999992</v>
      </c>
      <c r="J118" s="108">
        <f t="shared" si="244"/>
        <v>9773.859999999986</v>
      </c>
      <c r="K118" s="108">
        <f t="shared" si="244"/>
        <v>373476.98300000001</v>
      </c>
      <c r="L118" s="364">
        <f t="shared" si="244"/>
        <v>421637.72</v>
      </c>
      <c r="M118" s="432">
        <f t="shared" si="244"/>
        <v>600628.64999999991</v>
      </c>
      <c r="N118" s="108">
        <f t="shared" si="244"/>
        <v>-31336.189999999944</v>
      </c>
      <c r="O118" s="108">
        <f t="shared" si="244"/>
        <v>-321307.8899999999</v>
      </c>
      <c r="P118" s="108">
        <f t="shared" si="244"/>
        <v>-18591.159999999916</v>
      </c>
      <c r="Q118" s="108">
        <f t="shared" si="244"/>
        <v>-88444.079999999958</v>
      </c>
      <c r="R118" s="108">
        <f t="shared" si="244"/>
        <v>-592444.72</v>
      </c>
      <c r="S118" s="108">
        <f t="shared" si="244"/>
        <v>-135999.38</v>
      </c>
      <c r="T118" s="108">
        <f t="shared" si="244"/>
        <v>-42478.559999999998</v>
      </c>
      <c r="U118" s="108">
        <f t="shared" si="244"/>
        <v>-100743.59000000001</v>
      </c>
      <c r="V118" s="108">
        <f t="shared" si="244"/>
        <v>17030.98000000001</v>
      </c>
      <c r="W118" s="108">
        <f t="shared" si="220"/>
        <v>278869.5</v>
      </c>
      <c r="X118" s="364">
        <f t="shared" si="220"/>
        <v>450574.05000000005</v>
      </c>
      <c r="Y118" s="108">
        <f t="shared" si="220"/>
        <v>841932.89</v>
      </c>
      <c r="Z118" s="108">
        <f t="shared" si="220"/>
        <v>202891.74</v>
      </c>
      <c r="AA118" s="108">
        <f t="shared" si="220"/>
        <v>-828588.89000000013</v>
      </c>
      <c r="AB118" s="108">
        <f t="shared" si="236"/>
        <v>-171517.65999999992</v>
      </c>
      <c r="AC118" s="108" t="e">
        <f t="shared" si="236"/>
        <v>#REF!</v>
      </c>
      <c r="AD118" s="108" t="e">
        <f t="shared" si="221"/>
        <v>#REF!</v>
      </c>
      <c r="AE118" s="108">
        <f t="shared" si="221"/>
        <v>225214</v>
      </c>
      <c r="AF118" s="108">
        <f t="shared" si="221"/>
        <v>222079</v>
      </c>
      <c r="AG118" s="108">
        <f t="shared" si="221"/>
        <v>125540</v>
      </c>
      <c r="AH118" s="108">
        <f t="shared" si="221"/>
        <v>208930</v>
      </c>
      <c r="AI118" s="108">
        <f t="shared" si="221"/>
        <v>695033</v>
      </c>
      <c r="AJ118" s="108">
        <f t="shared" ref="AJ118:AY118" si="245">AJ97-AJ104</f>
        <v>1544011</v>
      </c>
      <c r="AK118" s="108">
        <f t="shared" si="245"/>
        <v>2022301</v>
      </c>
      <c r="AL118" s="108">
        <f t="shared" si="245"/>
        <v>2432836</v>
      </c>
      <c r="AM118" s="108">
        <f t="shared" si="245"/>
        <v>2023591</v>
      </c>
      <c r="AN118" s="108">
        <f t="shared" si="245"/>
        <v>1901450</v>
      </c>
      <c r="AO118" s="108">
        <f t="shared" si="245"/>
        <v>1005272</v>
      </c>
      <c r="AP118" s="108">
        <f t="shared" si="245"/>
        <v>992907</v>
      </c>
      <c r="AQ118" s="108">
        <f t="shared" si="245"/>
        <v>364746</v>
      </c>
      <c r="AR118" s="108">
        <f t="shared" si="245"/>
        <v>370058</v>
      </c>
      <c r="AS118" s="108">
        <f t="shared" si="245"/>
        <v>369140</v>
      </c>
      <c r="AT118" s="108">
        <f t="shared" si="245"/>
        <v>479431</v>
      </c>
      <c r="AU118" s="108">
        <f t="shared" si="245"/>
        <v>710772</v>
      </c>
      <c r="AV118" s="108">
        <f t="shared" si="245"/>
        <v>1580179</v>
      </c>
      <c r="AW118" s="432">
        <f t="shared" si="245"/>
        <v>2148175</v>
      </c>
      <c r="AX118" s="108">
        <f t="shared" si="245"/>
        <v>2157200</v>
      </c>
      <c r="AY118" s="108">
        <f t="shared" si="245"/>
        <v>1925814</v>
      </c>
      <c r="AZ118" s="108">
        <f t="shared" ref="AZ118:BE118" si="246">AZ97-AZ104</f>
        <v>1528869</v>
      </c>
      <c r="BA118" s="108">
        <f t="shared" si="246"/>
        <v>570772</v>
      </c>
      <c r="BB118" s="108">
        <f t="shared" si="246"/>
        <v>386892</v>
      </c>
      <c r="BC118" s="108">
        <f t="shared" si="246"/>
        <v>216017</v>
      </c>
      <c r="BD118" s="108">
        <f t="shared" si="246"/>
        <v>188279</v>
      </c>
      <c r="BE118" s="108">
        <f t="shared" si="246"/>
        <v>227707</v>
      </c>
      <c r="BF118" s="108">
        <f t="shared" ref="BF118" si="247">BF97-BF104</f>
        <v>255556</v>
      </c>
      <c r="BG118" s="278"/>
      <c r="BH118" s="391"/>
      <c r="BI118" s="463">
        <f t="shared" si="227"/>
        <v>125874</v>
      </c>
      <c r="BJ118" s="398">
        <f t="shared" si="228"/>
        <v>-275636</v>
      </c>
      <c r="BK118" s="398">
        <f t="shared" si="229"/>
        <v>-97777</v>
      </c>
      <c r="BL118" s="398">
        <f t="shared" si="230"/>
        <v>-372581</v>
      </c>
      <c r="BM118" s="398">
        <f t="shared" si="230"/>
        <v>-434500</v>
      </c>
      <c r="BN118" s="398">
        <f t="shared" si="230"/>
        <v>-606015</v>
      </c>
      <c r="BO118" s="398">
        <f t="shared" si="230"/>
        <v>-148729</v>
      </c>
      <c r="BP118" s="398">
        <f t="shared" si="231"/>
        <v>-181779</v>
      </c>
      <c r="BQ118" s="398">
        <f t="shared" si="232"/>
        <v>-141433</v>
      </c>
      <c r="BR118" s="398">
        <f t="shared" si="233"/>
        <v>-223875</v>
      </c>
      <c r="BS118" s="278"/>
      <c r="BT118" s="391"/>
    </row>
    <row r="119" spans="1:72" x14ac:dyDescent="0.25">
      <c r="A119" s="341"/>
      <c r="B119" s="390" t="s">
        <v>39</v>
      </c>
      <c r="C119" s="432">
        <f t="shared" si="234"/>
        <v>-133467.93000000005</v>
      </c>
      <c r="D119" s="108">
        <f t="shared" si="234"/>
        <v>-418325.67000000004</v>
      </c>
      <c r="E119" s="108">
        <f t="shared" ref="E119:V119" si="248">E98-E105</f>
        <v>5034.0599999999977</v>
      </c>
      <c r="F119" s="108">
        <f t="shared" si="248"/>
        <v>-411856</v>
      </c>
      <c r="G119" s="108">
        <f t="shared" si="248"/>
        <v>-210896.86</v>
      </c>
      <c r="H119" s="108">
        <f t="shared" si="248"/>
        <v>-189716.46000000002</v>
      </c>
      <c r="I119" s="108">
        <f t="shared" si="248"/>
        <v>-202738.93</v>
      </c>
      <c r="J119" s="108">
        <f t="shared" si="248"/>
        <v>-92098.599999999977</v>
      </c>
      <c r="K119" s="108">
        <f t="shared" si="248"/>
        <v>-97613.200000000012</v>
      </c>
      <c r="L119" s="364">
        <f t="shared" si="248"/>
        <v>-101282.78999999998</v>
      </c>
      <c r="M119" s="432">
        <f t="shared" si="248"/>
        <v>-138047.95000000001</v>
      </c>
      <c r="N119" s="108">
        <f t="shared" si="248"/>
        <v>-200695.96999999997</v>
      </c>
      <c r="O119" s="108">
        <f t="shared" si="248"/>
        <v>-180606.83000000002</v>
      </c>
      <c r="P119" s="108">
        <f t="shared" si="248"/>
        <v>-25756.200000000012</v>
      </c>
      <c r="Q119" s="108">
        <f t="shared" si="248"/>
        <v>-187823.64</v>
      </c>
      <c r="R119" s="108">
        <f t="shared" si="248"/>
        <v>-347215.03</v>
      </c>
      <c r="S119" s="108">
        <f t="shared" si="248"/>
        <v>-173714.96999999997</v>
      </c>
      <c r="T119" s="108">
        <f t="shared" si="248"/>
        <v>-245011.27000000002</v>
      </c>
      <c r="U119" s="108">
        <f t="shared" si="248"/>
        <v>-146798.76000000004</v>
      </c>
      <c r="V119" s="108">
        <f t="shared" si="248"/>
        <v>-199758.90999999997</v>
      </c>
      <c r="W119" s="108">
        <f t="shared" si="220"/>
        <v>74623.19</v>
      </c>
      <c r="X119" s="364">
        <f t="shared" si="220"/>
        <v>-282215.84999999998</v>
      </c>
      <c r="Y119" s="108">
        <f t="shared" si="220"/>
        <v>-54915.570000000007</v>
      </c>
      <c r="Z119" s="108">
        <f t="shared" si="220"/>
        <v>-162142.76</v>
      </c>
      <c r="AA119" s="108">
        <f t="shared" si="220"/>
        <v>-577652.09</v>
      </c>
      <c r="AB119" s="108">
        <f t="shared" si="236"/>
        <v>-238721.62</v>
      </c>
      <c r="AC119" s="108" t="e">
        <f t="shared" si="236"/>
        <v>#REF!</v>
      </c>
      <c r="AD119" s="108" t="e">
        <f t="shared" si="221"/>
        <v>#REF!</v>
      </c>
      <c r="AE119" s="108">
        <f t="shared" si="221"/>
        <v>174336</v>
      </c>
      <c r="AF119" s="108">
        <f t="shared" si="221"/>
        <v>226038</v>
      </c>
      <c r="AG119" s="108">
        <f t="shared" si="221"/>
        <v>39454</v>
      </c>
      <c r="AH119" s="108">
        <f t="shared" si="221"/>
        <v>194495</v>
      </c>
      <c r="AI119" s="108">
        <f t="shared" si="221"/>
        <v>321514</v>
      </c>
      <c r="AJ119" s="108">
        <f t="shared" ref="AJ119:AY119" si="249">AJ98-AJ105</f>
        <v>432022</v>
      </c>
      <c r="AK119" s="108">
        <f t="shared" si="249"/>
        <v>446912</v>
      </c>
      <c r="AL119" s="108">
        <f t="shared" si="249"/>
        <v>584590</v>
      </c>
      <c r="AM119" s="108">
        <f t="shared" si="249"/>
        <v>329651</v>
      </c>
      <c r="AN119" s="108">
        <f t="shared" si="249"/>
        <v>365988</v>
      </c>
      <c r="AO119" s="108">
        <f t="shared" si="249"/>
        <v>512367</v>
      </c>
      <c r="AP119" s="108">
        <f t="shared" si="249"/>
        <v>333912</v>
      </c>
      <c r="AQ119" s="108">
        <f t="shared" si="249"/>
        <v>184014</v>
      </c>
      <c r="AR119" s="108">
        <f t="shared" si="249"/>
        <v>432139</v>
      </c>
      <c r="AS119" s="108">
        <f t="shared" si="249"/>
        <v>298029</v>
      </c>
      <c r="AT119" s="108">
        <f t="shared" si="249"/>
        <v>406192</v>
      </c>
      <c r="AU119" s="108">
        <f t="shared" si="249"/>
        <v>321727</v>
      </c>
      <c r="AV119" s="108">
        <f t="shared" si="249"/>
        <v>384096</v>
      </c>
      <c r="AW119" s="432">
        <f t="shared" si="249"/>
        <v>376520</v>
      </c>
      <c r="AX119" s="108">
        <f t="shared" si="249"/>
        <v>360738</v>
      </c>
      <c r="AY119" s="108">
        <f t="shared" si="249"/>
        <v>483322</v>
      </c>
      <c r="AZ119" s="108">
        <f t="shared" ref="AZ119:BE119" si="250">AZ98-AZ105</f>
        <v>243711</v>
      </c>
      <c r="BA119" s="108">
        <f t="shared" si="250"/>
        <v>264568</v>
      </c>
      <c r="BB119" s="108">
        <f t="shared" si="250"/>
        <v>313648</v>
      </c>
      <c r="BC119" s="108">
        <f t="shared" si="250"/>
        <v>183074</v>
      </c>
      <c r="BD119" s="108">
        <f t="shared" si="250"/>
        <v>155751</v>
      </c>
      <c r="BE119" s="108">
        <f t="shared" si="250"/>
        <v>158028</v>
      </c>
      <c r="BF119" s="108">
        <f t="shared" ref="BF119" si="251">BF98-BF105</f>
        <v>332909</v>
      </c>
      <c r="BG119" s="278"/>
      <c r="BH119" s="391"/>
      <c r="BI119" s="463">
        <f t="shared" si="227"/>
        <v>-70392</v>
      </c>
      <c r="BJ119" s="398">
        <f t="shared" si="228"/>
        <v>-223852</v>
      </c>
      <c r="BK119" s="398">
        <f t="shared" si="229"/>
        <v>153671</v>
      </c>
      <c r="BL119" s="398">
        <f t="shared" si="230"/>
        <v>-122277</v>
      </c>
      <c r="BM119" s="398">
        <f t="shared" si="230"/>
        <v>-247799</v>
      </c>
      <c r="BN119" s="398">
        <f t="shared" si="230"/>
        <v>-20264</v>
      </c>
      <c r="BO119" s="398">
        <f t="shared" si="230"/>
        <v>-940</v>
      </c>
      <c r="BP119" s="398">
        <f t="shared" si="231"/>
        <v>-276388</v>
      </c>
      <c r="BQ119" s="398">
        <f t="shared" si="232"/>
        <v>-140001</v>
      </c>
      <c r="BR119" s="398">
        <f t="shared" si="233"/>
        <v>-73283</v>
      </c>
      <c r="BS119" s="278"/>
      <c r="BT119" s="391"/>
    </row>
    <row r="120" spans="1:72" ht="15.75" thickBot="1" x14ac:dyDescent="0.3">
      <c r="A120" s="341"/>
      <c r="B120" s="392" t="s">
        <v>40</v>
      </c>
      <c r="C120" s="452">
        <f>SUM(C115:C119)</f>
        <v>918046.67999999959</v>
      </c>
      <c r="D120" s="453">
        <f>SUM(D115:D119)</f>
        <v>-1766515.71</v>
      </c>
      <c r="E120" s="453">
        <f t="shared" ref="E120:V120" si="252">SUM(E115:E119)</f>
        <v>-2487355.35</v>
      </c>
      <c r="F120" s="453">
        <f t="shared" si="252"/>
        <v>-1979277.1400000001</v>
      </c>
      <c r="G120" s="453">
        <f t="shared" si="252"/>
        <v>-1187091.3399999999</v>
      </c>
      <c r="H120" s="453">
        <f t="shared" si="252"/>
        <v>-577026.99</v>
      </c>
      <c r="I120" s="453">
        <f t="shared" si="252"/>
        <v>-351264.81000000006</v>
      </c>
      <c r="J120" s="453">
        <f t="shared" si="252"/>
        <v>-226894.98000000004</v>
      </c>
      <c r="K120" s="453">
        <f t="shared" si="252"/>
        <v>2254409.8829999999</v>
      </c>
      <c r="L120" s="454">
        <f t="shared" si="252"/>
        <v>3847306.24</v>
      </c>
      <c r="M120" s="452">
        <f t="shared" si="252"/>
        <v>3840140.23</v>
      </c>
      <c r="N120" s="453">
        <f t="shared" si="252"/>
        <v>538504.94999999972</v>
      </c>
      <c r="O120" s="453">
        <f t="shared" si="252"/>
        <v>-895083.36000000034</v>
      </c>
      <c r="P120" s="453">
        <f t="shared" si="252"/>
        <v>223370.33000000025</v>
      </c>
      <c r="Q120" s="453">
        <f t="shared" si="252"/>
        <v>-601057.1399999999</v>
      </c>
      <c r="R120" s="453">
        <f t="shared" si="252"/>
        <v>-3854192.6800000006</v>
      </c>
      <c r="S120" s="453">
        <f>SUM(S115:S119)</f>
        <v>-1219438.57</v>
      </c>
      <c r="T120" s="453">
        <f t="shared" si="252"/>
        <v>-596995.93999999994</v>
      </c>
      <c r="U120" s="453">
        <f t="shared" si="252"/>
        <v>-494478.42999999993</v>
      </c>
      <c r="V120" s="453">
        <f t="shared" si="252"/>
        <v>-176341.49000000008</v>
      </c>
      <c r="W120" s="453">
        <f t="shared" ref="W120:AC120" si="253">SUM(W115:W119)</f>
        <v>1934681.04</v>
      </c>
      <c r="X120" s="454">
        <f t="shared" si="253"/>
        <v>3202751.5900000003</v>
      </c>
      <c r="Y120" s="453">
        <f t="shared" si="253"/>
        <v>5589690.0299999993</v>
      </c>
      <c r="Z120" s="453">
        <f t="shared" si="253"/>
        <v>3158299.3200000003</v>
      </c>
      <c r="AA120" s="453">
        <f t="shared" si="253"/>
        <v>-2938745.9800000004</v>
      </c>
      <c r="AB120" s="453">
        <f t="shared" si="253"/>
        <v>-1762531.0499999998</v>
      </c>
      <c r="AC120" s="453" t="e">
        <f t="shared" si="253"/>
        <v>#REF!</v>
      </c>
      <c r="AD120" s="453" t="e">
        <f>SUM(AD115:AD119)</f>
        <v>#REF!</v>
      </c>
      <c r="AE120" s="453">
        <f>AE99-AE106</f>
        <v>-1338169.44</v>
      </c>
      <c r="AF120" s="453">
        <f>AF99-AF106</f>
        <v>-1274619.0099999998</v>
      </c>
      <c r="AG120" s="453">
        <f>AG99-AG106</f>
        <v>-623173.10000000009</v>
      </c>
      <c r="AH120" s="453">
        <f>AH99-AH106</f>
        <v>-261004.54999999981</v>
      </c>
      <c r="AI120" s="453">
        <f>AI99-AI106</f>
        <v>-678919.08000000007</v>
      </c>
      <c r="AJ120" s="453">
        <f t="shared" ref="AJ120:AP120" si="254">AJ99-AJ106</f>
        <v>5877420.9400000004</v>
      </c>
      <c r="AK120" s="453">
        <f t="shared" si="254"/>
        <v>6366802.1600000001</v>
      </c>
      <c r="AL120" s="453">
        <f t="shared" si="254"/>
        <v>4586674.5500000007</v>
      </c>
      <c r="AM120" s="453">
        <f t="shared" si="254"/>
        <v>643737.55000000075</v>
      </c>
      <c r="AN120" s="453">
        <f t="shared" si="254"/>
        <v>-1194011.4499999993</v>
      </c>
      <c r="AO120" s="453">
        <f t="shared" si="254"/>
        <v>-3962966.42</v>
      </c>
      <c r="AP120" s="453">
        <f t="shared" si="254"/>
        <v>-2881087.1500000004</v>
      </c>
      <c r="AQ120" s="453">
        <f t="shared" ref="AQ120:AY120" si="255">AQ99-AQ106</f>
        <v>-1826120.83</v>
      </c>
      <c r="AR120" s="453">
        <f t="shared" si="255"/>
        <v>-1492397.1900000004</v>
      </c>
      <c r="AS120" s="453">
        <f t="shared" si="255"/>
        <v>-75303.560000000056</v>
      </c>
      <c r="AT120" s="453">
        <f t="shared" si="255"/>
        <v>-37665.660000000149</v>
      </c>
      <c r="AU120" s="453">
        <f t="shared" si="255"/>
        <v>931586.16000000015</v>
      </c>
      <c r="AV120" s="453">
        <f t="shared" si="255"/>
        <v>5579293.6399999997</v>
      </c>
      <c r="AW120" s="452">
        <f t="shared" si="255"/>
        <v>4771833.7799999993</v>
      </c>
      <c r="AX120" s="453">
        <f t="shared" si="255"/>
        <v>3132678.8499999996</v>
      </c>
      <c r="AY120" s="453">
        <f t="shared" si="255"/>
        <v>-276311.30000000075</v>
      </c>
      <c r="AZ120" s="453">
        <f t="shared" ref="AZ120:BE120" si="256">AZ99-AZ106</f>
        <v>-230851.81000000052</v>
      </c>
      <c r="BA120" s="453">
        <f t="shared" si="256"/>
        <v>-5955940.0399999991</v>
      </c>
      <c r="BB120" s="453">
        <f t="shared" si="256"/>
        <v>-3025128.8499999996</v>
      </c>
      <c r="BC120" s="453">
        <f t="shared" si="256"/>
        <v>-4226455</v>
      </c>
      <c r="BD120" s="453">
        <f t="shared" si="256"/>
        <v>-1778826</v>
      </c>
      <c r="BE120" s="453">
        <f t="shared" si="256"/>
        <v>-503314.54000000004</v>
      </c>
      <c r="BF120" s="453">
        <f t="shared" ref="BF120" si="257">BF99-BF106</f>
        <v>-625181.60000000009</v>
      </c>
      <c r="BG120" s="375"/>
      <c r="BH120" s="448"/>
      <c r="BI120" s="463">
        <f t="shared" si="227"/>
        <v>-1594968.3800000008</v>
      </c>
      <c r="BJ120" s="398">
        <f t="shared" si="228"/>
        <v>-1453995.7000000011</v>
      </c>
      <c r="BK120" s="398">
        <f t="shared" si="229"/>
        <v>-920048.85000000149</v>
      </c>
      <c r="BL120" s="398">
        <f t="shared" si="230"/>
        <v>963159.63999999873</v>
      </c>
      <c r="BM120" s="398">
        <f t="shared" si="230"/>
        <v>-1992973.6199999992</v>
      </c>
      <c r="BN120" s="398">
        <f t="shared" si="230"/>
        <v>-144041.69999999925</v>
      </c>
      <c r="BO120" s="398">
        <f t="shared" si="230"/>
        <v>-2400334.17</v>
      </c>
      <c r="BP120" s="398">
        <f t="shared" si="231"/>
        <v>-286428.80999999959</v>
      </c>
      <c r="BQ120" s="398">
        <f t="shared" si="232"/>
        <v>-428010.98</v>
      </c>
      <c r="BR120" s="398">
        <f t="shared" si="233"/>
        <v>-587515.93999999994</v>
      </c>
      <c r="BS120" s="375"/>
      <c r="BT120" s="448"/>
    </row>
    <row r="121" spans="1:72" x14ac:dyDescent="0.25">
      <c r="A121" s="341">
        <f>+A114+1</f>
        <v>17</v>
      </c>
      <c r="B121" s="387" t="s">
        <v>20</v>
      </c>
      <c r="C121" s="443"/>
      <c r="D121" s="410"/>
      <c r="E121" s="410"/>
      <c r="F121" s="410"/>
      <c r="G121" s="410"/>
      <c r="H121" s="410"/>
      <c r="I121" s="410"/>
      <c r="J121" s="410"/>
      <c r="K121" s="410"/>
      <c r="L121" s="411"/>
      <c r="M121" s="443"/>
      <c r="N121" s="410"/>
      <c r="O121" s="410"/>
      <c r="P121" s="410"/>
      <c r="Q121" s="410"/>
      <c r="R121" s="410"/>
      <c r="S121" s="410"/>
      <c r="T121" s="410"/>
      <c r="U121" s="410"/>
      <c r="V121" s="410"/>
      <c r="W121" s="410"/>
      <c r="X121" s="411"/>
      <c r="Y121" s="410"/>
      <c r="Z121" s="410"/>
      <c r="AA121" s="410"/>
      <c r="AB121" s="410"/>
      <c r="AC121" s="410"/>
      <c r="AD121" s="410"/>
      <c r="AE121" s="410"/>
      <c r="AF121" s="410"/>
      <c r="AG121" s="410"/>
      <c r="AH121" s="410"/>
      <c r="AI121" s="410"/>
      <c r="AJ121" s="410"/>
      <c r="AK121" s="410"/>
      <c r="AL121" s="410"/>
      <c r="AM121" s="410"/>
      <c r="AN121" s="410"/>
      <c r="AO121" s="410"/>
      <c r="AP121" s="410"/>
      <c r="AQ121" s="410"/>
      <c r="AR121" s="410"/>
      <c r="AS121" s="410"/>
      <c r="AT121" s="410"/>
      <c r="AU121" s="410"/>
      <c r="AV121" s="410"/>
      <c r="AW121" s="468"/>
      <c r="AX121" s="413"/>
      <c r="AY121" s="388"/>
      <c r="AZ121" s="388"/>
      <c r="BA121" s="388"/>
      <c r="BB121" s="388"/>
      <c r="BC121" s="388"/>
      <c r="BD121" s="388"/>
      <c r="BE121" s="388"/>
      <c r="BF121" s="388"/>
      <c r="BG121" s="388"/>
      <c r="BH121" s="389"/>
      <c r="BI121" s="468"/>
      <c r="BJ121" s="413"/>
      <c r="BK121" s="388"/>
      <c r="BL121" s="388"/>
      <c r="BM121" s="388"/>
      <c r="BN121" s="388"/>
      <c r="BO121" s="388"/>
      <c r="BP121" s="388"/>
      <c r="BQ121" s="388"/>
      <c r="BR121" s="388"/>
      <c r="BS121" s="388"/>
      <c r="BT121" s="389"/>
    </row>
    <row r="122" spans="1:72" x14ac:dyDescent="0.25">
      <c r="A122" s="341"/>
      <c r="B122" s="390" t="s">
        <v>35</v>
      </c>
      <c r="C122" s="429">
        <v>0</v>
      </c>
      <c r="D122" s="280">
        <v>0</v>
      </c>
      <c r="E122" s="280">
        <v>0</v>
      </c>
      <c r="F122" s="280">
        <v>0</v>
      </c>
      <c r="G122" s="280">
        <v>0</v>
      </c>
      <c r="H122" s="280">
        <v>0</v>
      </c>
      <c r="I122" s="280">
        <v>0</v>
      </c>
      <c r="J122" s="280">
        <v>1</v>
      </c>
      <c r="K122" s="280">
        <v>2</v>
      </c>
      <c r="L122" s="430">
        <v>3</v>
      </c>
      <c r="M122" s="429">
        <v>4</v>
      </c>
      <c r="N122" s="280">
        <v>4</v>
      </c>
      <c r="O122" s="280">
        <v>5</v>
      </c>
      <c r="P122" s="280">
        <v>7</v>
      </c>
      <c r="Q122" s="280">
        <v>10</v>
      </c>
      <c r="R122" s="280">
        <v>20</v>
      </c>
      <c r="S122" s="280">
        <v>16</v>
      </c>
      <c r="T122" s="280">
        <v>16</v>
      </c>
      <c r="U122" s="280">
        <v>16</v>
      </c>
      <c r="V122" s="280">
        <v>12</v>
      </c>
      <c r="W122" s="280">
        <v>25</v>
      </c>
      <c r="X122" s="430">
        <v>36</v>
      </c>
      <c r="Y122" s="280">
        <v>36</v>
      </c>
      <c r="Z122" s="280">
        <v>42</v>
      </c>
      <c r="AA122" s="239">
        <v>38</v>
      </c>
      <c r="AB122" s="280">
        <v>30</v>
      </c>
      <c r="AC122" s="280">
        <v>0</v>
      </c>
      <c r="AD122" s="280">
        <v>0</v>
      </c>
      <c r="AE122" s="280">
        <v>0</v>
      </c>
      <c r="AF122" s="280">
        <v>0</v>
      </c>
      <c r="AG122" s="280">
        <v>0</v>
      </c>
      <c r="AH122" s="280">
        <v>0</v>
      </c>
      <c r="AI122" s="280">
        <v>0</v>
      </c>
      <c r="AJ122" s="280">
        <v>0</v>
      </c>
      <c r="AK122" s="280">
        <v>0</v>
      </c>
      <c r="AL122" s="280">
        <v>12</v>
      </c>
      <c r="AM122" s="280">
        <v>17</v>
      </c>
      <c r="AN122" s="280">
        <v>19</v>
      </c>
      <c r="AO122" s="280">
        <v>22</v>
      </c>
      <c r="AP122" s="280">
        <v>26</v>
      </c>
      <c r="AQ122" s="280">
        <v>16</v>
      </c>
      <c r="AR122" s="280">
        <v>38</v>
      </c>
      <c r="AS122" s="280">
        <v>2040</v>
      </c>
      <c r="AT122" s="280">
        <v>2104</v>
      </c>
      <c r="AU122" s="280">
        <v>2130</v>
      </c>
      <c r="AV122" s="280">
        <v>2199</v>
      </c>
      <c r="AW122" s="469">
        <v>2243</v>
      </c>
      <c r="AX122" s="425">
        <v>2267</v>
      </c>
      <c r="AY122" s="280">
        <v>2289</v>
      </c>
      <c r="AZ122" s="280">
        <v>2297</v>
      </c>
      <c r="BA122" s="189">
        <v>2310</v>
      </c>
      <c r="BB122" s="579">
        <v>98</v>
      </c>
      <c r="BC122" s="280">
        <v>2322</v>
      </c>
      <c r="BD122" s="376">
        <v>2337</v>
      </c>
      <c r="BE122" s="376">
        <v>2344</v>
      </c>
      <c r="BF122" s="376">
        <v>2375</v>
      </c>
      <c r="BG122" s="278"/>
      <c r="BH122" s="391"/>
      <c r="BI122" s="460">
        <f t="shared" ref="BI122:BI127" si="258">AW122-AK122</f>
        <v>2243</v>
      </c>
      <c r="BJ122" s="394">
        <f t="shared" ref="BJ122:BJ127" si="259">AX122-AL122</f>
        <v>2255</v>
      </c>
      <c r="BK122" s="394">
        <f t="shared" ref="BK122:BK127" si="260">AY122-AM122</f>
        <v>2272</v>
      </c>
      <c r="BL122" s="394">
        <f t="shared" ref="BL122:BO127" si="261">AZ122-AN122</f>
        <v>2278</v>
      </c>
      <c r="BM122" s="394">
        <f t="shared" si="261"/>
        <v>2288</v>
      </c>
      <c r="BN122" s="394">
        <f t="shared" si="261"/>
        <v>72</v>
      </c>
      <c r="BO122" s="394">
        <f t="shared" si="261"/>
        <v>2306</v>
      </c>
      <c r="BP122" s="394">
        <f t="shared" ref="BP122:BP127" si="262">BD122-AR122</f>
        <v>2299</v>
      </c>
      <c r="BQ122" s="394">
        <f t="shared" ref="BQ122:BQ127" si="263">BE122-AS122</f>
        <v>304</v>
      </c>
      <c r="BR122" s="394">
        <f t="shared" ref="BR122:BR127" si="264">BF122-AT122</f>
        <v>271</v>
      </c>
      <c r="BS122" s="278"/>
      <c r="BT122" s="391"/>
    </row>
    <row r="123" spans="1:72" x14ac:dyDescent="0.25">
      <c r="A123" s="341"/>
      <c r="B123" s="390" t="s">
        <v>36</v>
      </c>
      <c r="C123" s="429">
        <v>97</v>
      </c>
      <c r="D123" s="280">
        <v>113</v>
      </c>
      <c r="E123" s="280">
        <v>132</v>
      </c>
      <c r="F123" s="280">
        <v>139</v>
      </c>
      <c r="G123" s="280">
        <v>117</v>
      </c>
      <c r="H123" s="280">
        <v>119</v>
      </c>
      <c r="I123" s="280">
        <v>106</v>
      </c>
      <c r="J123" s="280">
        <v>109</v>
      </c>
      <c r="K123" s="280">
        <v>93</v>
      </c>
      <c r="L123" s="430">
        <v>77</v>
      </c>
      <c r="M123" s="429">
        <v>69</v>
      </c>
      <c r="N123" s="280">
        <v>57</v>
      </c>
      <c r="O123" s="280">
        <v>58</v>
      </c>
      <c r="P123" s="280">
        <v>77</v>
      </c>
      <c r="Q123" s="280">
        <v>76</v>
      </c>
      <c r="R123" s="280">
        <v>798</v>
      </c>
      <c r="S123" s="280">
        <v>1253</v>
      </c>
      <c r="T123" s="280">
        <v>1050</v>
      </c>
      <c r="U123" s="280">
        <v>681</v>
      </c>
      <c r="V123" s="280">
        <v>796</v>
      </c>
      <c r="W123" s="280">
        <v>696</v>
      </c>
      <c r="X123" s="430">
        <v>535</v>
      </c>
      <c r="Y123" s="280">
        <v>426</v>
      </c>
      <c r="Z123" s="280">
        <v>484</v>
      </c>
      <c r="AA123" s="239">
        <v>433</v>
      </c>
      <c r="AB123" s="280">
        <v>362</v>
      </c>
      <c r="AC123" s="280">
        <v>187</v>
      </c>
      <c r="AD123" s="280">
        <v>1014</v>
      </c>
      <c r="AE123" s="280">
        <v>1190</v>
      </c>
      <c r="AF123" s="280">
        <v>1281</v>
      </c>
      <c r="AG123" s="280">
        <v>1055</v>
      </c>
      <c r="AH123" s="280">
        <v>805</v>
      </c>
      <c r="AI123" s="280">
        <v>687</v>
      </c>
      <c r="AJ123" s="280">
        <v>465</v>
      </c>
      <c r="AK123" s="280">
        <v>334</v>
      </c>
      <c r="AL123" s="280">
        <v>746</v>
      </c>
      <c r="AM123" s="280">
        <v>715</v>
      </c>
      <c r="AN123" s="280">
        <f>11+697</f>
        <v>708</v>
      </c>
      <c r="AO123" s="280">
        <f>13+1258</f>
        <v>1271</v>
      </c>
      <c r="AP123" s="280">
        <f>SUM(14+1518)</f>
        <v>1532</v>
      </c>
      <c r="AQ123" s="280">
        <f>12+1389</f>
        <v>1401</v>
      </c>
      <c r="AR123" s="280">
        <f>61+3651</f>
        <v>3712</v>
      </c>
      <c r="AS123" s="280">
        <v>4147</v>
      </c>
      <c r="AT123" s="280">
        <f>4128+74</f>
        <v>4202</v>
      </c>
      <c r="AU123" s="280">
        <f>4314+78</f>
        <v>4392</v>
      </c>
      <c r="AV123" s="280">
        <v>4663</v>
      </c>
      <c r="AW123" s="469">
        <v>4685</v>
      </c>
      <c r="AX123" s="425">
        <v>5006</v>
      </c>
      <c r="AY123" s="280">
        <v>5159</v>
      </c>
      <c r="AZ123" s="280">
        <v>5392</v>
      </c>
      <c r="BA123" s="189">
        <v>6053</v>
      </c>
      <c r="BB123" s="579">
        <v>13</v>
      </c>
      <c r="BC123" s="280">
        <v>6053</v>
      </c>
      <c r="BD123" s="376">
        <v>6393</v>
      </c>
      <c r="BE123" s="376">
        <v>6396</v>
      </c>
      <c r="BF123" s="376">
        <v>6444</v>
      </c>
      <c r="BG123" s="278"/>
      <c r="BH123" s="391"/>
      <c r="BI123" s="460">
        <f t="shared" si="258"/>
        <v>4351</v>
      </c>
      <c r="BJ123" s="394">
        <f t="shared" si="259"/>
        <v>4260</v>
      </c>
      <c r="BK123" s="394">
        <f t="shared" si="260"/>
        <v>4444</v>
      </c>
      <c r="BL123" s="394">
        <f t="shared" si="261"/>
        <v>4684</v>
      </c>
      <c r="BM123" s="394">
        <f t="shared" si="261"/>
        <v>4782</v>
      </c>
      <c r="BN123" s="394">
        <f t="shared" si="261"/>
        <v>-1519</v>
      </c>
      <c r="BO123" s="394">
        <f t="shared" si="261"/>
        <v>4652</v>
      </c>
      <c r="BP123" s="394">
        <f t="shared" si="262"/>
        <v>2681</v>
      </c>
      <c r="BQ123" s="394">
        <f t="shared" si="263"/>
        <v>2249</v>
      </c>
      <c r="BR123" s="394">
        <f t="shared" si="264"/>
        <v>2242</v>
      </c>
      <c r="BS123" s="278"/>
      <c r="BT123" s="391"/>
    </row>
    <row r="124" spans="1:72" x14ac:dyDescent="0.25">
      <c r="A124" s="341"/>
      <c r="B124" s="390" t="s">
        <v>37</v>
      </c>
      <c r="C124" s="429">
        <v>0</v>
      </c>
      <c r="D124" s="280">
        <v>0</v>
      </c>
      <c r="E124" s="280">
        <v>0</v>
      </c>
      <c r="F124" s="280">
        <v>0</v>
      </c>
      <c r="G124" s="280">
        <v>0</v>
      </c>
      <c r="H124" s="280">
        <v>0</v>
      </c>
      <c r="I124" s="280">
        <v>0</v>
      </c>
      <c r="J124" s="280">
        <v>0</v>
      </c>
      <c r="K124" s="280">
        <v>0</v>
      </c>
      <c r="L124" s="430">
        <v>0</v>
      </c>
      <c r="M124" s="429">
        <v>0</v>
      </c>
      <c r="N124" s="280">
        <v>0</v>
      </c>
      <c r="O124" s="280">
        <v>0</v>
      </c>
      <c r="P124" s="280">
        <v>0</v>
      </c>
      <c r="Q124" s="280">
        <v>0</v>
      </c>
      <c r="R124" s="280">
        <v>0</v>
      </c>
      <c r="S124" s="280">
        <v>0</v>
      </c>
      <c r="T124" s="280">
        <v>0</v>
      </c>
      <c r="U124" s="280">
        <v>0</v>
      </c>
      <c r="V124" s="280">
        <v>0</v>
      </c>
      <c r="W124" s="280">
        <v>0</v>
      </c>
      <c r="X124" s="430">
        <v>0</v>
      </c>
      <c r="Y124" s="280">
        <v>0</v>
      </c>
      <c r="Z124" s="280">
        <v>0</v>
      </c>
      <c r="AA124" s="280">
        <v>0</v>
      </c>
      <c r="AB124" s="280">
        <v>0</v>
      </c>
      <c r="AC124" s="280"/>
      <c r="AD124" s="280"/>
      <c r="AE124" s="280">
        <v>0</v>
      </c>
      <c r="AF124" s="280">
        <v>0</v>
      </c>
      <c r="AG124" s="280">
        <v>0</v>
      </c>
      <c r="AH124" s="280">
        <v>0</v>
      </c>
      <c r="AI124" s="280">
        <v>0</v>
      </c>
      <c r="AJ124" s="280">
        <v>0</v>
      </c>
      <c r="AK124" s="280">
        <v>0</v>
      </c>
      <c r="AL124" s="280">
        <v>0</v>
      </c>
      <c r="AM124" s="280">
        <v>0</v>
      </c>
      <c r="AN124" s="280">
        <v>0</v>
      </c>
      <c r="AO124" s="280">
        <v>0</v>
      </c>
      <c r="AP124" s="280">
        <v>0</v>
      </c>
      <c r="AQ124" s="280">
        <v>0</v>
      </c>
      <c r="AR124" s="280">
        <v>0</v>
      </c>
      <c r="AS124" s="280">
        <v>0</v>
      </c>
      <c r="AT124" s="280">
        <v>0</v>
      </c>
      <c r="AU124" s="280">
        <v>0</v>
      </c>
      <c r="AV124" s="280">
        <v>0</v>
      </c>
      <c r="AW124" s="469">
        <v>0</v>
      </c>
      <c r="AX124" s="425">
        <v>0</v>
      </c>
      <c r="AY124" s="280">
        <v>0</v>
      </c>
      <c r="AZ124" s="280">
        <v>0</v>
      </c>
      <c r="BA124" s="280">
        <v>0</v>
      </c>
      <c r="BB124" s="579">
        <v>1</v>
      </c>
      <c r="BC124" s="280">
        <v>26</v>
      </c>
      <c r="BD124" s="376">
        <v>29</v>
      </c>
      <c r="BE124" s="376">
        <v>27</v>
      </c>
      <c r="BF124" s="376">
        <v>29</v>
      </c>
      <c r="BG124" s="278"/>
      <c r="BH124" s="391"/>
      <c r="BI124" s="460">
        <f t="shared" si="258"/>
        <v>0</v>
      </c>
      <c r="BJ124" s="394">
        <f t="shared" si="259"/>
        <v>0</v>
      </c>
      <c r="BK124" s="394">
        <f t="shared" si="260"/>
        <v>0</v>
      </c>
      <c r="BL124" s="394">
        <f t="shared" si="261"/>
        <v>0</v>
      </c>
      <c r="BM124" s="394">
        <f t="shared" si="261"/>
        <v>0</v>
      </c>
      <c r="BN124" s="394">
        <f t="shared" si="261"/>
        <v>1</v>
      </c>
      <c r="BO124" s="394">
        <f t="shared" si="261"/>
        <v>26</v>
      </c>
      <c r="BP124" s="394">
        <f t="shared" si="262"/>
        <v>29</v>
      </c>
      <c r="BQ124" s="394">
        <f t="shared" si="263"/>
        <v>27</v>
      </c>
      <c r="BR124" s="394">
        <f t="shared" si="264"/>
        <v>29</v>
      </c>
      <c r="BS124" s="278"/>
      <c r="BT124" s="391"/>
    </row>
    <row r="125" spans="1:72" x14ac:dyDescent="0.25">
      <c r="A125" s="341"/>
      <c r="B125" s="390" t="s">
        <v>38</v>
      </c>
      <c r="C125" s="429">
        <v>0</v>
      </c>
      <c r="D125" s="280">
        <v>0</v>
      </c>
      <c r="E125" s="280">
        <v>0</v>
      </c>
      <c r="F125" s="280">
        <v>0</v>
      </c>
      <c r="G125" s="280">
        <v>0</v>
      </c>
      <c r="H125" s="280">
        <v>0</v>
      </c>
      <c r="I125" s="280">
        <v>0</v>
      </c>
      <c r="J125" s="280">
        <v>0</v>
      </c>
      <c r="K125" s="280">
        <v>0</v>
      </c>
      <c r="L125" s="430">
        <v>0</v>
      </c>
      <c r="M125" s="429">
        <v>0</v>
      </c>
      <c r="N125" s="280">
        <v>0</v>
      </c>
      <c r="O125" s="280">
        <v>0</v>
      </c>
      <c r="P125" s="280">
        <v>0</v>
      </c>
      <c r="Q125" s="280">
        <v>0</v>
      </c>
      <c r="R125" s="280">
        <v>0</v>
      </c>
      <c r="S125" s="280">
        <v>0</v>
      </c>
      <c r="T125" s="280">
        <v>0</v>
      </c>
      <c r="U125" s="280">
        <v>0</v>
      </c>
      <c r="V125" s="280">
        <v>0</v>
      </c>
      <c r="W125" s="280">
        <v>0</v>
      </c>
      <c r="X125" s="430">
        <v>0</v>
      </c>
      <c r="Y125" s="280">
        <v>0</v>
      </c>
      <c r="Z125" s="280">
        <v>0</v>
      </c>
      <c r="AA125" s="280">
        <v>0</v>
      </c>
      <c r="AB125" s="280">
        <v>0</v>
      </c>
      <c r="AC125" s="280"/>
      <c r="AD125" s="280"/>
      <c r="AE125" s="280">
        <v>0</v>
      </c>
      <c r="AF125" s="280">
        <v>0</v>
      </c>
      <c r="AG125" s="280">
        <v>0</v>
      </c>
      <c r="AH125" s="280">
        <v>0</v>
      </c>
      <c r="AI125" s="280">
        <v>0</v>
      </c>
      <c r="AJ125" s="280">
        <v>0</v>
      </c>
      <c r="AK125" s="280">
        <v>0</v>
      </c>
      <c r="AL125" s="280">
        <v>0</v>
      </c>
      <c r="AM125" s="280">
        <v>0</v>
      </c>
      <c r="AN125" s="280">
        <v>0</v>
      </c>
      <c r="AO125" s="280">
        <v>0</v>
      </c>
      <c r="AP125" s="280">
        <v>0</v>
      </c>
      <c r="AQ125" s="280">
        <v>0</v>
      </c>
      <c r="AR125" s="280">
        <v>0</v>
      </c>
      <c r="AS125" s="280">
        <v>0</v>
      </c>
      <c r="AT125" s="280">
        <v>0</v>
      </c>
      <c r="AU125" s="280">
        <v>0</v>
      </c>
      <c r="AV125" s="280">
        <v>0</v>
      </c>
      <c r="AW125" s="470">
        <v>0</v>
      </c>
      <c r="AX125" s="376">
        <v>0</v>
      </c>
      <c r="AY125" s="280">
        <v>0</v>
      </c>
      <c r="AZ125" s="280">
        <v>0</v>
      </c>
      <c r="BA125" s="280">
        <v>0</v>
      </c>
      <c r="BB125" s="280">
        <v>0</v>
      </c>
      <c r="BC125" s="280">
        <v>0</v>
      </c>
      <c r="BD125" s="376">
        <v>1</v>
      </c>
      <c r="BE125" s="376">
        <v>1</v>
      </c>
      <c r="BF125" s="376">
        <v>1</v>
      </c>
      <c r="BG125" s="278"/>
      <c r="BH125" s="391"/>
      <c r="BI125" s="460">
        <f t="shared" si="258"/>
        <v>0</v>
      </c>
      <c r="BJ125" s="394">
        <f t="shared" si="259"/>
        <v>0</v>
      </c>
      <c r="BK125" s="394">
        <f t="shared" si="260"/>
        <v>0</v>
      </c>
      <c r="BL125" s="394">
        <f t="shared" si="261"/>
        <v>0</v>
      </c>
      <c r="BM125" s="394">
        <f t="shared" si="261"/>
        <v>0</v>
      </c>
      <c r="BN125" s="394">
        <f t="shared" si="261"/>
        <v>0</v>
      </c>
      <c r="BO125" s="394">
        <f t="shared" si="261"/>
        <v>0</v>
      </c>
      <c r="BP125" s="394">
        <f t="shared" si="262"/>
        <v>1</v>
      </c>
      <c r="BQ125" s="394">
        <f t="shared" si="263"/>
        <v>1</v>
      </c>
      <c r="BR125" s="394">
        <f t="shared" si="264"/>
        <v>1</v>
      </c>
      <c r="BS125" s="278"/>
      <c r="BT125" s="391"/>
    </row>
    <row r="126" spans="1:72" x14ac:dyDescent="0.25">
      <c r="A126" s="341"/>
      <c r="B126" s="390" t="s">
        <v>39</v>
      </c>
      <c r="C126" s="429">
        <v>0</v>
      </c>
      <c r="D126" s="280">
        <v>0</v>
      </c>
      <c r="E126" s="280">
        <v>0</v>
      </c>
      <c r="F126" s="280">
        <v>0</v>
      </c>
      <c r="G126" s="280">
        <v>0</v>
      </c>
      <c r="H126" s="280">
        <v>0</v>
      </c>
      <c r="I126" s="280">
        <v>0</v>
      </c>
      <c r="J126" s="280">
        <v>0</v>
      </c>
      <c r="K126" s="280">
        <v>0</v>
      </c>
      <c r="L126" s="430">
        <v>0</v>
      </c>
      <c r="M126" s="429">
        <v>0</v>
      </c>
      <c r="N126" s="280">
        <v>0</v>
      </c>
      <c r="O126" s="280">
        <v>0</v>
      </c>
      <c r="P126" s="280">
        <v>0</v>
      </c>
      <c r="Q126" s="280">
        <v>0</v>
      </c>
      <c r="R126" s="280">
        <v>0</v>
      </c>
      <c r="S126" s="280">
        <v>0</v>
      </c>
      <c r="T126" s="280">
        <v>0</v>
      </c>
      <c r="U126" s="280">
        <v>0</v>
      </c>
      <c r="V126" s="280">
        <v>0</v>
      </c>
      <c r="W126" s="280">
        <v>0</v>
      </c>
      <c r="X126" s="430">
        <v>0</v>
      </c>
      <c r="Y126" s="280">
        <v>0</v>
      </c>
      <c r="Z126" s="280">
        <v>0</v>
      </c>
      <c r="AA126" s="280">
        <v>0</v>
      </c>
      <c r="AB126" s="280">
        <v>0</v>
      </c>
      <c r="AC126" s="280"/>
      <c r="AD126" s="280"/>
      <c r="AE126" s="280">
        <v>0</v>
      </c>
      <c r="AF126" s="280">
        <v>0</v>
      </c>
      <c r="AG126" s="280">
        <v>0</v>
      </c>
      <c r="AH126" s="280">
        <v>0</v>
      </c>
      <c r="AI126" s="280">
        <v>0</v>
      </c>
      <c r="AJ126" s="280">
        <v>0</v>
      </c>
      <c r="AK126" s="280">
        <v>0</v>
      </c>
      <c r="AL126" s="280">
        <v>0</v>
      </c>
      <c r="AM126" s="280">
        <v>0</v>
      </c>
      <c r="AN126" s="280">
        <v>0</v>
      </c>
      <c r="AO126" s="280">
        <v>0</v>
      </c>
      <c r="AP126" s="280">
        <v>0</v>
      </c>
      <c r="AQ126" s="280">
        <v>0</v>
      </c>
      <c r="AR126" s="280">
        <v>0</v>
      </c>
      <c r="AS126" s="280">
        <v>0</v>
      </c>
      <c r="AT126" s="280">
        <v>0</v>
      </c>
      <c r="AU126" s="280">
        <v>0</v>
      </c>
      <c r="AV126" s="280">
        <v>0</v>
      </c>
      <c r="AW126" s="469">
        <v>0</v>
      </c>
      <c r="AX126" s="425">
        <v>0</v>
      </c>
      <c r="AY126" s="280">
        <v>0</v>
      </c>
      <c r="AZ126" s="280">
        <v>0</v>
      </c>
      <c r="BA126" s="280">
        <v>0</v>
      </c>
      <c r="BB126" s="280">
        <v>0</v>
      </c>
      <c r="BC126" s="280">
        <v>0</v>
      </c>
      <c r="BD126" s="376">
        <v>0</v>
      </c>
      <c r="BE126" s="376">
        <v>0</v>
      </c>
      <c r="BF126" s="376">
        <v>0</v>
      </c>
      <c r="BG126" s="278"/>
      <c r="BH126" s="391"/>
      <c r="BI126" s="460">
        <f t="shared" si="258"/>
        <v>0</v>
      </c>
      <c r="BJ126" s="394">
        <f t="shared" si="259"/>
        <v>0</v>
      </c>
      <c r="BK126" s="394">
        <f t="shared" si="260"/>
        <v>0</v>
      </c>
      <c r="BL126" s="394">
        <f t="shared" si="261"/>
        <v>0</v>
      </c>
      <c r="BM126" s="394">
        <f t="shared" si="261"/>
        <v>0</v>
      </c>
      <c r="BN126" s="394">
        <f t="shared" si="261"/>
        <v>0</v>
      </c>
      <c r="BO126" s="394">
        <f t="shared" si="261"/>
        <v>0</v>
      </c>
      <c r="BP126" s="394">
        <f t="shared" si="262"/>
        <v>0</v>
      </c>
      <c r="BQ126" s="394">
        <f t="shared" si="263"/>
        <v>0</v>
      </c>
      <c r="BR126" s="394">
        <f t="shared" si="264"/>
        <v>0</v>
      </c>
      <c r="BS126" s="278"/>
      <c r="BT126" s="391"/>
    </row>
    <row r="127" spans="1:72" x14ac:dyDescent="0.25">
      <c r="A127" s="341"/>
      <c r="B127" s="390" t="s">
        <v>40</v>
      </c>
      <c r="C127" s="429">
        <f t="shared" ref="C127:AC127" si="265">SUM(C122:C126)</f>
        <v>97</v>
      </c>
      <c r="D127" s="280">
        <f t="shared" si="265"/>
        <v>113</v>
      </c>
      <c r="E127" s="280">
        <f t="shared" si="265"/>
        <v>132</v>
      </c>
      <c r="F127" s="280">
        <f t="shared" si="265"/>
        <v>139</v>
      </c>
      <c r="G127" s="280">
        <f t="shared" si="265"/>
        <v>117</v>
      </c>
      <c r="H127" s="280">
        <f t="shared" si="265"/>
        <v>119</v>
      </c>
      <c r="I127" s="280">
        <f t="shared" si="265"/>
        <v>106</v>
      </c>
      <c r="J127" s="280">
        <f t="shared" si="265"/>
        <v>110</v>
      </c>
      <c r="K127" s="280">
        <f t="shared" si="265"/>
        <v>95</v>
      </c>
      <c r="L127" s="430">
        <f t="shared" si="265"/>
        <v>80</v>
      </c>
      <c r="M127" s="429">
        <f t="shared" si="265"/>
        <v>73</v>
      </c>
      <c r="N127" s="280">
        <f t="shared" si="265"/>
        <v>61</v>
      </c>
      <c r="O127" s="280">
        <f t="shared" si="265"/>
        <v>63</v>
      </c>
      <c r="P127" s="280">
        <f t="shared" si="265"/>
        <v>84</v>
      </c>
      <c r="Q127" s="280">
        <f t="shared" si="265"/>
        <v>86</v>
      </c>
      <c r="R127" s="280">
        <f t="shared" si="265"/>
        <v>818</v>
      </c>
      <c r="S127" s="280">
        <f t="shared" si="265"/>
        <v>1269</v>
      </c>
      <c r="T127" s="280">
        <f t="shared" si="265"/>
        <v>1066</v>
      </c>
      <c r="U127" s="280">
        <f t="shared" si="265"/>
        <v>697</v>
      </c>
      <c r="V127" s="280">
        <f t="shared" si="265"/>
        <v>808</v>
      </c>
      <c r="W127" s="280">
        <f t="shared" si="265"/>
        <v>721</v>
      </c>
      <c r="X127" s="430">
        <f t="shared" si="265"/>
        <v>571</v>
      </c>
      <c r="Y127" s="280">
        <f t="shared" si="265"/>
        <v>462</v>
      </c>
      <c r="Z127" s="280">
        <f t="shared" si="265"/>
        <v>526</v>
      </c>
      <c r="AA127" s="280">
        <f t="shared" si="265"/>
        <v>471</v>
      </c>
      <c r="AB127" s="280">
        <f t="shared" si="265"/>
        <v>392</v>
      </c>
      <c r="AC127" s="280">
        <f t="shared" si="265"/>
        <v>187</v>
      </c>
      <c r="AD127" s="280">
        <f t="shared" ref="AD127:AI127" si="266">SUM(AD122:AD126)</f>
        <v>1014</v>
      </c>
      <c r="AE127" s="280">
        <f t="shared" si="266"/>
        <v>1190</v>
      </c>
      <c r="AF127" s="280">
        <f t="shared" si="266"/>
        <v>1281</v>
      </c>
      <c r="AG127" s="280">
        <f t="shared" si="266"/>
        <v>1055</v>
      </c>
      <c r="AH127" s="280">
        <f t="shared" si="266"/>
        <v>805</v>
      </c>
      <c r="AI127" s="280">
        <f t="shared" si="266"/>
        <v>687</v>
      </c>
      <c r="AJ127" s="280">
        <f>SUM(AJ122:AJ126)</f>
        <v>465</v>
      </c>
      <c r="AK127" s="280">
        <f>SUM(AK122:AK126)</f>
        <v>334</v>
      </c>
      <c r="AL127" s="280">
        <f>SUM(AL122:AL126)</f>
        <v>758</v>
      </c>
      <c r="AM127" s="280">
        <f>SUM(AM122:AM126)</f>
        <v>732</v>
      </c>
      <c r="AN127" s="280">
        <f>SUM(AN122:AN126)</f>
        <v>727</v>
      </c>
      <c r="AO127" s="280">
        <f t="shared" ref="AO127:AT127" si="267">SUM(AO122:AO126)</f>
        <v>1293</v>
      </c>
      <c r="AP127" s="280">
        <f t="shared" si="267"/>
        <v>1558</v>
      </c>
      <c r="AQ127" s="280">
        <f t="shared" si="267"/>
        <v>1417</v>
      </c>
      <c r="AR127" s="280">
        <f t="shared" si="267"/>
        <v>3750</v>
      </c>
      <c r="AS127" s="280">
        <f t="shared" si="267"/>
        <v>6187</v>
      </c>
      <c r="AT127" s="280">
        <f t="shared" si="267"/>
        <v>6306</v>
      </c>
      <c r="AU127" s="280">
        <f t="shared" ref="AU127:BB127" si="268">SUM(AU122:AU126)</f>
        <v>6522</v>
      </c>
      <c r="AV127" s="280">
        <f t="shared" si="268"/>
        <v>6862</v>
      </c>
      <c r="AW127" s="429">
        <f t="shared" si="268"/>
        <v>6928</v>
      </c>
      <c r="AX127" s="280">
        <f t="shared" si="268"/>
        <v>7273</v>
      </c>
      <c r="AY127" s="280">
        <f t="shared" si="268"/>
        <v>7448</v>
      </c>
      <c r="AZ127" s="280">
        <f t="shared" si="268"/>
        <v>7689</v>
      </c>
      <c r="BA127" s="280">
        <f t="shared" si="268"/>
        <v>8363</v>
      </c>
      <c r="BB127" s="280">
        <f t="shared" si="268"/>
        <v>112</v>
      </c>
      <c r="BC127" s="583">
        <f>SUM(BC122:BC126)</f>
        <v>8401</v>
      </c>
      <c r="BD127" s="583">
        <f>SUM(BD122:BD126)</f>
        <v>8760</v>
      </c>
      <c r="BE127" s="583">
        <f>SUM(BE122:BE126)</f>
        <v>8768</v>
      </c>
      <c r="BF127" s="583">
        <f>SUM(BF122:BF126)</f>
        <v>8849</v>
      </c>
      <c r="BG127" s="278"/>
      <c r="BH127" s="391"/>
      <c r="BI127" s="460">
        <f t="shared" si="258"/>
        <v>6594</v>
      </c>
      <c r="BJ127" s="394">
        <f t="shared" si="259"/>
        <v>6515</v>
      </c>
      <c r="BK127" s="394">
        <f t="shared" si="260"/>
        <v>6716</v>
      </c>
      <c r="BL127" s="394">
        <f t="shared" si="261"/>
        <v>6962</v>
      </c>
      <c r="BM127" s="394">
        <f t="shared" si="261"/>
        <v>7070</v>
      </c>
      <c r="BN127" s="394">
        <f t="shared" si="261"/>
        <v>-1446</v>
      </c>
      <c r="BO127" s="394">
        <f t="shared" si="261"/>
        <v>6984</v>
      </c>
      <c r="BP127" s="394">
        <f t="shared" si="262"/>
        <v>5010</v>
      </c>
      <c r="BQ127" s="394">
        <f t="shared" si="263"/>
        <v>2581</v>
      </c>
      <c r="BR127" s="394">
        <f t="shared" si="264"/>
        <v>2543</v>
      </c>
      <c r="BS127" s="278"/>
      <c r="BT127" s="391"/>
    </row>
    <row r="128" spans="1:72" x14ac:dyDescent="0.25">
      <c r="A128" s="341">
        <f>+A121+1</f>
        <v>18</v>
      </c>
      <c r="B128" s="416" t="s">
        <v>25</v>
      </c>
      <c r="C128" s="437"/>
      <c r="D128" s="239"/>
      <c r="E128" s="239"/>
      <c r="F128" s="239"/>
      <c r="G128" s="239"/>
      <c r="H128" s="239"/>
      <c r="I128" s="239"/>
      <c r="J128" s="239"/>
      <c r="K128" s="239"/>
      <c r="L128" s="367"/>
      <c r="M128" s="437"/>
      <c r="N128" s="239"/>
      <c r="O128" s="239"/>
      <c r="P128" s="239"/>
      <c r="Q128" s="239"/>
      <c r="R128" s="239"/>
      <c r="S128" s="239"/>
      <c r="T128" s="239"/>
      <c r="U128" s="239"/>
      <c r="V128" s="239"/>
      <c r="W128" s="239"/>
      <c r="X128" s="367"/>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465"/>
      <c r="AX128" s="278"/>
      <c r="AY128" s="280"/>
      <c r="AZ128" s="280"/>
      <c r="BA128" s="278"/>
      <c r="BB128" s="278"/>
      <c r="BC128" s="278"/>
      <c r="BD128" s="425"/>
      <c r="BE128" s="425"/>
      <c r="BF128" s="425"/>
      <c r="BG128" s="278"/>
      <c r="BH128" s="391"/>
      <c r="BI128" s="465"/>
      <c r="BJ128" s="278"/>
      <c r="BK128" s="280"/>
      <c r="BL128" s="280"/>
      <c r="BM128" s="280"/>
      <c r="BN128" s="280"/>
      <c r="BO128" s="280"/>
      <c r="BP128" s="280"/>
      <c r="BQ128" s="280"/>
      <c r="BR128" s="280"/>
      <c r="BS128" s="278"/>
      <c r="BT128" s="391"/>
    </row>
    <row r="129" spans="1:72" x14ac:dyDescent="0.25">
      <c r="A129" s="341"/>
      <c r="B129" s="390" t="s">
        <v>35</v>
      </c>
      <c r="C129" s="438">
        <v>21</v>
      </c>
      <c r="D129" s="360">
        <v>584</v>
      </c>
      <c r="E129" s="360">
        <v>657</v>
      </c>
      <c r="F129" s="360">
        <v>312</v>
      </c>
      <c r="G129" s="360">
        <v>164</v>
      </c>
      <c r="H129" s="360">
        <v>342</v>
      </c>
      <c r="I129" s="360">
        <v>213</v>
      </c>
      <c r="J129" s="360">
        <v>171</v>
      </c>
      <c r="K129" s="360">
        <v>39</v>
      </c>
      <c r="L129" s="366">
        <v>8</v>
      </c>
      <c r="M129" s="438">
        <v>4</v>
      </c>
      <c r="N129" s="360">
        <v>4</v>
      </c>
      <c r="O129" s="360">
        <v>1</v>
      </c>
      <c r="P129" s="360">
        <v>0</v>
      </c>
      <c r="Q129" s="360">
        <v>0</v>
      </c>
      <c r="R129" s="360">
        <v>0</v>
      </c>
      <c r="S129" s="360">
        <v>0</v>
      </c>
      <c r="T129" s="360">
        <v>0</v>
      </c>
      <c r="U129" s="360">
        <v>0</v>
      </c>
      <c r="V129" s="360">
        <v>0</v>
      </c>
      <c r="W129" s="360">
        <v>0</v>
      </c>
      <c r="X129" s="366">
        <v>0</v>
      </c>
      <c r="Y129" s="360">
        <v>0</v>
      </c>
      <c r="Z129" s="360">
        <v>0</v>
      </c>
      <c r="AA129" s="360">
        <v>0</v>
      </c>
      <c r="AB129" s="360">
        <v>0</v>
      </c>
      <c r="AC129" s="360">
        <v>0</v>
      </c>
      <c r="AD129" s="360">
        <v>0</v>
      </c>
      <c r="AE129" s="360">
        <v>0</v>
      </c>
      <c r="AF129" s="360">
        <v>27</v>
      </c>
      <c r="AG129" s="360">
        <v>550</v>
      </c>
      <c r="AH129" s="360">
        <v>197</v>
      </c>
      <c r="AI129" s="360">
        <v>21</v>
      </c>
      <c r="AJ129" s="360">
        <v>0</v>
      </c>
      <c r="AK129" s="360">
        <v>0</v>
      </c>
      <c r="AL129" s="360">
        <v>0</v>
      </c>
      <c r="AM129" s="360">
        <v>0</v>
      </c>
      <c r="AN129" s="360">
        <v>42</v>
      </c>
      <c r="AO129" s="360">
        <v>414</v>
      </c>
      <c r="AP129" s="360">
        <v>288</v>
      </c>
      <c r="AQ129" s="360">
        <v>347</v>
      </c>
      <c r="AR129" s="360">
        <v>280</v>
      </c>
      <c r="AS129" s="360">
        <v>96</v>
      </c>
      <c r="AT129" s="360">
        <v>304</v>
      </c>
      <c r="AU129" s="360">
        <v>194</v>
      </c>
      <c r="AV129" s="360">
        <v>0</v>
      </c>
      <c r="AW129" s="437">
        <v>0</v>
      </c>
      <c r="AX129" s="239">
        <v>0</v>
      </c>
      <c r="AY129" s="280">
        <v>0</v>
      </c>
      <c r="AZ129" s="280">
        <v>2</v>
      </c>
      <c r="BA129" s="183">
        <v>57</v>
      </c>
      <c r="BB129" s="183">
        <v>322</v>
      </c>
      <c r="BC129" s="239">
        <v>557</v>
      </c>
      <c r="BD129" s="376">
        <v>231</v>
      </c>
      <c r="BE129" s="376">
        <v>201</v>
      </c>
      <c r="BF129" s="376">
        <v>641</v>
      </c>
      <c r="BG129" s="278"/>
      <c r="BH129" s="391"/>
      <c r="BI129" s="460">
        <f t="shared" ref="BI129:BI134" si="269">AW129-AK129</f>
        <v>0</v>
      </c>
      <c r="BJ129" s="394">
        <f t="shared" ref="BJ129:BJ134" si="270">AX129-AL129</f>
        <v>0</v>
      </c>
      <c r="BK129" s="394">
        <f t="shared" ref="BK129:BK134" si="271">AY129-AM129</f>
        <v>0</v>
      </c>
      <c r="BL129" s="394">
        <f t="shared" ref="BL129:BO134" si="272">AZ129-AN129</f>
        <v>-40</v>
      </c>
      <c r="BM129" s="394">
        <f t="shared" si="272"/>
        <v>-357</v>
      </c>
      <c r="BN129" s="394">
        <f t="shared" si="272"/>
        <v>34</v>
      </c>
      <c r="BO129" s="394">
        <f t="shared" si="272"/>
        <v>210</v>
      </c>
      <c r="BP129" s="394">
        <f t="shared" ref="BP129:BP134" si="273">BD129-AR129</f>
        <v>-49</v>
      </c>
      <c r="BQ129" s="394">
        <f t="shared" ref="BQ129:BQ134" si="274">BE129-AS129</f>
        <v>105</v>
      </c>
      <c r="BR129" s="394">
        <f t="shared" ref="BR129:BR134" si="275">BF129-AT129</f>
        <v>337</v>
      </c>
      <c r="BS129" s="278"/>
      <c r="BT129" s="391"/>
    </row>
    <row r="130" spans="1:72" x14ac:dyDescent="0.25">
      <c r="A130" s="341"/>
      <c r="B130" s="390" t="s">
        <v>36</v>
      </c>
      <c r="C130" s="438">
        <v>0</v>
      </c>
      <c r="D130" s="360">
        <v>0</v>
      </c>
      <c r="E130" s="360">
        <v>84</v>
      </c>
      <c r="F130" s="360">
        <v>83</v>
      </c>
      <c r="G130" s="360">
        <v>66</v>
      </c>
      <c r="H130" s="360">
        <v>125</v>
      </c>
      <c r="I130" s="360">
        <v>114</v>
      </c>
      <c r="J130" s="360">
        <v>80</v>
      </c>
      <c r="K130" s="360">
        <v>22</v>
      </c>
      <c r="L130" s="366">
        <v>0</v>
      </c>
      <c r="M130" s="438">
        <v>0</v>
      </c>
      <c r="N130" s="360">
        <v>0</v>
      </c>
      <c r="O130" s="360">
        <v>0</v>
      </c>
      <c r="P130" s="360">
        <v>0</v>
      </c>
      <c r="Q130" s="360">
        <v>0</v>
      </c>
      <c r="R130" s="360">
        <v>0</v>
      </c>
      <c r="S130" s="360">
        <v>0</v>
      </c>
      <c r="T130" s="360">
        <v>0</v>
      </c>
      <c r="U130" s="360">
        <v>0</v>
      </c>
      <c r="V130" s="360">
        <v>0</v>
      </c>
      <c r="W130" s="360">
        <v>0</v>
      </c>
      <c r="X130" s="366">
        <v>0</v>
      </c>
      <c r="Y130" s="360">
        <v>0</v>
      </c>
      <c r="Z130" s="360">
        <v>0</v>
      </c>
      <c r="AA130" s="360">
        <v>0</v>
      </c>
      <c r="AB130" s="360">
        <v>0</v>
      </c>
      <c r="AC130" s="360">
        <v>0</v>
      </c>
      <c r="AD130" s="360">
        <v>0</v>
      </c>
      <c r="AE130" s="360">
        <v>0</v>
      </c>
      <c r="AF130" s="360">
        <v>6</v>
      </c>
      <c r="AG130" s="360">
        <f>161-6</f>
        <v>155</v>
      </c>
      <c r="AH130" s="360">
        <v>55</v>
      </c>
      <c r="AI130" s="360">
        <v>5</v>
      </c>
      <c r="AJ130" s="360">
        <v>0</v>
      </c>
      <c r="AK130" s="360">
        <v>0</v>
      </c>
      <c r="AL130" s="360">
        <v>0</v>
      </c>
      <c r="AM130" s="360">
        <v>0</v>
      </c>
      <c r="AN130" s="360">
        <v>7</v>
      </c>
      <c r="AO130" s="360">
        <v>97</v>
      </c>
      <c r="AP130" s="360">
        <v>96</v>
      </c>
      <c r="AQ130" s="360">
        <v>94</v>
      </c>
      <c r="AR130" s="360">
        <v>68</v>
      </c>
      <c r="AS130" s="360">
        <v>23</v>
      </c>
      <c r="AT130" s="360">
        <v>131</v>
      </c>
      <c r="AU130" s="360">
        <v>73</v>
      </c>
      <c r="AV130" s="360">
        <v>0</v>
      </c>
      <c r="AW130" s="437">
        <v>0</v>
      </c>
      <c r="AX130" s="239">
        <v>0</v>
      </c>
      <c r="AY130" s="280">
        <v>0</v>
      </c>
      <c r="AZ130" s="280">
        <v>0</v>
      </c>
      <c r="BA130" s="183">
        <v>4</v>
      </c>
      <c r="BB130" s="183">
        <v>0</v>
      </c>
      <c r="BC130" s="239">
        <v>1</v>
      </c>
      <c r="BD130" s="376">
        <v>0</v>
      </c>
      <c r="BE130" s="376">
        <v>0</v>
      </c>
      <c r="BF130" s="376">
        <v>8</v>
      </c>
      <c r="BG130" s="278"/>
      <c r="BH130" s="391"/>
      <c r="BI130" s="460">
        <f t="shared" si="269"/>
        <v>0</v>
      </c>
      <c r="BJ130" s="394">
        <f t="shared" si="270"/>
        <v>0</v>
      </c>
      <c r="BK130" s="394">
        <f t="shared" si="271"/>
        <v>0</v>
      </c>
      <c r="BL130" s="394">
        <f t="shared" si="272"/>
        <v>-7</v>
      </c>
      <c r="BM130" s="394">
        <f t="shared" si="272"/>
        <v>-93</v>
      </c>
      <c r="BN130" s="394">
        <f t="shared" si="272"/>
        <v>-96</v>
      </c>
      <c r="BO130" s="394">
        <f t="shared" si="272"/>
        <v>-93</v>
      </c>
      <c r="BP130" s="394">
        <f t="shared" si="273"/>
        <v>-68</v>
      </c>
      <c r="BQ130" s="394">
        <f t="shared" si="274"/>
        <v>-23</v>
      </c>
      <c r="BR130" s="394">
        <f t="shared" si="275"/>
        <v>-123</v>
      </c>
      <c r="BS130" s="278"/>
      <c r="BT130" s="391"/>
    </row>
    <row r="131" spans="1:72" x14ac:dyDescent="0.25">
      <c r="A131" s="341"/>
      <c r="B131" s="390" t="s">
        <v>37</v>
      </c>
      <c r="C131" s="438">
        <v>19</v>
      </c>
      <c r="D131" s="360">
        <v>28</v>
      </c>
      <c r="E131" s="360">
        <v>22</v>
      </c>
      <c r="F131" s="360">
        <v>18</v>
      </c>
      <c r="G131" s="360">
        <v>5</v>
      </c>
      <c r="H131" s="360">
        <v>5</v>
      </c>
      <c r="I131" s="360">
        <v>4</v>
      </c>
      <c r="J131" s="360">
        <v>5</v>
      </c>
      <c r="K131" s="360">
        <v>0</v>
      </c>
      <c r="L131" s="366">
        <v>0</v>
      </c>
      <c r="M131" s="438">
        <v>3</v>
      </c>
      <c r="N131" s="360">
        <v>10</v>
      </c>
      <c r="O131" s="360">
        <v>5</v>
      </c>
      <c r="P131" s="360">
        <v>0</v>
      </c>
      <c r="Q131" s="360">
        <v>0</v>
      </c>
      <c r="R131" s="360">
        <v>0</v>
      </c>
      <c r="S131" s="360">
        <v>0</v>
      </c>
      <c r="T131" s="360">
        <v>0</v>
      </c>
      <c r="U131" s="360">
        <v>40</v>
      </c>
      <c r="V131" s="360">
        <v>10</v>
      </c>
      <c r="W131" s="360">
        <v>0</v>
      </c>
      <c r="X131" s="366">
        <v>0</v>
      </c>
      <c r="Y131" s="360">
        <v>4</v>
      </c>
      <c r="Z131" s="360">
        <v>0</v>
      </c>
      <c r="AA131" s="360">
        <v>2</v>
      </c>
      <c r="AB131" s="360">
        <v>0</v>
      </c>
      <c r="AC131" s="360">
        <v>0</v>
      </c>
      <c r="AD131" s="360">
        <v>0</v>
      </c>
      <c r="AE131" s="360">
        <v>0</v>
      </c>
      <c r="AF131" s="360">
        <v>6</v>
      </c>
      <c r="AG131" s="360">
        <v>15</v>
      </c>
      <c r="AH131" s="360">
        <v>5</v>
      </c>
      <c r="AI131" s="360">
        <v>6</v>
      </c>
      <c r="AJ131" s="360">
        <v>1</v>
      </c>
      <c r="AK131" s="360">
        <v>6</v>
      </c>
      <c r="AL131" s="360">
        <v>12</v>
      </c>
      <c r="AM131" s="360">
        <v>12</v>
      </c>
      <c r="AN131" s="360">
        <v>11</v>
      </c>
      <c r="AO131" s="360">
        <v>33</v>
      </c>
      <c r="AP131" s="360">
        <v>11</v>
      </c>
      <c r="AQ131" s="360">
        <v>8</v>
      </c>
      <c r="AR131" s="360">
        <v>34</v>
      </c>
      <c r="AS131" s="360">
        <v>3</v>
      </c>
      <c r="AT131" s="360">
        <v>24</v>
      </c>
      <c r="AU131" s="360">
        <v>17</v>
      </c>
      <c r="AV131" s="360">
        <v>0</v>
      </c>
      <c r="AW131" s="437">
        <v>0</v>
      </c>
      <c r="AX131" s="239">
        <v>3</v>
      </c>
      <c r="AY131" s="280">
        <v>53</v>
      </c>
      <c r="AZ131" s="280">
        <v>55</v>
      </c>
      <c r="BA131" s="183">
        <v>31</v>
      </c>
      <c r="BB131" s="183">
        <v>4</v>
      </c>
      <c r="BC131" s="239">
        <v>13</v>
      </c>
      <c r="BD131" s="376">
        <v>56</v>
      </c>
      <c r="BE131" s="376">
        <v>13</v>
      </c>
      <c r="BF131" s="376">
        <v>37</v>
      </c>
      <c r="BG131" s="278"/>
      <c r="BH131" s="391"/>
      <c r="BI131" s="460">
        <f t="shared" si="269"/>
        <v>-6</v>
      </c>
      <c r="BJ131" s="394">
        <f t="shared" si="270"/>
        <v>-9</v>
      </c>
      <c r="BK131" s="394">
        <f t="shared" si="271"/>
        <v>41</v>
      </c>
      <c r="BL131" s="394">
        <f t="shared" si="272"/>
        <v>44</v>
      </c>
      <c r="BM131" s="394">
        <f t="shared" si="272"/>
        <v>-2</v>
      </c>
      <c r="BN131" s="394">
        <f t="shared" si="272"/>
        <v>-7</v>
      </c>
      <c r="BO131" s="394">
        <f t="shared" si="272"/>
        <v>5</v>
      </c>
      <c r="BP131" s="394">
        <f t="shared" si="273"/>
        <v>22</v>
      </c>
      <c r="BQ131" s="394">
        <f t="shared" si="274"/>
        <v>10</v>
      </c>
      <c r="BR131" s="394">
        <f t="shared" si="275"/>
        <v>13</v>
      </c>
      <c r="BS131" s="278"/>
      <c r="BT131" s="391"/>
    </row>
    <row r="132" spans="1:72" x14ac:dyDescent="0.25">
      <c r="A132" s="341"/>
      <c r="B132" s="390" t="s">
        <v>38</v>
      </c>
      <c r="C132" s="438"/>
      <c r="D132" s="360"/>
      <c r="E132" s="360"/>
      <c r="F132" s="360"/>
      <c r="G132" s="360"/>
      <c r="H132" s="360"/>
      <c r="I132" s="360"/>
      <c r="J132" s="360"/>
      <c r="K132" s="360"/>
      <c r="L132" s="366"/>
      <c r="M132" s="438">
        <v>0</v>
      </c>
      <c r="N132" s="360">
        <v>0</v>
      </c>
      <c r="O132" s="360">
        <v>0</v>
      </c>
      <c r="P132" s="360">
        <v>0</v>
      </c>
      <c r="Q132" s="360">
        <v>0</v>
      </c>
      <c r="R132" s="360">
        <v>0</v>
      </c>
      <c r="S132" s="360">
        <v>0</v>
      </c>
      <c r="T132" s="360">
        <v>0</v>
      </c>
      <c r="U132" s="360">
        <v>3</v>
      </c>
      <c r="V132" s="360">
        <v>0</v>
      </c>
      <c r="W132" s="360">
        <v>0</v>
      </c>
      <c r="X132" s="366">
        <v>0</v>
      </c>
      <c r="Y132" s="360">
        <v>2</v>
      </c>
      <c r="Z132" s="360">
        <v>0</v>
      </c>
      <c r="AA132" s="360">
        <v>1</v>
      </c>
      <c r="AB132" s="360">
        <v>0</v>
      </c>
      <c r="AC132" s="360">
        <v>0</v>
      </c>
      <c r="AD132" s="360">
        <v>0</v>
      </c>
      <c r="AE132" s="360">
        <v>0</v>
      </c>
      <c r="AF132" s="360">
        <v>0</v>
      </c>
      <c r="AG132" s="360">
        <v>4</v>
      </c>
      <c r="AH132" s="360">
        <v>1</v>
      </c>
      <c r="AI132" s="360">
        <v>0</v>
      </c>
      <c r="AJ132" s="360">
        <v>2</v>
      </c>
      <c r="AK132" s="360">
        <v>2</v>
      </c>
      <c r="AL132" s="360">
        <v>0</v>
      </c>
      <c r="AM132" s="360">
        <v>4</v>
      </c>
      <c r="AN132" s="360">
        <v>2</v>
      </c>
      <c r="AO132" s="360">
        <v>27</v>
      </c>
      <c r="AP132" s="360">
        <v>1</v>
      </c>
      <c r="AQ132" s="360">
        <v>0</v>
      </c>
      <c r="AR132" s="360">
        <v>21</v>
      </c>
      <c r="AS132" s="360">
        <v>3</v>
      </c>
      <c r="AT132" s="360">
        <v>13</v>
      </c>
      <c r="AU132" s="360">
        <v>8</v>
      </c>
      <c r="AV132" s="360">
        <v>0</v>
      </c>
      <c r="AW132" s="437">
        <v>0</v>
      </c>
      <c r="AX132" s="239">
        <v>1</v>
      </c>
      <c r="AY132" s="280">
        <v>19</v>
      </c>
      <c r="AZ132" s="280">
        <v>7</v>
      </c>
      <c r="BA132" s="183">
        <v>9</v>
      </c>
      <c r="BB132" s="183">
        <v>2</v>
      </c>
      <c r="BC132" s="239">
        <v>2</v>
      </c>
      <c r="BD132" s="376">
        <v>22</v>
      </c>
      <c r="BE132" s="376">
        <v>10</v>
      </c>
      <c r="BF132" s="376">
        <v>7</v>
      </c>
      <c r="BG132" s="278"/>
      <c r="BH132" s="391"/>
      <c r="BI132" s="460">
        <f t="shared" si="269"/>
        <v>-2</v>
      </c>
      <c r="BJ132" s="394">
        <f t="shared" si="270"/>
        <v>1</v>
      </c>
      <c r="BK132" s="394">
        <f t="shared" si="271"/>
        <v>15</v>
      </c>
      <c r="BL132" s="394">
        <f t="shared" si="272"/>
        <v>5</v>
      </c>
      <c r="BM132" s="394">
        <f t="shared" si="272"/>
        <v>-18</v>
      </c>
      <c r="BN132" s="394">
        <f t="shared" si="272"/>
        <v>1</v>
      </c>
      <c r="BO132" s="394">
        <f t="shared" si="272"/>
        <v>2</v>
      </c>
      <c r="BP132" s="394">
        <f t="shared" si="273"/>
        <v>1</v>
      </c>
      <c r="BQ132" s="394">
        <f t="shared" si="274"/>
        <v>7</v>
      </c>
      <c r="BR132" s="394">
        <f t="shared" si="275"/>
        <v>-6</v>
      </c>
      <c r="BS132" s="278"/>
      <c r="BT132" s="391"/>
    </row>
    <row r="133" spans="1:72" x14ac:dyDescent="0.25">
      <c r="A133" s="341"/>
      <c r="B133" s="390" t="s">
        <v>39</v>
      </c>
      <c r="C133" s="438"/>
      <c r="D133" s="360"/>
      <c r="E133" s="360"/>
      <c r="F133" s="360"/>
      <c r="G133" s="360"/>
      <c r="H133" s="360"/>
      <c r="I133" s="360"/>
      <c r="J133" s="360"/>
      <c r="K133" s="360"/>
      <c r="L133" s="366"/>
      <c r="M133" s="438">
        <v>0</v>
      </c>
      <c r="N133" s="360">
        <v>0</v>
      </c>
      <c r="O133" s="360">
        <v>0</v>
      </c>
      <c r="P133" s="360">
        <v>0</v>
      </c>
      <c r="Q133" s="360">
        <v>0</v>
      </c>
      <c r="R133" s="360">
        <v>0</v>
      </c>
      <c r="S133" s="360">
        <v>0</v>
      </c>
      <c r="T133" s="360">
        <v>0</v>
      </c>
      <c r="U133" s="360">
        <v>1</v>
      </c>
      <c r="V133" s="360">
        <v>0</v>
      </c>
      <c r="W133" s="360">
        <v>0</v>
      </c>
      <c r="X133" s="366">
        <v>0</v>
      </c>
      <c r="Y133" s="360">
        <v>0</v>
      </c>
      <c r="Z133" s="360">
        <v>0</v>
      </c>
      <c r="AA133" s="360">
        <v>0</v>
      </c>
      <c r="AB133" s="360">
        <v>0</v>
      </c>
      <c r="AC133" s="360">
        <v>0</v>
      </c>
      <c r="AD133" s="360">
        <v>0</v>
      </c>
      <c r="AE133" s="360">
        <v>0</v>
      </c>
      <c r="AF133" s="360">
        <v>0</v>
      </c>
      <c r="AG133" s="360">
        <v>0</v>
      </c>
      <c r="AH133" s="360">
        <v>0</v>
      </c>
      <c r="AI133" s="360">
        <v>0</v>
      </c>
      <c r="AJ133" s="360">
        <v>0</v>
      </c>
      <c r="AK133" s="360">
        <v>0</v>
      </c>
      <c r="AL133" s="360">
        <v>0</v>
      </c>
      <c r="AM133" s="360">
        <v>1</v>
      </c>
      <c r="AN133" s="360">
        <v>0</v>
      </c>
      <c r="AO133" s="360">
        <v>2</v>
      </c>
      <c r="AP133" s="360">
        <v>0</v>
      </c>
      <c r="AQ133" s="360">
        <v>0</v>
      </c>
      <c r="AR133" s="360">
        <v>0</v>
      </c>
      <c r="AS133" s="360">
        <v>0</v>
      </c>
      <c r="AT133" s="360">
        <v>2</v>
      </c>
      <c r="AU133" s="360">
        <v>0</v>
      </c>
      <c r="AV133" s="360">
        <v>0</v>
      </c>
      <c r="AW133" s="437">
        <v>0</v>
      </c>
      <c r="AX133" s="239">
        <v>0</v>
      </c>
      <c r="AY133" s="280">
        <v>0</v>
      </c>
      <c r="AZ133" s="280">
        <v>1</v>
      </c>
      <c r="BA133" s="183">
        <v>2</v>
      </c>
      <c r="BB133" s="183">
        <v>0</v>
      </c>
      <c r="BC133" s="239">
        <v>0</v>
      </c>
      <c r="BD133" s="376">
        <v>0</v>
      </c>
      <c r="BE133" s="376">
        <v>1</v>
      </c>
      <c r="BF133" s="376">
        <v>1</v>
      </c>
      <c r="BG133" s="278"/>
      <c r="BH133" s="391"/>
      <c r="BI133" s="460">
        <f t="shared" si="269"/>
        <v>0</v>
      </c>
      <c r="BJ133" s="394">
        <f t="shared" si="270"/>
        <v>0</v>
      </c>
      <c r="BK133" s="394">
        <f t="shared" si="271"/>
        <v>-1</v>
      </c>
      <c r="BL133" s="394">
        <f t="shared" si="272"/>
        <v>1</v>
      </c>
      <c r="BM133" s="394">
        <f t="shared" si="272"/>
        <v>0</v>
      </c>
      <c r="BN133" s="394">
        <f t="shared" si="272"/>
        <v>0</v>
      </c>
      <c r="BO133" s="394">
        <f t="shared" si="272"/>
        <v>0</v>
      </c>
      <c r="BP133" s="394">
        <f t="shared" si="273"/>
        <v>0</v>
      </c>
      <c r="BQ133" s="394">
        <f t="shared" si="274"/>
        <v>1</v>
      </c>
      <c r="BR133" s="394">
        <f t="shared" si="275"/>
        <v>-1</v>
      </c>
      <c r="BS133" s="278"/>
      <c r="BT133" s="391"/>
    </row>
    <row r="134" spans="1:72" x14ac:dyDescent="0.25">
      <c r="A134" s="341"/>
      <c r="B134" s="390" t="s">
        <v>40</v>
      </c>
      <c r="C134" s="438">
        <f t="shared" ref="C134:AC134" si="276">SUM(C129:C133)</f>
        <v>40</v>
      </c>
      <c r="D134" s="360">
        <f t="shared" si="276"/>
        <v>612</v>
      </c>
      <c r="E134" s="360">
        <f t="shared" si="276"/>
        <v>763</v>
      </c>
      <c r="F134" s="360">
        <f t="shared" si="276"/>
        <v>413</v>
      </c>
      <c r="G134" s="360">
        <f t="shared" si="276"/>
        <v>235</v>
      </c>
      <c r="H134" s="360">
        <f t="shared" si="276"/>
        <v>472</v>
      </c>
      <c r="I134" s="360">
        <f t="shared" si="276"/>
        <v>331</v>
      </c>
      <c r="J134" s="360">
        <f t="shared" si="276"/>
        <v>256</v>
      </c>
      <c r="K134" s="360">
        <f t="shared" si="276"/>
        <v>61</v>
      </c>
      <c r="L134" s="366">
        <f t="shared" si="276"/>
        <v>8</v>
      </c>
      <c r="M134" s="438">
        <f t="shared" si="276"/>
        <v>7</v>
      </c>
      <c r="N134" s="360">
        <f t="shared" si="276"/>
        <v>14</v>
      </c>
      <c r="O134" s="360">
        <f t="shared" si="276"/>
        <v>6</v>
      </c>
      <c r="P134" s="360">
        <f t="shared" si="276"/>
        <v>0</v>
      </c>
      <c r="Q134" s="360">
        <f t="shared" si="276"/>
        <v>0</v>
      </c>
      <c r="R134" s="360">
        <f t="shared" si="276"/>
        <v>0</v>
      </c>
      <c r="S134" s="360">
        <f t="shared" si="276"/>
        <v>0</v>
      </c>
      <c r="T134" s="360">
        <f t="shared" si="276"/>
        <v>0</v>
      </c>
      <c r="U134" s="360">
        <f t="shared" si="276"/>
        <v>44</v>
      </c>
      <c r="V134" s="360">
        <f t="shared" si="276"/>
        <v>10</v>
      </c>
      <c r="W134" s="360">
        <f t="shared" si="276"/>
        <v>0</v>
      </c>
      <c r="X134" s="366">
        <f t="shared" si="276"/>
        <v>0</v>
      </c>
      <c r="Y134" s="360">
        <f t="shared" si="276"/>
        <v>6</v>
      </c>
      <c r="Z134" s="360">
        <f t="shared" si="276"/>
        <v>0</v>
      </c>
      <c r="AA134" s="360">
        <f t="shared" si="276"/>
        <v>3</v>
      </c>
      <c r="AB134" s="360">
        <f t="shared" si="276"/>
        <v>0</v>
      </c>
      <c r="AC134" s="360">
        <f t="shared" si="276"/>
        <v>0</v>
      </c>
      <c r="AD134" s="360">
        <f t="shared" ref="AD134:AI134" si="277">SUM(AD129:AD133)</f>
        <v>0</v>
      </c>
      <c r="AE134" s="360">
        <f t="shared" si="277"/>
        <v>0</v>
      </c>
      <c r="AF134" s="360">
        <f t="shared" si="277"/>
        <v>39</v>
      </c>
      <c r="AG134" s="360">
        <f t="shared" si="277"/>
        <v>724</v>
      </c>
      <c r="AH134" s="360">
        <f t="shared" si="277"/>
        <v>258</v>
      </c>
      <c r="AI134" s="360">
        <f t="shared" si="277"/>
        <v>32</v>
      </c>
      <c r="AJ134" s="360">
        <f>SUM(AJ129:AJ133)</f>
        <v>3</v>
      </c>
      <c r="AK134" s="360">
        <f>SUM(AK129:AK133)</f>
        <v>8</v>
      </c>
      <c r="AL134" s="360">
        <f>SUM(AL129:AL133)</f>
        <v>12</v>
      </c>
      <c r="AM134" s="360">
        <f>SUM(AM129:AM133)</f>
        <v>17</v>
      </c>
      <c r="AN134" s="360">
        <f>SUM(AN129:AN133)</f>
        <v>62</v>
      </c>
      <c r="AO134" s="360">
        <f t="shared" ref="AO134:AT134" si="278">SUM(AO129:AO133)</f>
        <v>573</v>
      </c>
      <c r="AP134" s="360">
        <f t="shared" si="278"/>
        <v>396</v>
      </c>
      <c r="AQ134" s="360">
        <f t="shared" si="278"/>
        <v>449</v>
      </c>
      <c r="AR134" s="360">
        <f t="shared" si="278"/>
        <v>403</v>
      </c>
      <c r="AS134" s="360">
        <f t="shared" si="278"/>
        <v>125</v>
      </c>
      <c r="AT134" s="360">
        <f t="shared" si="278"/>
        <v>474</v>
      </c>
      <c r="AU134" s="360">
        <f>SUM(AU129:AU133)</f>
        <v>292</v>
      </c>
      <c r="AV134" s="360">
        <v>0</v>
      </c>
      <c r="AW134" s="437">
        <v>0</v>
      </c>
      <c r="AX134" s="239">
        <f>SUM(AX129:AX133)</f>
        <v>4</v>
      </c>
      <c r="AY134" s="280">
        <f>SUM(AY129:AY133)</f>
        <v>72</v>
      </c>
      <c r="AZ134" s="280">
        <f t="shared" ref="AZ134:BB134" si="279">SUM(AZ129:AZ133)</f>
        <v>65</v>
      </c>
      <c r="BA134" s="280">
        <f t="shared" si="279"/>
        <v>103</v>
      </c>
      <c r="BB134" s="280">
        <f t="shared" si="279"/>
        <v>328</v>
      </c>
      <c r="BC134" s="280">
        <f>SUM(BC129:BC133)</f>
        <v>573</v>
      </c>
      <c r="BD134" s="583">
        <f>SUM(BD129:BD133)</f>
        <v>309</v>
      </c>
      <c r="BE134" s="583">
        <f>SUM(BE129:BE133)</f>
        <v>225</v>
      </c>
      <c r="BF134" s="583">
        <f>SUM(BF129:BF133)</f>
        <v>694</v>
      </c>
      <c r="BG134" s="278"/>
      <c r="BH134" s="391"/>
      <c r="BI134" s="460">
        <f t="shared" si="269"/>
        <v>-8</v>
      </c>
      <c r="BJ134" s="394">
        <f t="shared" si="270"/>
        <v>-8</v>
      </c>
      <c r="BK134" s="394">
        <f t="shared" si="271"/>
        <v>55</v>
      </c>
      <c r="BL134" s="394">
        <f t="shared" si="272"/>
        <v>3</v>
      </c>
      <c r="BM134" s="394">
        <f t="shared" si="272"/>
        <v>-470</v>
      </c>
      <c r="BN134" s="394">
        <f t="shared" si="272"/>
        <v>-68</v>
      </c>
      <c r="BO134" s="394">
        <f t="shared" si="272"/>
        <v>124</v>
      </c>
      <c r="BP134" s="394">
        <f t="shared" si="273"/>
        <v>-94</v>
      </c>
      <c r="BQ134" s="394">
        <f t="shared" si="274"/>
        <v>100</v>
      </c>
      <c r="BR134" s="394">
        <f t="shared" si="275"/>
        <v>220</v>
      </c>
      <c r="BS134" s="278"/>
      <c r="BT134" s="391"/>
    </row>
    <row r="135" spans="1:72" x14ac:dyDescent="0.25">
      <c r="A135" s="341">
        <f>+A128+1</f>
        <v>19</v>
      </c>
      <c r="B135" s="417" t="s">
        <v>24</v>
      </c>
      <c r="C135" s="437"/>
      <c r="D135" s="239"/>
      <c r="E135" s="239"/>
      <c r="F135" s="239"/>
      <c r="G135" s="239"/>
      <c r="H135" s="239"/>
      <c r="I135" s="239"/>
      <c r="J135" s="239"/>
      <c r="K135" s="239"/>
      <c r="L135" s="367"/>
      <c r="M135" s="437"/>
      <c r="N135" s="239"/>
      <c r="O135" s="239"/>
      <c r="P135" s="239"/>
      <c r="Q135" s="239"/>
      <c r="R135" s="239"/>
      <c r="S135" s="239"/>
      <c r="T135" s="239"/>
      <c r="U135" s="239"/>
      <c r="V135" s="239"/>
      <c r="W135" s="239"/>
      <c r="X135" s="367"/>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437"/>
      <c r="AX135" s="239"/>
      <c r="AY135" s="280"/>
      <c r="AZ135" s="280"/>
      <c r="BA135" s="278"/>
      <c r="BB135" s="278"/>
      <c r="BC135" s="239"/>
      <c r="BD135" s="425"/>
      <c r="BE135" s="425"/>
      <c r="BF135" s="425"/>
      <c r="BG135" s="278"/>
      <c r="BH135" s="391"/>
      <c r="BI135" s="437"/>
      <c r="BJ135" s="239"/>
      <c r="BK135" s="280"/>
      <c r="BL135" s="280"/>
      <c r="BM135" s="280"/>
      <c r="BN135" s="280"/>
      <c r="BO135" s="280"/>
      <c r="BP135" s="280"/>
      <c r="BQ135" s="280"/>
      <c r="BR135" s="280"/>
      <c r="BS135" s="278"/>
      <c r="BT135" s="391"/>
    </row>
    <row r="136" spans="1:72" x14ac:dyDescent="0.25">
      <c r="A136" s="341"/>
      <c r="B136" s="390" t="s">
        <v>35</v>
      </c>
      <c r="C136" s="439">
        <v>534</v>
      </c>
      <c r="D136" s="362">
        <v>728</v>
      </c>
      <c r="E136" s="362">
        <v>827</v>
      </c>
      <c r="F136" s="362">
        <v>787</v>
      </c>
      <c r="G136" s="362">
        <v>598</v>
      </c>
      <c r="H136" s="362">
        <v>434</v>
      </c>
      <c r="I136" s="362">
        <v>270</v>
      </c>
      <c r="J136" s="362">
        <v>212</v>
      </c>
      <c r="K136" s="362">
        <v>194</v>
      </c>
      <c r="L136" s="363">
        <v>106</v>
      </c>
      <c r="M136" s="439">
        <v>166</v>
      </c>
      <c r="N136" s="362">
        <v>352</v>
      </c>
      <c r="O136" s="362">
        <v>338</v>
      </c>
      <c r="P136" s="362">
        <v>135</v>
      </c>
      <c r="Q136" s="362">
        <v>117</v>
      </c>
      <c r="R136" s="362">
        <v>154</v>
      </c>
      <c r="S136" s="362">
        <v>102</v>
      </c>
      <c r="T136" s="362">
        <v>101</v>
      </c>
      <c r="U136" s="362">
        <v>78</v>
      </c>
      <c r="V136" s="362">
        <v>202</v>
      </c>
      <c r="W136" s="239">
        <v>417</v>
      </c>
      <c r="X136" s="367">
        <v>196</v>
      </c>
      <c r="Y136" s="239">
        <v>126</v>
      </c>
      <c r="Z136" s="239">
        <v>134</v>
      </c>
      <c r="AA136" s="239">
        <v>164</v>
      </c>
      <c r="AB136" s="239">
        <v>175</v>
      </c>
      <c r="AC136" s="239">
        <v>245</v>
      </c>
      <c r="AD136" s="239">
        <v>505</v>
      </c>
      <c r="AE136" s="239">
        <v>306</v>
      </c>
      <c r="AF136" s="239">
        <v>263</v>
      </c>
      <c r="AG136" s="239">
        <v>393</v>
      </c>
      <c r="AH136" s="239">
        <v>339</v>
      </c>
      <c r="AI136" s="239">
        <v>254</v>
      </c>
      <c r="AJ136" s="239">
        <f>2+197</f>
        <v>199</v>
      </c>
      <c r="AK136" s="239">
        <v>256</v>
      </c>
      <c r="AL136" s="239">
        <v>280</v>
      </c>
      <c r="AM136" s="239">
        <v>340</v>
      </c>
      <c r="AN136" s="239"/>
      <c r="AO136" s="239">
        <v>343</v>
      </c>
      <c r="AP136" s="239">
        <v>477</v>
      </c>
      <c r="AQ136" s="239">
        <v>599</v>
      </c>
      <c r="AR136" s="239">
        <v>466</v>
      </c>
      <c r="AS136" s="239">
        <f>509+5</f>
        <v>514</v>
      </c>
      <c r="AT136" s="239">
        <f>589+5</f>
        <v>594</v>
      </c>
      <c r="AU136" s="239">
        <f>619+8</f>
        <v>627</v>
      </c>
      <c r="AV136" s="239">
        <v>611</v>
      </c>
      <c r="AW136" s="437">
        <f>3+266</f>
        <v>269</v>
      </c>
      <c r="AX136" s="239">
        <v>239</v>
      </c>
      <c r="AY136" s="280">
        <v>278</v>
      </c>
      <c r="AZ136" s="280">
        <v>287</v>
      </c>
      <c r="BA136" s="183">
        <v>374</v>
      </c>
      <c r="BB136" s="183">
        <v>241</v>
      </c>
      <c r="BC136" s="239">
        <f>SUM(11+586)</f>
        <v>597</v>
      </c>
      <c r="BD136" s="376">
        <v>1049</v>
      </c>
      <c r="BE136" s="425">
        <f>847+14</f>
        <v>861</v>
      </c>
      <c r="BF136" s="376">
        <v>793</v>
      </c>
      <c r="BG136" s="278"/>
      <c r="BH136" s="391"/>
      <c r="BI136" s="460">
        <f t="shared" ref="BI136:BI141" si="280">AW136-AK136</f>
        <v>13</v>
      </c>
      <c r="BJ136" s="394">
        <f t="shared" ref="BJ136:BJ141" si="281">AX136-AL136</f>
        <v>-41</v>
      </c>
      <c r="BK136" s="394">
        <f t="shared" ref="BK136:BK141" si="282">AY136-AM136</f>
        <v>-62</v>
      </c>
      <c r="BL136" s="394">
        <f t="shared" ref="BL136:BO141" si="283">AZ136-AN136</f>
        <v>287</v>
      </c>
      <c r="BM136" s="394">
        <f t="shared" si="283"/>
        <v>31</v>
      </c>
      <c r="BN136" s="394">
        <f t="shared" si="283"/>
        <v>-236</v>
      </c>
      <c r="BO136" s="394">
        <f t="shared" si="283"/>
        <v>-2</v>
      </c>
      <c r="BP136" s="394">
        <f t="shared" ref="BP136:BP141" si="284">BD136-AR136</f>
        <v>583</v>
      </c>
      <c r="BQ136" s="394">
        <f t="shared" ref="BQ136:BQ141" si="285">BE136-AS136</f>
        <v>347</v>
      </c>
      <c r="BR136" s="394">
        <f t="shared" ref="BR136:BR141" si="286">BF136-AT136</f>
        <v>199</v>
      </c>
      <c r="BS136" s="278"/>
      <c r="BT136" s="391"/>
    </row>
    <row r="137" spans="1:72" x14ac:dyDescent="0.25">
      <c r="A137" s="341"/>
      <c r="B137" s="390" t="s">
        <v>36</v>
      </c>
      <c r="C137" s="439">
        <v>108</v>
      </c>
      <c r="D137" s="362">
        <v>228</v>
      </c>
      <c r="E137" s="362">
        <v>352</v>
      </c>
      <c r="F137" s="362">
        <v>349</v>
      </c>
      <c r="G137" s="362">
        <v>301</v>
      </c>
      <c r="H137" s="362">
        <v>289</v>
      </c>
      <c r="I137" s="362">
        <v>261</v>
      </c>
      <c r="J137" s="362">
        <v>192</v>
      </c>
      <c r="K137" s="362">
        <v>161</v>
      </c>
      <c r="L137" s="363">
        <v>63</v>
      </c>
      <c r="M137" s="439">
        <v>29</v>
      </c>
      <c r="N137" s="362">
        <v>25</v>
      </c>
      <c r="O137" s="362">
        <v>26</v>
      </c>
      <c r="P137" s="362">
        <v>17</v>
      </c>
      <c r="Q137" s="362">
        <v>14</v>
      </c>
      <c r="R137" s="362">
        <v>8</v>
      </c>
      <c r="S137" s="362">
        <v>10</v>
      </c>
      <c r="T137" s="362">
        <v>11</v>
      </c>
      <c r="U137" s="362">
        <v>10</v>
      </c>
      <c r="V137" s="362">
        <v>16</v>
      </c>
      <c r="W137" s="239">
        <v>19</v>
      </c>
      <c r="X137" s="367">
        <v>16</v>
      </c>
      <c r="Y137" s="239">
        <v>20</v>
      </c>
      <c r="Z137" s="239">
        <v>13</v>
      </c>
      <c r="AA137" s="239">
        <v>21</v>
      </c>
      <c r="AB137" s="239">
        <v>34</v>
      </c>
      <c r="AC137" s="239">
        <v>0</v>
      </c>
      <c r="AD137" s="239">
        <v>0</v>
      </c>
      <c r="AE137" s="239">
        <v>50</v>
      </c>
      <c r="AF137" s="239">
        <v>47</v>
      </c>
      <c r="AG137" s="239">
        <v>69</v>
      </c>
      <c r="AH137" s="239">
        <v>67</v>
      </c>
      <c r="AI137" s="239">
        <v>43</v>
      </c>
      <c r="AJ137" s="239">
        <f>2+31</f>
        <v>33</v>
      </c>
      <c r="AK137" s="239">
        <v>31</v>
      </c>
      <c r="AL137" s="239">
        <v>29</v>
      </c>
      <c r="AM137" s="239">
        <v>46</v>
      </c>
      <c r="AN137" s="239"/>
      <c r="AO137" s="239">
        <v>76</v>
      </c>
      <c r="AP137" s="239">
        <v>105</v>
      </c>
      <c r="AQ137" s="239">
        <v>126</v>
      </c>
      <c r="AR137" s="239">
        <v>86</v>
      </c>
      <c r="AS137" s="239">
        <f>1+137</f>
        <v>138</v>
      </c>
      <c r="AT137" s="239">
        <v>158</v>
      </c>
      <c r="AU137" s="239">
        <v>181</v>
      </c>
      <c r="AV137" s="239">
        <v>205</v>
      </c>
      <c r="AW137" s="437">
        <v>123</v>
      </c>
      <c r="AX137" s="239">
        <v>113</v>
      </c>
      <c r="AY137" s="280">
        <v>123</v>
      </c>
      <c r="AZ137" s="280">
        <v>132</v>
      </c>
      <c r="BA137" s="183">
        <v>117</v>
      </c>
      <c r="BB137" s="183">
        <v>114</v>
      </c>
      <c r="BC137" s="239">
        <v>115</v>
      </c>
      <c r="BD137" s="425"/>
      <c r="BE137" s="425">
        <v>204</v>
      </c>
      <c r="BF137" s="376">
        <v>169</v>
      </c>
      <c r="BG137" s="278"/>
      <c r="BH137" s="391"/>
      <c r="BI137" s="460">
        <f t="shared" si="280"/>
        <v>92</v>
      </c>
      <c r="BJ137" s="394">
        <f t="shared" si="281"/>
        <v>84</v>
      </c>
      <c r="BK137" s="394">
        <f t="shared" si="282"/>
        <v>77</v>
      </c>
      <c r="BL137" s="394">
        <f t="shared" si="283"/>
        <v>132</v>
      </c>
      <c r="BM137" s="394">
        <f t="shared" si="283"/>
        <v>41</v>
      </c>
      <c r="BN137" s="394">
        <f t="shared" si="283"/>
        <v>9</v>
      </c>
      <c r="BO137" s="394">
        <f t="shared" si="283"/>
        <v>-11</v>
      </c>
      <c r="BP137" s="394">
        <f t="shared" si="284"/>
        <v>-86</v>
      </c>
      <c r="BQ137" s="394">
        <f t="shared" si="285"/>
        <v>66</v>
      </c>
      <c r="BR137" s="394">
        <f t="shared" si="286"/>
        <v>11</v>
      </c>
      <c r="BS137" s="278"/>
      <c r="BT137" s="391"/>
    </row>
    <row r="138" spans="1:72" x14ac:dyDescent="0.25">
      <c r="A138" s="341"/>
      <c r="B138" s="390" t="s">
        <v>37</v>
      </c>
      <c r="C138" s="439">
        <v>2</v>
      </c>
      <c r="D138" s="362">
        <v>2</v>
      </c>
      <c r="E138" s="362">
        <v>1</v>
      </c>
      <c r="F138" s="362">
        <v>0</v>
      </c>
      <c r="G138" s="362">
        <v>0</v>
      </c>
      <c r="H138" s="362">
        <v>0</v>
      </c>
      <c r="I138" s="362">
        <v>0</v>
      </c>
      <c r="J138" s="362">
        <v>0</v>
      </c>
      <c r="K138" s="362">
        <v>0</v>
      </c>
      <c r="L138" s="363">
        <v>0</v>
      </c>
      <c r="M138" s="439">
        <v>0</v>
      </c>
      <c r="N138" s="362">
        <v>0</v>
      </c>
      <c r="O138" s="362">
        <v>1</v>
      </c>
      <c r="P138" s="362">
        <v>2</v>
      </c>
      <c r="Q138" s="362">
        <v>3</v>
      </c>
      <c r="R138" s="362">
        <v>2</v>
      </c>
      <c r="S138" s="362">
        <v>2</v>
      </c>
      <c r="T138" s="362">
        <v>5</v>
      </c>
      <c r="U138" s="362">
        <v>10</v>
      </c>
      <c r="V138" s="362">
        <v>14</v>
      </c>
      <c r="W138" s="239">
        <v>11</v>
      </c>
      <c r="X138" s="367">
        <v>5</v>
      </c>
      <c r="Y138" s="239">
        <v>6</v>
      </c>
      <c r="Z138" s="239">
        <v>12</v>
      </c>
      <c r="AA138" s="239">
        <v>13</v>
      </c>
      <c r="AB138" s="239">
        <v>9</v>
      </c>
      <c r="AC138" s="239">
        <v>0</v>
      </c>
      <c r="AD138" s="239">
        <v>0</v>
      </c>
      <c r="AE138" s="239">
        <v>3</v>
      </c>
      <c r="AF138" s="239">
        <v>3</v>
      </c>
      <c r="AG138" s="239">
        <v>4</v>
      </c>
      <c r="AH138" s="239">
        <v>2</v>
      </c>
      <c r="AI138" s="239">
        <v>2</v>
      </c>
      <c r="AJ138" s="239">
        <f>1</f>
        <v>1</v>
      </c>
      <c r="AK138" s="239">
        <v>6</v>
      </c>
      <c r="AL138" s="239">
        <v>7</v>
      </c>
      <c r="AM138" s="239">
        <v>10</v>
      </c>
      <c r="AN138" s="239"/>
      <c r="AO138" s="239">
        <v>9</v>
      </c>
      <c r="AP138" s="239">
        <v>8</v>
      </c>
      <c r="AQ138" s="239">
        <v>8</v>
      </c>
      <c r="AR138" s="239">
        <v>5</v>
      </c>
      <c r="AS138" s="239">
        <v>5</v>
      </c>
      <c r="AT138" s="239">
        <v>5</v>
      </c>
      <c r="AU138" s="239">
        <v>7</v>
      </c>
      <c r="AV138" s="239">
        <v>7</v>
      </c>
      <c r="AW138" s="437">
        <v>3</v>
      </c>
      <c r="AX138" s="239">
        <v>9</v>
      </c>
      <c r="AY138" s="280">
        <v>11</v>
      </c>
      <c r="AZ138" s="280">
        <f>SUM(10+2)</f>
        <v>12</v>
      </c>
      <c r="BA138" s="183">
        <v>12</v>
      </c>
      <c r="BB138" s="183">
        <v>9</v>
      </c>
      <c r="BC138" s="239">
        <v>4</v>
      </c>
      <c r="BD138" s="425">
        <v>11</v>
      </c>
      <c r="BE138" s="425">
        <v>8</v>
      </c>
      <c r="BF138" s="376">
        <v>8</v>
      </c>
      <c r="BG138" s="278"/>
      <c r="BH138" s="391"/>
      <c r="BI138" s="460">
        <f t="shared" si="280"/>
        <v>-3</v>
      </c>
      <c r="BJ138" s="394">
        <f t="shared" si="281"/>
        <v>2</v>
      </c>
      <c r="BK138" s="394">
        <f t="shared" si="282"/>
        <v>1</v>
      </c>
      <c r="BL138" s="394">
        <f t="shared" si="283"/>
        <v>12</v>
      </c>
      <c r="BM138" s="394">
        <f t="shared" si="283"/>
        <v>3</v>
      </c>
      <c r="BN138" s="394">
        <f t="shared" si="283"/>
        <v>1</v>
      </c>
      <c r="BO138" s="394">
        <f t="shared" si="283"/>
        <v>-4</v>
      </c>
      <c r="BP138" s="394">
        <f t="shared" si="284"/>
        <v>6</v>
      </c>
      <c r="BQ138" s="394">
        <f t="shared" si="285"/>
        <v>3</v>
      </c>
      <c r="BR138" s="394">
        <f t="shared" si="286"/>
        <v>3</v>
      </c>
      <c r="BS138" s="278"/>
      <c r="BT138" s="391"/>
    </row>
    <row r="139" spans="1:72" x14ac:dyDescent="0.25">
      <c r="A139" s="341"/>
      <c r="B139" s="390" t="s">
        <v>38</v>
      </c>
      <c r="C139" s="439">
        <v>0</v>
      </c>
      <c r="D139" s="362">
        <v>0</v>
      </c>
      <c r="E139" s="362">
        <v>0</v>
      </c>
      <c r="F139" s="362">
        <v>0</v>
      </c>
      <c r="G139" s="362">
        <v>0</v>
      </c>
      <c r="H139" s="362">
        <v>0</v>
      </c>
      <c r="I139" s="362">
        <v>0</v>
      </c>
      <c r="J139" s="362">
        <v>0</v>
      </c>
      <c r="K139" s="362">
        <v>0</v>
      </c>
      <c r="L139" s="363">
        <v>0</v>
      </c>
      <c r="M139" s="439">
        <v>0</v>
      </c>
      <c r="N139" s="362">
        <v>0</v>
      </c>
      <c r="O139" s="362">
        <v>0</v>
      </c>
      <c r="P139" s="362">
        <v>0</v>
      </c>
      <c r="Q139" s="362">
        <v>0</v>
      </c>
      <c r="R139" s="362">
        <v>0</v>
      </c>
      <c r="S139" s="362">
        <v>0</v>
      </c>
      <c r="T139" s="362">
        <v>0</v>
      </c>
      <c r="U139" s="362">
        <v>2</v>
      </c>
      <c r="V139" s="362">
        <v>3</v>
      </c>
      <c r="W139" s="239">
        <v>4</v>
      </c>
      <c r="X139" s="367">
        <v>2</v>
      </c>
      <c r="Y139" s="239">
        <v>3</v>
      </c>
      <c r="Z139" s="239">
        <v>0</v>
      </c>
      <c r="AA139" s="239">
        <v>2</v>
      </c>
      <c r="AB139" s="239">
        <v>2</v>
      </c>
      <c r="AC139" s="239">
        <v>0</v>
      </c>
      <c r="AD139" s="239">
        <v>0</v>
      </c>
      <c r="AE139" s="239">
        <v>0</v>
      </c>
      <c r="AF139" s="239">
        <v>0</v>
      </c>
      <c r="AG139" s="239">
        <v>1</v>
      </c>
      <c r="AH139" s="239">
        <v>0</v>
      </c>
      <c r="AI139" s="239">
        <v>0</v>
      </c>
      <c r="AJ139" s="239">
        <v>0</v>
      </c>
      <c r="AK139" s="239">
        <v>0</v>
      </c>
      <c r="AL139" s="239">
        <v>0</v>
      </c>
      <c r="AM139" s="239">
        <v>1</v>
      </c>
      <c r="AN139" s="239"/>
      <c r="AO139" s="239">
        <v>2</v>
      </c>
      <c r="AP139" s="239">
        <v>2</v>
      </c>
      <c r="AQ139" s="239">
        <v>4</v>
      </c>
      <c r="AR139" s="239">
        <v>4</v>
      </c>
      <c r="AS139" s="239">
        <v>3</v>
      </c>
      <c r="AT139" s="239">
        <v>4</v>
      </c>
      <c r="AU139" s="239">
        <v>5</v>
      </c>
      <c r="AV139" s="239">
        <v>5</v>
      </c>
      <c r="AW139" s="437">
        <v>5</v>
      </c>
      <c r="AX139" s="239">
        <v>5</v>
      </c>
      <c r="AY139" s="280">
        <v>5</v>
      </c>
      <c r="AZ139" s="280">
        <v>5</v>
      </c>
      <c r="BA139" s="183">
        <v>4</v>
      </c>
      <c r="BB139" s="183">
        <v>5</v>
      </c>
      <c r="BC139" s="239">
        <v>2</v>
      </c>
      <c r="BD139" s="425">
        <v>4</v>
      </c>
      <c r="BE139" s="425">
        <v>4</v>
      </c>
      <c r="BF139" s="376">
        <v>4</v>
      </c>
      <c r="BG139" s="278"/>
      <c r="BH139" s="391"/>
      <c r="BI139" s="460">
        <f t="shared" si="280"/>
        <v>5</v>
      </c>
      <c r="BJ139" s="394">
        <f t="shared" si="281"/>
        <v>5</v>
      </c>
      <c r="BK139" s="394">
        <f t="shared" si="282"/>
        <v>4</v>
      </c>
      <c r="BL139" s="394">
        <f t="shared" si="283"/>
        <v>5</v>
      </c>
      <c r="BM139" s="394">
        <f t="shared" si="283"/>
        <v>2</v>
      </c>
      <c r="BN139" s="394">
        <f t="shared" si="283"/>
        <v>3</v>
      </c>
      <c r="BO139" s="394">
        <f t="shared" si="283"/>
        <v>-2</v>
      </c>
      <c r="BP139" s="394">
        <f t="shared" si="284"/>
        <v>0</v>
      </c>
      <c r="BQ139" s="394">
        <f t="shared" si="285"/>
        <v>1</v>
      </c>
      <c r="BR139" s="394">
        <f t="shared" si="286"/>
        <v>0</v>
      </c>
      <c r="BS139" s="278"/>
      <c r="BT139" s="391"/>
    </row>
    <row r="140" spans="1:72" x14ac:dyDescent="0.25">
      <c r="A140" s="341"/>
      <c r="B140" s="390" t="s">
        <v>39</v>
      </c>
      <c r="C140" s="439">
        <v>0</v>
      </c>
      <c r="D140" s="362">
        <v>0</v>
      </c>
      <c r="E140" s="362">
        <v>0</v>
      </c>
      <c r="F140" s="362">
        <v>0</v>
      </c>
      <c r="G140" s="362">
        <v>0</v>
      </c>
      <c r="H140" s="362">
        <v>0</v>
      </c>
      <c r="I140" s="362">
        <v>0</v>
      </c>
      <c r="J140" s="362">
        <v>0</v>
      </c>
      <c r="K140" s="362">
        <v>0</v>
      </c>
      <c r="L140" s="363">
        <v>0</v>
      </c>
      <c r="M140" s="439">
        <v>0</v>
      </c>
      <c r="N140" s="362">
        <v>0</v>
      </c>
      <c r="O140" s="362">
        <v>0</v>
      </c>
      <c r="P140" s="362">
        <v>0</v>
      </c>
      <c r="Q140" s="362">
        <v>0</v>
      </c>
      <c r="R140" s="362">
        <v>0</v>
      </c>
      <c r="S140" s="362">
        <v>0</v>
      </c>
      <c r="T140" s="362">
        <v>0</v>
      </c>
      <c r="U140" s="362">
        <v>0</v>
      </c>
      <c r="V140" s="362">
        <v>0</v>
      </c>
      <c r="W140" s="362">
        <v>0</v>
      </c>
      <c r="X140" s="363">
        <v>0</v>
      </c>
      <c r="Y140" s="362">
        <v>0</v>
      </c>
      <c r="Z140" s="362">
        <v>0</v>
      </c>
      <c r="AA140" s="362">
        <v>0</v>
      </c>
      <c r="AB140" s="239">
        <v>0</v>
      </c>
      <c r="AC140" s="362">
        <v>0</v>
      </c>
      <c r="AD140" s="362">
        <v>0</v>
      </c>
      <c r="AE140" s="362">
        <v>0</v>
      </c>
      <c r="AF140" s="362">
        <v>0</v>
      </c>
      <c r="AG140" s="362">
        <v>0</v>
      </c>
      <c r="AH140" s="362">
        <v>0</v>
      </c>
      <c r="AI140" s="362">
        <v>0</v>
      </c>
      <c r="AJ140" s="362">
        <v>0</v>
      </c>
      <c r="AK140" s="362">
        <v>0</v>
      </c>
      <c r="AL140" s="362">
        <v>0</v>
      </c>
      <c r="AM140" s="362">
        <v>0</v>
      </c>
      <c r="AN140" s="362"/>
      <c r="AO140" s="362">
        <v>0</v>
      </c>
      <c r="AP140" s="362">
        <v>0</v>
      </c>
      <c r="AQ140" s="362">
        <v>0</v>
      </c>
      <c r="AR140" s="362">
        <v>0</v>
      </c>
      <c r="AS140" s="362">
        <v>0</v>
      </c>
      <c r="AT140" s="362">
        <v>0</v>
      </c>
      <c r="AU140" s="362">
        <v>0</v>
      </c>
      <c r="AV140" s="362">
        <v>0</v>
      </c>
      <c r="AW140" s="437">
        <v>0</v>
      </c>
      <c r="AX140" s="239">
        <v>0</v>
      </c>
      <c r="AY140" s="280">
        <v>0</v>
      </c>
      <c r="AZ140" s="280">
        <v>0</v>
      </c>
      <c r="BA140" s="183">
        <v>0</v>
      </c>
      <c r="BB140" s="183">
        <v>0</v>
      </c>
      <c r="BC140" s="239">
        <v>0</v>
      </c>
      <c r="BD140" s="425">
        <v>0</v>
      </c>
      <c r="BE140" s="425">
        <v>0</v>
      </c>
      <c r="BF140" s="376">
        <v>0</v>
      </c>
      <c r="BG140" s="278"/>
      <c r="BH140" s="391"/>
      <c r="BI140" s="460">
        <f t="shared" si="280"/>
        <v>0</v>
      </c>
      <c r="BJ140" s="394">
        <f t="shared" si="281"/>
        <v>0</v>
      </c>
      <c r="BK140" s="394">
        <f t="shared" si="282"/>
        <v>0</v>
      </c>
      <c r="BL140" s="394">
        <f t="shared" si="283"/>
        <v>0</v>
      </c>
      <c r="BM140" s="394">
        <f t="shared" si="283"/>
        <v>0</v>
      </c>
      <c r="BN140" s="394">
        <f t="shared" si="283"/>
        <v>0</v>
      </c>
      <c r="BO140" s="394">
        <f t="shared" si="283"/>
        <v>0</v>
      </c>
      <c r="BP140" s="394">
        <f t="shared" si="284"/>
        <v>0</v>
      </c>
      <c r="BQ140" s="394">
        <f t="shared" si="285"/>
        <v>0</v>
      </c>
      <c r="BR140" s="394">
        <f t="shared" si="286"/>
        <v>0</v>
      </c>
      <c r="BS140" s="278"/>
      <c r="BT140" s="391"/>
    </row>
    <row r="141" spans="1:72" ht="15.75" thickBot="1" x14ac:dyDescent="0.3">
      <c r="A141" s="341"/>
      <c r="B141" s="414" t="s">
        <v>40</v>
      </c>
      <c r="C141" s="440">
        <f t="shared" ref="C141:AC141" si="287">SUM(C136:C140)</f>
        <v>644</v>
      </c>
      <c r="D141" s="415">
        <f t="shared" si="287"/>
        <v>958</v>
      </c>
      <c r="E141" s="415">
        <f t="shared" si="287"/>
        <v>1180</v>
      </c>
      <c r="F141" s="415">
        <f t="shared" si="287"/>
        <v>1136</v>
      </c>
      <c r="G141" s="415">
        <f t="shared" si="287"/>
        <v>899</v>
      </c>
      <c r="H141" s="415">
        <f t="shared" si="287"/>
        <v>723</v>
      </c>
      <c r="I141" s="415">
        <f t="shared" si="287"/>
        <v>531</v>
      </c>
      <c r="J141" s="415">
        <f t="shared" si="287"/>
        <v>404</v>
      </c>
      <c r="K141" s="415">
        <f t="shared" si="287"/>
        <v>355</v>
      </c>
      <c r="L141" s="441">
        <f t="shared" si="287"/>
        <v>169</v>
      </c>
      <c r="M141" s="440">
        <f t="shared" si="287"/>
        <v>195</v>
      </c>
      <c r="N141" s="415">
        <f t="shared" si="287"/>
        <v>377</v>
      </c>
      <c r="O141" s="415">
        <f t="shared" si="287"/>
        <v>365</v>
      </c>
      <c r="P141" s="415">
        <f t="shared" si="287"/>
        <v>154</v>
      </c>
      <c r="Q141" s="415">
        <f t="shared" si="287"/>
        <v>134</v>
      </c>
      <c r="R141" s="415">
        <f t="shared" si="287"/>
        <v>164</v>
      </c>
      <c r="S141" s="415">
        <f t="shared" si="287"/>
        <v>114</v>
      </c>
      <c r="T141" s="415">
        <f t="shared" si="287"/>
        <v>117</v>
      </c>
      <c r="U141" s="415">
        <f t="shared" si="287"/>
        <v>100</v>
      </c>
      <c r="V141" s="415">
        <f t="shared" si="287"/>
        <v>235</v>
      </c>
      <c r="W141" s="415">
        <f t="shared" si="287"/>
        <v>451</v>
      </c>
      <c r="X141" s="441">
        <f t="shared" si="287"/>
        <v>219</v>
      </c>
      <c r="Y141" s="415">
        <f t="shared" si="287"/>
        <v>155</v>
      </c>
      <c r="Z141" s="415">
        <f t="shared" si="287"/>
        <v>159</v>
      </c>
      <c r="AA141" s="415">
        <f t="shared" si="287"/>
        <v>200</v>
      </c>
      <c r="AB141" s="415">
        <f t="shared" si="287"/>
        <v>220</v>
      </c>
      <c r="AC141" s="415">
        <f t="shared" si="287"/>
        <v>245</v>
      </c>
      <c r="AD141" s="415">
        <f t="shared" ref="AD141:AI141" si="288">SUM(AD136:AD140)</f>
        <v>505</v>
      </c>
      <c r="AE141" s="415">
        <f t="shared" si="288"/>
        <v>359</v>
      </c>
      <c r="AF141" s="415">
        <f t="shared" si="288"/>
        <v>313</v>
      </c>
      <c r="AG141" s="415">
        <f t="shared" si="288"/>
        <v>467</v>
      </c>
      <c r="AH141" s="415">
        <f t="shared" si="288"/>
        <v>408</v>
      </c>
      <c r="AI141" s="415">
        <f t="shared" si="288"/>
        <v>299</v>
      </c>
      <c r="AJ141" s="415">
        <f>SUM(AJ136:AJ140)</f>
        <v>233</v>
      </c>
      <c r="AK141" s="415">
        <f>SUM(AK136:AK140)</f>
        <v>293</v>
      </c>
      <c r="AL141" s="415">
        <f>SUM(AL136:AL140)</f>
        <v>316</v>
      </c>
      <c r="AM141" s="415">
        <f>SUM(AM136:AM140)</f>
        <v>397</v>
      </c>
      <c r="AN141" s="415"/>
      <c r="AO141" s="415">
        <f t="shared" ref="AO141:AT141" si="289">SUM(AO136:AO140)</f>
        <v>430</v>
      </c>
      <c r="AP141" s="415">
        <f t="shared" si="289"/>
        <v>592</v>
      </c>
      <c r="AQ141" s="415">
        <f t="shared" si="289"/>
        <v>737</v>
      </c>
      <c r="AR141" s="415">
        <f t="shared" si="289"/>
        <v>561</v>
      </c>
      <c r="AS141" s="415">
        <f t="shared" si="289"/>
        <v>660</v>
      </c>
      <c r="AT141" s="415">
        <f t="shared" si="289"/>
        <v>761</v>
      </c>
      <c r="AU141" s="415">
        <f t="shared" ref="AU141:BB141" si="290">SUM(AU136:AU140)</f>
        <v>820</v>
      </c>
      <c r="AV141" s="415">
        <f t="shared" si="290"/>
        <v>828</v>
      </c>
      <c r="AW141" s="471">
        <f t="shared" si="290"/>
        <v>400</v>
      </c>
      <c r="AX141" s="457">
        <f t="shared" si="290"/>
        <v>366</v>
      </c>
      <c r="AY141" s="407">
        <f t="shared" si="290"/>
        <v>417</v>
      </c>
      <c r="AZ141" s="407">
        <f t="shared" si="290"/>
        <v>436</v>
      </c>
      <c r="BA141" s="407">
        <f t="shared" si="290"/>
        <v>507</v>
      </c>
      <c r="BB141" s="407">
        <f t="shared" si="290"/>
        <v>369</v>
      </c>
      <c r="BC141" s="457">
        <f>SUM(BC136:BC140)</f>
        <v>718</v>
      </c>
      <c r="BD141" s="593">
        <f>SUM(BD136:BD140)</f>
        <v>1064</v>
      </c>
      <c r="BE141" s="594">
        <f>SUM(BE136:BE140)</f>
        <v>1077</v>
      </c>
      <c r="BF141" s="593">
        <f>SUM(BF136:BF140)</f>
        <v>974</v>
      </c>
      <c r="BG141" s="375"/>
      <c r="BH141" s="448"/>
      <c r="BI141" s="461">
        <f t="shared" si="280"/>
        <v>107</v>
      </c>
      <c r="BJ141" s="396">
        <f t="shared" si="281"/>
        <v>50</v>
      </c>
      <c r="BK141" s="396">
        <f t="shared" si="282"/>
        <v>20</v>
      </c>
      <c r="BL141" s="396">
        <f t="shared" si="283"/>
        <v>436</v>
      </c>
      <c r="BM141" s="396">
        <f t="shared" si="283"/>
        <v>77</v>
      </c>
      <c r="BN141" s="396">
        <f t="shared" si="283"/>
        <v>-223</v>
      </c>
      <c r="BO141" s="396">
        <f t="shared" si="283"/>
        <v>-19</v>
      </c>
      <c r="BP141" s="396">
        <f t="shared" si="284"/>
        <v>503</v>
      </c>
      <c r="BQ141" s="396">
        <f t="shared" si="285"/>
        <v>417</v>
      </c>
      <c r="BR141" s="396">
        <f t="shared" si="286"/>
        <v>213</v>
      </c>
      <c r="BS141" s="375"/>
      <c r="BT141" s="448"/>
    </row>
    <row r="142" spans="1:72" x14ac:dyDescent="0.25">
      <c r="A142" s="341"/>
      <c r="X142" s="278"/>
      <c r="Y142" s="278"/>
    </row>
    <row r="143" spans="1:72" x14ac:dyDescent="0.25">
      <c r="B143" s="369" t="s">
        <v>27</v>
      </c>
      <c r="X143" s="278"/>
      <c r="Y143" s="278"/>
    </row>
    <row r="144" spans="1:72" x14ac:dyDescent="0.25">
      <c r="B144" s="106"/>
      <c r="C144" s="608"/>
      <c r="D144" s="608"/>
      <c r="E144" s="608"/>
      <c r="F144" s="608"/>
      <c r="G144" s="608"/>
      <c r="H144" s="608"/>
      <c r="I144" s="608"/>
      <c r="J144" s="608"/>
      <c r="K144" s="608"/>
      <c r="L144" s="608"/>
      <c r="N144" s="599"/>
      <c r="O144" s="599"/>
      <c r="P144" s="599"/>
      <c r="Q144" s="599"/>
      <c r="R144" s="599"/>
      <c r="S144" s="370"/>
      <c r="T144" s="371"/>
      <c r="U144" s="371"/>
      <c r="V144" s="371"/>
      <c r="W144" s="371"/>
      <c r="X144" s="371"/>
      <c r="Y144" s="371"/>
      <c r="Z144" s="371"/>
      <c r="AA144" s="371"/>
      <c r="AB144" s="371"/>
      <c r="AC144" s="371"/>
      <c r="AD144" s="371"/>
      <c r="AE144" s="371"/>
      <c r="AF144" s="371"/>
      <c r="AG144" s="371"/>
      <c r="AH144" s="371"/>
      <c r="AI144" s="371"/>
      <c r="AJ144" s="371"/>
      <c r="AK144" s="371"/>
      <c r="AL144" s="371"/>
      <c r="AM144" s="371"/>
      <c r="AN144" s="371"/>
      <c r="AO144" s="371"/>
      <c r="AP144" s="371"/>
      <c r="AQ144" s="371"/>
      <c r="AR144" s="371"/>
      <c r="AS144" s="371"/>
      <c r="AT144" s="371"/>
      <c r="AU144" s="371"/>
      <c r="AV144" s="371"/>
      <c r="AX144" s="603"/>
      <c r="AY144" s="603"/>
      <c r="AZ144" s="603"/>
      <c r="BA144" s="603"/>
      <c r="BB144" s="603"/>
      <c r="BD144" s="602"/>
      <c r="BE144" s="602"/>
      <c r="BF144" s="602"/>
      <c r="BG144" s="602"/>
      <c r="BH144" s="602"/>
      <c r="BI144" s="599"/>
      <c r="BJ144" s="599"/>
      <c r="BK144" s="599"/>
      <c r="BL144" s="599"/>
      <c r="BM144" s="599"/>
    </row>
    <row r="147" spans="2:48" x14ac:dyDescent="0.25">
      <c r="B147" s="23" t="s">
        <v>26</v>
      </c>
    </row>
    <row r="148" spans="2:48" x14ac:dyDescent="0.25">
      <c r="B148" s="372"/>
      <c r="C148" s="598" t="s">
        <v>48</v>
      </c>
      <c r="D148" s="598"/>
      <c r="E148" s="598"/>
      <c r="F148" s="598"/>
      <c r="G148" s="598"/>
      <c r="H148" s="598"/>
      <c r="I148" s="598"/>
      <c r="J148" s="598"/>
      <c r="K148" s="598"/>
      <c r="L148" s="598"/>
      <c r="M148" s="599" t="s">
        <v>49</v>
      </c>
      <c r="N148" s="599"/>
      <c r="O148" s="599"/>
      <c r="P148" s="599"/>
      <c r="R148" s="599" t="s">
        <v>51</v>
      </c>
      <c r="S148" s="599"/>
      <c r="T148" s="599"/>
      <c r="U148" s="599"/>
      <c r="V148" s="599"/>
      <c r="Y148" s="595" t="s">
        <v>53</v>
      </c>
      <c r="Z148" s="596"/>
      <c r="AA148" s="596"/>
      <c r="AB148" s="596"/>
      <c r="AC148" s="597"/>
      <c r="AD148" s="373"/>
      <c r="AE148" s="373"/>
      <c r="AF148" s="373"/>
      <c r="AG148" s="373"/>
      <c r="AH148" s="373"/>
      <c r="AI148" s="373"/>
      <c r="AJ148" s="373"/>
      <c r="AK148" s="373"/>
      <c r="AL148" s="373"/>
      <c r="AM148" s="373"/>
      <c r="AN148" s="373"/>
      <c r="AO148" s="373"/>
      <c r="AP148" s="373"/>
      <c r="AQ148" s="373"/>
      <c r="AR148" s="373"/>
      <c r="AS148" s="373"/>
      <c r="AT148" s="373"/>
      <c r="AU148" s="373"/>
      <c r="AV148" s="373"/>
    </row>
    <row r="149" spans="2:48" x14ac:dyDescent="0.25">
      <c r="B149" s="372"/>
      <c r="C149" s="598"/>
      <c r="D149" s="598"/>
      <c r="E149" s="598"/>
      <c r="F149" s="598"/>
      <c r="G149" s="598"/>
      <c r="H149" s="598"/>
      <c r="I149" s="598"/>
      <c r="J149" s="598"/>
      <c r="K149" s="598"/>
      <c r="L149" s="598"/>
    </row>
    <row r="150" spans="2:48" x14ac:dyDescent="0.25">
      <c r="B150" s="372"/>
      <c r="C150" s="598"/>
      <c r="D150" s="598"/>
      <c r="E150" s="598"/>
      <c r="F150" s="598"/>
      <c r="G150" s="598"/>
      <c r="H150" s="598"/>
      <c r="I150" s="598"/>
      <c r="J150" s="598"/>
      <c r="K150" s="598"/>
      <c r="L150" s="598"/>
    </row>
    <row r="151" spans="2:48" x14ac:dyDescent="0.25">
      <c r="B151" s="372"/>
      <c r="C151" s="598"/>
      <c r="D151" s="598"/>
      <c r="E151" s="598"/>
      <c r="F151" s="598"/>
      <c r="G151" s="598"/>
      <c r="H151" s="598"/>
      <c r="I151" s="598"/>
      <c r="J151" s="598"/>
      <c r="K151" s="598"/>
      <c r="L151" s="598"/>
    </row>
  </sheetData>
  <mergeCells count="17">
    <mergeCell ref="B1:W1"/>
    <mergeCell ref="BI144:BM144"/>
    <mergeCell ref="BD144:BH144"/>
    <mergeCell ref="AX144:BB144"/>
    <mergeCell ref="AW2:BC2"/>
    <mergeCell ref="AW3:BC3"/>
    <mergeCell ref="AW4:BC4"/>
    <mergeCell ref="C144:L144"/>
    <mergeCell ref="N144:R144"/>
    <mergeCell ref="Y7:AJ7"/>
    <mergeCell ref="Y148:AC148"/>
    <mergeCell ref="C149:L149"/>
    <mergeCell ref="C150:L150"/>
    <mergeCell ref="C151:L151"/>
    <mergeCell ref="C148:L148"/>
    <mergeCell ref="M148:P148"/>
    <mergeCell ref="R148:V148"/>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70" zoomScaleNormal="70" workbookViewId="0">
      <pane xSplit="1" ySplit="8" topLeftCell="BF9" activePane="bottomRight" state="frozen"/>
      <selection pane="topRight" activeCell="B1" sqref="B1"/>
      <selection pane="bottomLeft" activeCell="A9" sqref="A9"/>
      <selection pane="bottomRight" activeCell="BO89" sqref="BO89"/>
    </sheetView>
  </sheetViews>
  <sheetFormatPr defaultColWidth="9.28515625" defaultRowHeight="15" x14ac:dyDescent="0.25"/>
  <cols>
    <col min="1" max="1" width="63.28515625" customWidth="1"/>
    <col min="2" max="2" width="12.7109375" hidden="1" customWidth="1"/>
    <col min="3" max="3" width="11.7109375" hidden="1" customWidth="1"/>
    <col min="4" max="11" width="10.7109375" hidden="1" customWidth="1"/>
    <col min="12" max="14" width="11.7109375" hidden="1" customWidth="1"/>
    <col min="15" max="33" width="10.7109375" hidden="1" customWidth="1"/>
    <col min="34" max="34" width="11.7109375" hidden="1" customWidth="1"/>
    <col min="35" max="35" width="12" hidden="1" customWidth="1"/>
    <col min="36" max="36" width="14.7109375" hidden="1" customWidth="1"/>
    <col min="37" max="37" width="18.7109375" hidden="1" customWidth="1"/>
    <col min="38" max="47" width="14.7109375" hidden="1" customWidth="1"/>
    <col min="48" max="54" width="9.28515625" hidden="1" customWidth="1"/>
    <col min="55" max="57" width="11.5703125" hidden="1" customWidth="1"/>
    <col min="58" max="60" width="15.5703125" style="173" customWidth="1"/>
    <col min="61" max="64" width="15.5703125" customWidth="1"/>
    <col min="65" max="65" width="15.5703125" style="13" customWidth="1"/>
    <col min="66" max="66" width="15.5703125" customWidth="1"/>
    <col min="67" max="67" width="15.5703125" style="256" customWidth="1"/>
    <col min="68" max="69" width="15.5703125" customWidth="1"/>
    <col min="70" max="70" width="15.85546875" style="339" bestFit="1" customWidth="1"/>
    <col min="71" max="71" width="14.7109375" style="339" customWidth="1"/>
    <col min="72" max="81" width="14.42578125" style="339" customWidth="1"/>
  </cols>
  <sheetData>
    <row r="1" spans="1:81" ht="16.5" thickTop="1" thickBot="1" x14ac:dyDescent="0.3">
      <c r="A1" s="163" t="s">
        <v>19</v>
      </c>
      <c r="B1" s="164"/>
      <c r="C1" s="164"/>
      <c r="D1" s="164"/>
      <c r="E1" s="164"/>
      <c r="F1" s="164"/>
      <c r="G1" s="164"/>
      <c r="H1" s="164"/>
      <c r="I1" s="164"/>
      <c r="J1" s="164"/>
      <c r="K1" s="164"/>
      <c r="L1" s="164"/>
      <c r="M1" s="164"/>
      <c r="N1" s="164"/>
      <c r="O1" s="164"/>
      <c r="P1" s="164"/>
      <c r="Q1" s="164"/>
      <c r="R1" s="164"/>
      <c r="S1" s="164"/>
      <c r="T1" s="164"/>
      <c r="U1" s="164"/>
      <c r="V1" s="164"/>
      <c r="W1" s="164"/>
      <c r="X1" s="261"/>
      <c r="Y1" s="261"/>
      <c r="Z1" s="261"/>
      <c r="AA1" s="261"/>
      <c r="AB1" s="261"/>
      <c r="AC1" s="261"/>
      <c r="AD1" s="261"/>
      <c r="AE1" s="261"/>
      <c r="AF1" s="261"/>
      <c r="AG1" s="261"/>
      <c r="AH1" s="261"/>
      <c r="AI1" s="261"/>
      <c r="AJ1" s="288"/>
      <c r="AK1" s="288"/>
      <c r="AL1" s="288"/>
      <c r="AM1" s="288"/>
      <c r="AN1" s="288"/>
      <c r="AO1" s="288"/>
      <c r="AP1" s="288"/>
      <c r="AQ1" s="288"/>
      <c r="AR1" s="288"/>
      <c r="AS1" s="288"/>
      <c r="AT1" s="288"/>
      <c r="AU1" s="288"/>
      <c r="AV1" s="164"/>
      <c r="AW1" s="164"/>
      <c r="AX1" s="170"/>
      <c r="AY1" s="170"/>
      <c r="AZ1" s="170"/>
      <c r="BA1" s="170"/>
      <c r="BB1" s="171"/>
      <c r="BC1" s="172"/>
      <c r="BD1" s="172"/>
      <c r="BE1" s="172"/>
      <c r="BR1" s="2"/>
      <c r="BS1" s="2"/>
      <c r="BT1" s="2"/>
      <c r="BU1" s="2"/>
      <c r="BV1" s="2"/>
      <c r="BW1" s="2"/>
      <c r="BX1" s="2"/>
      <c r="BY1" s="2"/>
      <c r="BZ1" s="2"/>
      <c r="CA1" s="2"/>
      <c r="CB1" s="2"/>
      <c r="CC1" s="2"/>
    </row>
    <row r="2" spans="1:81" ht="27.6" customHeight="1" thickTop="1" thickBot="1" x14ac:dyDescent="0.3">
      <c r="A2" s="4" t="s">
        <v>0</v>
      </c>
      <c r="I2" s="8"/>
      <c r="J2" s="174"/>
      <c r="K2" s="174"/>
      <c r="L2" s="165"/>
      <c r="M2" s="166"/>
      <c r="N2" s="166"/>
      <c r="O2" s="166"/>
      <c r="P2" s="166"/>
      <c r="Q2" s="166"/>
      <c r="R2" s="166"/>
      <c r="S2" s="174"/>
      <c r="T2" s="174"/>
      <c r="U2" s="174"/>
      <c r="V2" s="174"/>
      <c r="W2" s="174"/>
      <c r="X2" s="174"/>
      <c r="Y2" s="174"/>
      <c r="Z2" s="174"/>
      <c r="AA2" s="174"/>
      <c r="AB2" s="174"/>
      <c r="AC2" s="174"/>
      <c r="AD2" s="174"/>
      <c r="AE2" s="174"/>
      <c r="AF2" s="174"/>
      <c r="AG2" s="174"/>
      <c r="AH2" s="174"/>
      <c r="AI2" s="174"/>
      <c r="AQ2" s="174"/>
      <c r="AR2" s="174"/>
      <c r="AS2" s="174"/>
      <c r="AT2" s="174"/>
      <c r="AU2" s="174"/>
      <c r="AV2" s="174"/>
      <c r="AW2" s="10"/>
      <c r="BF2" s="165" t="s">
        <v>46</v>
      </c>
      <c r="BG2" s="166"/>
      <c r="BH2" s="166"/>
      <c r="BI2" s="166"/>
      <c r="BJ2" s="166"/>
      <c r="BK2" s="166"/>
      <c r="BL2" s="166"/>
      <c r="BR2" s="2"/>
      <c r="BS2" s="2"/>
      <c r="BT2" s="2"/>
      <c r="BU2" s="2"/>
      <c r="BV2" s="2"/>
      <c r="BW2" s="2"/>
      <c r="BX2" s="2"/>
      <c r="BY2" s="2"/>
      <c r="BZ2" s="2"/>
      <c r="CA2" s="2"/>
      <c r="CB2" s="2"/>
      <c r="CC2" s="2"/>
    </row>
    <row r="3" spans="1:81" ht="27.6" customHeight="1" thickTop="1" thickBot="1" x14ac:dyDescent="0.3">
      <c r="A3" s="4" t="s">
        <v>1</v>
      </c>
      <c r="I3" s="8"/>
      <c r="J3" s="8"/>
      <c r="K3" s="8"/>
      <c r="L3" s="165"/>
      <c r="M3" s="166"/>
      <c r="N3" s="166"/>
      <c r="O3" s="166"/>
      <c r="P3" s="166"/>
      <c r="Q3" s="166"/>
      <c r="R3" s="166"/>
      <c r="S3" s="8"/>
      <c r="T3" s="8"/>
      <c r="U3" s="8"/>
      <c r="V3" s="8"/>
      <c r="W3" s="8"/>
      <c r="X3" s="8"/>
      <c r="Y3" s="8"/>
      <c r="Z3" s="8"/>
      <c r="AA3" s="8"/>
      <c r="AB3" s="8"/>
      <c r="AC3" s="8"/>
      <c r="AD3" s="8"/>
      <c r="AE3" s="8"/>
      <c r="AF3" s="8"/>
      <c r="AG3" s="8"/>
      <c r="AH3" s="8"/>
      <c r="AI3" s="8"/>
      <c r="AQ3" s="8"/>
      <c r="AR3" s="8"/>
      <c r="AS3" s="8"/>
      <c r="AT3" s="8"/>
      <c r="AU3" s="8"/>
      <c r="AV3" s="8"/>
      <c r="AW3" s="9"/>
      <c r="BF3" s="165" t="s">
        <v>45</v>
      </c>
      <c r="BG3" s="166"/>
      <c r="BH3" s="166"/>
      <c r="BI3" s="166"/>
      <c r="BJ3" s="166"/>
      <c r="BK3" s="166"/>
      <c r="BL3" s="166"/>
      <c r="BR3" s="2"/>
      <c r="BS3" s="2"/>
      <c r="BT3" s="2"/>
      <c r="BU3" s="2"/>
      <c r="BV3" s="2"/>
      <c r="BW3" s="2"/>
      <c r="BX3" s="2"/>
      <c r="BY3" s="2"/>
      <c r="BZ3" s="2"/>
      <c r="CA3" s="2"/>
      <c r="CB3" s="2"/>
      <c r="CC3" s="2"/>
    </row>
    <row r="4" spans="1:81" ht="27.6" customHeight="1" thickTop="1" thickBot="1" x14ac:dyDescent="0.3">
      <c r="A4" s="4" t="s">
        <v>2</v>
      </c>
      <c r="I4" s="8"/>
      <c r="J4" s="8"/>
      <c r="K4" s="8"/>
      <c r="L4" s="167"/>
      <c r="M4" s="168"/>
      <c r="N4" s="168"/>
      <c r="O4" s="168"/>
      <c r="P4" s="168"/>
      <c r="Q4" s="168"/>
      <c r="R4" s="168"/>
      <c r="S4" s="8"/>
      <c r="T4" s="8"/>
      <c r="U4" s="8"/>
      <c r="V4" s="8"/>
      <c r="W4" s="8"/>
      <c r="X4" s="8"/>
      <c r="Y4" s="8"/>
      <c r="Z4" s="8"/>
      <c r="AA4" s="8"/>
      <c r="AB4" s="8"/>
      <c r="AC4" s="8"/>
      <c r="AD4" s="8"/>
      <c r="AE4" s="8"/>
      <c r="AF4" s="8"/>
      <c r="AG4" s="8"/>
      <c r="AH4" s="8"/>
      <c r="AI4" s="8"/>
      <c r="AQ4" s="8"/>
      <c r="AR4" s="8"/>
      <c r="AS4" s="8"/>
      <c r="AT4" s="8"/>
      <c r="AU4" s="8"/>
      <c r="AV4" s="8"/>
      <c r="AW4" s="10"/>
      <c r="BF4" s="167" t="str">
        <f>'FRNA-Monthly'!AW4</f>
        <v>11/20/2023</v>
      </c>
      <c r="BG4" s="168"/>
      <c r="BH4" s="168"/>
      <c r="BI4" s="168"/>
      <c r="BJ4" s="168"/>
      <c r="BK4" s="168"/>
      <c r="BL4" s="168"/>
      <c r="BR4" s="2"/>
      <c r="BS4" s="2"/>
      <c r="BT4" s="2"/>
      <c r="BU4" s="2"/>
      <c r="BV4" s="2"/>
      <c r="BW4" s="2"/>
      <c r="BX4" s="2"/>
      <c r="BY4" s="2"/>
      <c r="BZ4" s="2"/>
      <c r="CA4" s="2"/>
      <c r="CB4" s="2"/>
      <c r="CC4" s="2"/>
    </row>
    <row r="5" spans="1:81" ht="15.75" thickTop="1" x14ac:dyDescent="0.25">
      <c r="A5" s="4"/>
      <c r="B5" s="175"/>
      <c r="C5" s="175"/>
      <c r="D5" s="175"/>
      <c r="E5" s="8"/>
      <c r="F5" s="174"/>
      <c r="G5" s="8"/>
      <c r="H5" s="174"/>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0"/>
    </row>
    <row r="6" spans="1:81" ht="15.75" thickBot="1" x14ac:dyDescent="0.3">
      <c r="A6" s="11"/>
      <c r="B6" s="176"/>
      <c r="C6" s="13"/>
      <c r="D6" s="13"/>
      <c r="E6" s="13"/>
      <c r="F6" s="12"/>
      <c r="G6" s="13"/>
      <c r="H6" s="12"/>
      <c r="I6" s="177"/>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5"/>
    </row>
    <row r="7" spans="1:81" s="178" customFormat="1" ht="15.75" thickBot="1" x14ac:dyDescent="0.3">
      <c r="A7" s="16"/>
      <c r="B7" s="616">
        <v>2019</v>
      </c>
      <c r="C7" s="617"/>
      <c r="D7" s="617"/>
      <c r="E7" s="617"/>
      <c r="F7" s="617"/>
      <c r="G7" s="617"/>
      <c r="H7" s="617"/>
      <c r="I7" s="617"/>
      <c r="J7" s="617"/>
      <c r="K7" s="618"/>
      <c r="L7" s="619">
        <v>2020</v>
      </c>
      <c r="M7" s="617"/>
      <c r="N7" s="617"/>
      <c r="O7" s="617"/>
      <c r="P7" s="617"/>
      <c r="Q7" s="617"/>
      <c r="R7" s="617"/>
      <c r="S7" s="617"/>
      <c r="T7" s="617"/>
      <c r="U7" s="617"/>
      <c r="V7" s="617"/>
      <c r="W7" s="617"/>
      <c r="X7" s="613">
        <v>2021</v>
      </c>
      <c r="Y7" s="614"/>
      <c r="Z7" s="614"/>
      <c r="AA7" s="614"/>
      <c r="AB7" s="614"/>
      <c r="AC7" s="614"/>
      <c r="AD7" s="614"/>
      <c r="AE7" s="614"/>
      <c r="AF7" s="614"/>
      <c r="AG7" s="614"/>
      <c r="AH7" s="614"/>
      <c r="AI7" s="615"/>
      <c r="AJ7" s="613">
        <v>2022</v>
      </c>
      <c r="AK7" s="614"/>
      <c r="AL7" s="614"/>
      <c r="AM7" s="614"/>
      <c r="AN7" s="614"/>
      <c r="AO7" s="614"/>
      <c r="AP7" s="614"/>
      <c r="AQ7" s="614"/>
      <c r="AR7" s="614"/>
      <c r="AS7" s="614"/>
      <c r="AT7" s="614"/>
      <c r="AU7" s="615"/>
      <c r="AV7" s="617" t="s">
        <v>15</v>
      </c>
      <c r="AW7" s="617"/>
      <c r="AX7" s="617"/>
      <c r="AY7" s="617"/>
      <c r="AZ7" s="617"/>
      <c r="BA7" s="617"/>
      <c r="BB7" s="617"/>
      <c r="BC7" s="617"/>
      <c r="BD7" s="617"/>
      <c r="BE7" s="617"/>
      <c r="BF7" s="613">
        <v>2023</v>
      </c>
      <c r="BG7" s="614"/>
      <c r="BH7" s="614"/>
      <c r="BI7" s="614"/>
      <c r="BJ7" s="614"/>
      <c r="BK7" s="614"/>
      <c r="BL7" s="614"/>
      <c r="BM7" s="614"/>
      <c r="BN7" s="614"/>
      <c r="BO7" s="614"/>
      <c r="BP7" s="614"/>
      <c r="BQ7" s="615"/>
      <c r="BR7" s="442" t="s">
        <v>63</v>
      </c>
      <c r="BS7" s="355"/>
      <c r="BT7" s="355"/>
      <c r="BU7" s="355"/>
      <c r="BV7" s="355"/>
      <c r="BW7" s="355"/>
      <c r="BX7" s="355"/>
      <c r="BY7" s="355"/>
      <c r="BZ7" s="355"/>
      <c r="CA7" s="355"/>
      <c r="CB7" s="355"/>
      <c r="CC7" s="426"/>
    </row>
    <row r="8" spans="1:81" ht="15.75" thickBot="1" x14ac:dyDescent="0.3">
      <c r="A8" s="17"/>
      <c r="B8" s="18" t="s">
        <v>9</v>
      </c>
      <c r="C8" s="19" t="s">
        <v>10</v>
      </c>
      <c r="D8" s="19" t="s">
        <v>16</v>
      </c>
      <c r="E8" s="19" t="s">
        <v>11</v>
      </c>
      <c r="F8" s="19" t="s">
        <v>17</v>
      </c>
      <c r="G8" s="19" t="s">
        <v>3</v>
      </c>
      <c r="H8" s="19" t="s">
        <v>13</v>
      </c>
      <c r="I8" s="19" t="s">
        <v>4</v>
      </c>
      <c r="J8" s="19" t="s">
        <v>5</v>
      </c>
      <c r="K8" s="103" t="s">
        <v>6</v>
      </c>
      <c r="L8" s="20" t="s">
        <v>7</v>
      </c>
      <c r="M8" s="104" t="s">
        <v>8</v>
      </c>
      <c r="N8" s="20" t="s">
        <v>9</v>
      </c>
      <c r="O8" s="19" t="s">
        <v>10</v>
      </c>
      <c r="P8" s="19" t="s">
        <v>16</v>
      </c>
      <c r="Q8" s="19" t="s">
        <v>11</v>
      </c>
      <c r="R8" s="19" t="s">
        <v>12</v>
      </c>
      <c r="S8" s="19" t="s">
        <v>3</v>
      </c>
      <c r="T8" s="21" t="s">
        <v>13</v>
      </c>
      <c r="U8" s="124" t="s">
        <v>4</v>
      </c>
      <c r="V8" s="124" t="s">
        <v>5</v>
      </c>
      <c r="W8" s="124" t="s">
        <v>6</v>
      </c>
      <c r="X8" s="180" t="s">
        <v>7</v>
      </c>
      <c r="Y8" s="181" t="s">
        <v>8</v>
      </c>
      <c r="Z8" s="181" t="s">
        <v>50</v>
      </c>
      <c r="AA8" s="181" t="s">
        <v>52</v>
      </c>
      <c r="AB8" s="181" t="s">
        <v>16</v>
      </c>
      <c r="AC8" s="238" t="s">
        <v>55</v>
      </c>
      <c r="AD8" s="181" t="s">
        <v>17</v>
      </c>
      <c r="AE8" s="181" t="s">
        <v>56</v>
      </c>
      <c r="AF8" s="181" t="s">
        <v>57</v>
      </c>
      <c r="AG8" s="257" t="s">
        <v>58</v>
      </c>
      <c r="AH8" s="181" t="s">
        <v>59</v>
      </c>
      <c r="AI8" s="309" t="s">
        <v>60</v>
      </c>
      <c r="AJ8" s="181" t="s">
        <v>61</v>
      </c>
      <c r="AK8" s="181" t="s">
        <v>62</v>
      </c>
      <c r="AL8" s="181" t="s">
        <v>50</v>
      </c>
      <c r="AM8" s="181" t="s">
        <v>52</v>
      </c>
      <c r="AN8" s="181" t="s">
        <v>16</v>
      </c>
      <c r="AO8" s="181" t="s">
        <v>55</v>
      </c>
      <c r="AP8" s="181" t="s">
        <v>17</v>
      </c>
      <c r="AQ8" s="181" t="s">
        <v>56</v>
      </c>
      <c r="AR8" s="181" t="s">
        <v>57</v>
      </c>
      <c r="AS8" s="181" t="s">
        <v>58</v>
      </c>
      <c r="AT8" s="181" t="s">
        <v>59</v>
      </c>
      <c r="AU8" s="326" t="s">
        <v>60</v>
      </c>
      <c r="AV8" s="20" t="s">
        <v>9</v>
      </c>
      <c r="AW8" s="19" t="s">
        <v>10</v>
      </c>
      <c r="AX8" s="19" t="s">
        <v>16</v>
      </c>
      <c r="AY8" s="19" t="s">
        <v>11</v>
      </c>
      <c r="AZ8" s="19" t="s">
        <v>12</v>
      </c>
      <c r="BA8" s="19" t="s">
        <v>3</v>
      </c>
      <c r="BB8" s="301" t="s">
        <v>13</v>
      </c>
      <c r="BC8" s="179" t="s">
        <v>4</v>
      </c>
      <c r="BD8" s="179" t="s">
        <v>5</v>
      </c>
      <c r="BE8" s="179" t="s">
        <v>6</v>
      </c>
      <c r="BF8" s="181" t="s">
        <v>61</v>
      </c>
      <c r="BG8" s="181" t="s">
        <v>62</v>
      </c>
      <c r="BH8" s="181" t="s">
        <v>50</v>
      </c>
      <c r="BI8" s="181" t="s">
        <v>52</v>
      </c>
      <c r="BJ8" s="181" t="s">
        <v>16</v>
      </c>
      <c r="BK8" s="181" t="s">
        <v>55</v>
      </c>
      <c r="BL8" s="181" t="s">
        <v>17</v>
      </c>
      <c r="BM8" s="584" t="s">
        <v>56</v>
      </c>
      <c r="BN8" s="181" t="s">
        <v>57</v>
      </c>
      <c r="BO8" s="181" t="s">
        <v>58</v>
      </c>
      <c r="BP8" s="181" t="s">
        <v>59</v>
      </c>
      <c r="BQ8" s="326" t="s">
        <v>60</v>
      </c>
      <c r="BR8" s="458" t="s">
        <v>61</v>
      </c>
      <c r="BS8" s="385" t="s">
        <v>62</v>
      </c>
      <c r="BT8" s="385" t="s">
        <v>50</v>
      </c>
      <c r="BU8" s="385" t="s">
        <v>52</v>
      </c>
      <c r="BV8" s="385" t="s">
        <v>16</v>
      </c>
      <c r="BW8" s="385" t="s">
        <v>55</v>
      </c>
      <c r="BX8" s="385" t="s">
        <v>17</v>
      </c>
      <c r="BY8" s="385" t="s">
        <v>56</v>
      </c>
      <c r="BZ8" s="385" t="s">
        <v>57</v>
      </c>
      <c r="CA8" s="385" t="s">
        <v>58</v>
      </c>
      <c r="CB8" s="385" t="s">
        <v>59</v>
      </c>
      <c r="CC8" s="359" t="s">
        <v>60</v>
      </c>
    </row>
    <row r="9" spans="1:81" x14ac:dyDescent="0.25">
      <c r="A9" s="28" t="s">
        <v>14</v>
      </c>
      <c r="B9" s="32"/>
      <c r="C9" s="33"/>
      <c r="D9" s="33"/>
      <c r="E9" s="33"/>
      <c r="F9" s="33"/>
      <c r="G9" s="33"/>
      <c r="H9" s="33"/>
      <c r="I9" s="33"/>
      <c r="J9" s="33"/>
      <c r="K9" s="34"/>
      <c r="L9" s="35"/>
      <c r="M9" s="33"/>
      <c r="N9" s="35"/>
      <c r="O9" s="33"/>
      <c r="P9" s="33"/>
      <c r="Q9" s="33"/>
      <c r="R9" s="33"/>
      <c r="S9" s="33"/>
      <c r="T9" s="292"/>
      <c r="U9" s="125"/>
      <c r="V9" s="125"/>
      <c r="W9" s="125"/>
      <c r="X9" s="173"/>
      <c r="Y9" s="173"/>
      <c r="Z9" s="173"/>
      <c r="AC9" s="2"/>
      <c r="AG9" s="256"/>
      <c r="AI9" s="310"/>
      <c r="AU9" s="327"/>
      <c r="AV9" s="35"/>
      <c r="AW9" s="36"/>
      <c r="AX9" s="182"/>
      <c r="AY9" s="182"/>
      <c r="AZ9" s="182"/>
      <c r="BA9" s="182"/>
      <c r="BB9" s="302"/>
      <c r="BC9" s="183"/>
      <c r="BD9" s="183"/>
      <c r="BE9" s="274"/>
      <c r="BF9" s="472"/>
      <c r="BG9" s="473"/>
      <c r="BH9" s="473"/>
      <c r="BI9" s="474"/>
      <c r="BJ9" s="475"/>
      <c r="BK9" s="388"/>
      <c r="BL9" s="475"/>
      <c r="BM9" s="585"/>
      <c r="BN9" s="475"/>
      <c r="BO9" s="476"/>
      <c r="BP9" s="475"/>
      <c r="BQ9" s="477"/>
      <c r="BR9" s="459"/>
      <c r="BS9" s="388"/>
      <c r="BT9" s="388"/>
      <c r="BU9" s="388"/>
      <c r="BV9" s="388"/>
      <c r="BW9" s="388"/>
      <c r="BX9" s="388"/>
      <c r="BY9" s="388"/>
      <c r="BZ9" s="388"/>
      <c r="CA9" s="388"/>
      <c r="CB9" s="388"/>
      <c r="CC9" s="389"/>
    </row>
    <row r="10" spans="1:81" x14ac:dyDescent="0.25">
      <c r="A10" s="24" t="s">
        <v>35</v>
      </c>
      <c r="B10" s="37">
        <v>1628</v>
      </c>
      <c r="C10" s="38">
        <v>1607</v>
      </c>
      <c r="D10" s="38">
        <v>1601</v>
      </c>
      <c r="E10" s="38">
        <v>1598</v>
      </c>
      <c r="F10" s="38">
        <v>1596</v>
      </c>
      <c r="G10" s="38">
        <v>1594</v>
      </c>
      <c r="H10" s="38">
        <v>1603</v>
      </c>
      <c r="I10" s="38">
        <v>1608</v>
      </c>
      <c r="J10" s="38">
        <v>1634</v>
      </c>
      <c r="K10" s="39">
        <v>1642</v>
      </c>
      <c r="L10" s="40">
        <v>1638</v>
      </c>
      <c r="M10" s="38">
        <v>1634</v>
      </c>
      <c r="N10" s="40">
        <v>1631</v>
      </c>
      <c r="O10" s="38">
        <v>1625</v>
      </c>
      <c r="P10" s="38">
        <v>1627</v>
      </c>
      <c r="Q10" s="38">
        <v>1628</v>
      </c>
      <c r="R10" s="38">
        <v>1631</v>
      </c>
      <c r="S10" s="38">
        <v>1634</v>
      </c>
      <c r="T10" s="120">
        <v>1637</v>
      </c>
      <c r="U10" s="82">
        <v>1643</v>
      </c>
      <c r="V10" s="39">
        <v>1646</v>
      </c>
      <c r="W10" s="39">
        <v>1646</v>
      </c>
      <c r="X10" s="173">
        <v>1641</v>
      </c>
      <c r="Y10" s="173">
        <v>1638</v>
      </c>
      <c r="Z10" s="173">
        <v>1638</v>
      </c>
      <c r="AA10" s="173">
        <v>1660</v>
      </c>
      <c r="AB10" s="173">
        <v>1657</v>
      </c>
      <c r="AC10" s="239">
        <v>1656</v>
      </c>
      <c r="AD10" s="173">
        <v>1651</v>
      </c>
      <c r="AE10" s="173">
        <v>1647</v>
      </c>
      <c r="AF10" s="173">
        <v>1646</v>
      </c>
      <c r="AG10" s="258">
        <v>1642</v>
      </c>
      <c r="AH10" s="173">
        <v>1648</v>
      </c>
      <c r="AI10" s="311">
        <v>1651</v>
      </c>
      <c r="AJ10" s="173">
        <v>1654</v>
      </c>
      <c r="AK10" s="173">
        <v>1655</v>
      </c>
      <c r="AL10" s="173">
        <v>1662</v>
      </c>
      <c r="AM10" s="173">
        <v>1661</v>
      </c>
      <c r="AN10" s="173">
        <v>1654</v>
      </c>
      <c r="AO10" s="173">
        <v>1648</v>
      </c>
      <c r="AP10" s="173">
        <v>1647</v>
      </c>
      <c r="AQ10" s="173">
        <v>1645</v>
      </c>
      <c r="AR10" s="173">
        <v>1646</v>
      </c>
      <c r="AS10" s="173">
        <v>1655</v>
      </c>
      <c r="AT10" s="173">
        <v>1664</v>
      </c>
      <c r="AU10" s="251">
        <v>1666</v>
      </c>
      <c r="AV10" s="40"/>
      <c r="AW10" s="40"/>
      <c r="AX10" s="40"/>
      <c r="AY10" s="40"/>
      <c r="AZ10" s="40"/>
      <c r="BA10" s="40"/>
      <c r="BB10" s="107"/>
      <c r="BC10" s="109"/>
      <c r="BD10" s="89"/>
      <c r="BE10" s="107"/>
      <c r="BF10" s="559">
        <v>1664</v>
      </c>
      <c r="BG10" s="560">
        <v>1663</v>
      </c>
      <c r="BH10" s="560">
        <v>1661</v>
      </c>
      <c r="BI10" s="561">
        <v>1659</v>
      </c>
      <c r="BJ10" s="276">
        <v>1661</v>
      </c>
      <c r="BK10" s="239">
        <v>1659</v>
      </c>
      <c r="BL10" s="276">
        <v>1657</v>
      </c>
      <c r="BM10" s="361">
        <v>1658</v>
      </c>
      <c r="BN10" s="276">
        <v>1656</v>
      </c>
      <c r="BO10" s="279">
        <f>131+1548</f>
        <v>1679</v>
      </c>
      <c r="BP10" s="276"/>
      <c r="BQ10" s="479"/>
      <c r="BR10" s="460">
        <f>BF10-AJ10</f>
        <v>10</v>
      </c>
      <c r="BS10" s="394">
        <f t="shared" ref="BS10:BX15" si="0">BG10-AK10</f>
        <v>8</v>
      </c>
      <c r="BT10" s="394">
        <f t="shared" si="0"/>
        <v>-1</v>
      </c>
      <c r="BU10" s="394">
        <f t="shared" si="0"/>
        <v>-2</v>
      </c>
      <c r="BV10" s="394">
        <f t="shared" si="0"/>
        <v>7</v>
      </c>
      <c r="BW10" s="394">
        <f t="shared" si="0"/>
        <v>11</v>
      </c>
      <c r="BX10" s="394">
        <f t="shared" si="0"/>
        <v>10</v>
      </c>
      <c r="BY10" s="394">
        <f t="shared" ref="BY10:BY15" si="1">BM10-AQ10</f>
        <v>13</v>
      </c>
      <c r="BZ10" s="394">
        <f t="shared" ref="BZ10:BZ15" si="2">BN10-AR10</f>
        <v>10</v>
      </c>
      <c r="CA10" s="394">
        <f t="shared" ref="CA10:CA15" si="3">BO10-AS10</f>
        <v>24</v>
      </c>
      <c r="CB10" s="278"/>
      <c r="CC10" s="391"/>
    </row>
    <row r="11" spans="1:81" x14ac:dyDescent="0.25">
      <c r="A11" s="24" t="s">
        <v>36</v>
      </c>
      <c r="B11" s="37">
        <v>104</v>
      </c>
      <c r="C11" s="38">
        <v>115</v>
      </c>
      <c r="D11" s="38">
        <v>118</v>
      </c>
      <c r="E11" s="38">
        <v>117</v>
      </c>
      <c r="F11" s="38">
        <v>116</v>
      </c>
      <c r="G11" s="38">
        <v>114</v>
      </c>
      <c r="H11" s="38">
        <v>116</v>
      </c>
      <c r="I11" s="38">
        <v>117</v>
      </c>
      <c r="J11" s="38">
        <v>113</v>
      </c>
      <c r="K11" s="39">
        <v>105</v>
      </c>
      <c r="L11" s="40">
        <v>112</v>
      </c>
      <c r="M11" s="38">
        <v>114</v>
      </c>
      <c r="N11" s="40">
        <v>116</v>
      </c>
      <c r="O11" s="38">
        <v>122</v>
      </c>
      <c r="P11" s="38">
        <v>122</v>
      </c>
      <c r="Q11" s="38">
        <v>123</v>
      </c>
      <c r="R11" s="38">
        <v>122</v>
      </c>
      <c r="S11" s="38">
        <v>121</v>
      </c>
      <c r="T11" s="120">
        <v>123</v>
      </c>
      <c r="U11" s="82">
        <v>123</v>
      </c>
      <c r="V11" s="39">
        <v>123</v>
      </c>
      <c r="W11" s="39">
        <v>127</v>
      </c>
      <c r="X11" s="173">
        <v>132</v>
      </c>
      <c r="Y11" s="173">
        <v>134</v>
      </c>
      <c r="Z11" s="173">
        <v>134</v>
      </c>
      <c r="AA11" s="173">
        <v>111</v>
      </c>
      <c r="AB11" s="173">
        <v>114</v>
      </c>
      <c r="AC11" s="239">
        <v>115</v>
      </c>
      <c r="AD11" s="173">
        <v>121</v>
      </c>
      <c r="AE11" s="173">
        <v>126</v>
      </c>
      <c r="AF11" s="173">
        <v>123</v>
      </c>
      <c r="AG11" s="258">
        <v>126</v>
      </c>
      <c r="AH11" s="173">
        <v>126</v>
      </c>
      <c r="AI11" s="311">
        <v>128</v>
      </c>
      <c r="AJ11" s="173">
        <v>132</v>
      </c>
      <c r="AK11" s="173">
        <v>132</v>
      </c>
      <c r="AL11" s="173">
        <v>129</v>
      </c>
      <c r="AM11" s="173">
        <v>130</v>
      </c>
      <c r="AN11" s="173">
        <v>134</v>
      </c>
      <c r="AO11" s="173">
        <v>134</v>
      </c>
      <c r="AP11" s="173">
        <v>135</v>
      </c>
      <c r="AQ11" s="173">
        <v>136</v>
      </c>
      <c r="AR11" s="173">
        <v>134</v>
      </c>
      <c r="AS11" s="173">
        <v>136</v>
      </c>
      <c r="AT11" s="173">
        <v>134</v>
      </c>
      <c r="AU11" s="251">
        <v>137</v>
      </c>
      <c r="AV11" s="40"/>
      <c r="AW11" s="40"/>
      <c r="AX11" s="40"/>
      <c r="AY11" s="40"/>
      <c r="AZ11" s="40"/>
      <c r="BA11" s="40"/>
      <c r="BB11" s="107"/>
      <c r="BC11" s="109"/>
      <c r="BD11" s="89"/>
      <c r="BE11" s="107"/>
      <c r="BF11" s="559">
        <v>141</v>
      </c>
      <c r="BG11" s="560">
        <v>145</v>
      </c>
      <c r="BH11" s="560">
        <v>145</v>
      </c>
      <c r="BI11" s="561">
        <v>145</v>
      </c>
      <c r="BJ11" s="276">
        <v>145</v>
      </c>
      <c r="BK11" s="239">
        <v>144</v>
      </c>
      <c r="BL11" s="276">
        <v>146</v>
      </c>
      <c r="BM11" s="361">
        <v>148</v>
      </c>
      <c r="BN11" s="276">
        <v>150</v>
      </c>
      <c r="BO11" s="279">
        <f>1+151</f>
        <v>152</v>
      </c>
      <c r="BP11" s="276"/>
      <c r="BQ11" s="479"/>
      <c r="BR11" s="460">
        <f t="shared" ref="BR11:BR15" si="4">BF11-AJ11</f>
        <v>9</v>
      </c>
      <c r="BS11" s="394">
        <f t="shared" si="0"/>
        <v>13</v>
      </c>
      <c r="BT11" s="394">
        <f t="shared" si="0"/>
        <v>16</v>
      </c>
      <c r="BU11" s="394">
        <f t="shared" si="0"/>
        <v>15</v>
      </c>
      <c r="BV11" s="394">
        <f t="shared" si="0"/>
        <v>11</v>
      </c>
      <c r="BW11" s="394">
        <f t="shared" si="0"/>
        <v>10</v>
      </c>
      <c r="BX11" s="394">
        <f t="shared" si="0"/>
        <v>11</v>
      </c>
      <c r="BY11" s="394">
        <f t="shared" si="1"/>
        <v>12</v>
      </c>
      <c r="BZ11" s="394">
        <f t="shared" si="2"/>
        <v>16</v>
      </c>
      <c r="CA11" s="394">
        <f t="shared" si="3"/>
        <v>16</v>
      </c>
      <c r="CB11" s="278"/>
      <c r="CC11" s="391"/>
    </row>
    <row r="12" spans="1:81" x14ac:dyDescent="0.25">
      <c r="A12" s="24" t="s">
        <v>37</v>
      </c>
      <c r="B12" s="37">
        <v>184</v>
      </c>
      <c r="C12" s="38">
        <v>185</v>
      </c>
      <c r="D12" s="38">
        <v>184</v>
      </c>
      <c r="E12" s="38">
        <v>182</v>
      </c>
      <c r="F12" s="38">
        <v>182</v>
      </c>
      <c r="G12" s="38">
        <v>182</v>
      </c>
      <c r="H12" s="38">
        <v>179</v>
      </c>
      <c r="I12" s="38">
        <v>181</v>
      </c>
      <c r="J12" s="38">
        <v>182</v>
      </c>
      <c r="K12" s="39">
        <v>184</v>
      </c>
      <c r="L12" s="40">
        <v>184</v>
      </c>
      <c r="M12" s="38">
        <v>184</v>
      </c>
      <c r="N12" s="40">
        <v>184</v>
      </c>
      <c r="O12" s="38">
        <v>184</v>
      </c>
      <c r="P12" s="38">
        <v>183</v>
      </c>
      <c r="Q12" s="38">
        <v>183</v>
      </c>
      <c r="R12" s="38">
        <v>182</v>
      </c>
      <c r="S12" s="38">
        <v>183</v>
      </c>
      <c r="T12" s="120">
        <v>183</v>
      </c>
      <c r="U12" s="82">
        <v>183</v>
      </c>
      <c r="V12" s="39">
        <v>184</v>
      </c>
      <c r="W12" s="39">
        <v>185</v>
      </c>
      <c r="X12" s="173">
        <v>186</v>
      </c>
      <c r="Y12" s="173">
        <v>186</v>
      </c>
      <c r="Z12" s="173">
        <v>186</v>
      </c>
      <c r="AA12" s="173">
        <v>187</v>
      </c>
      <c r="AB12" s="173">
        <v>187</v>
      </c>
      <c r="AC12" s="239">
        <v>187</v>
      </c>
      <c r="AD12" s="173">
        <v>187</v>
      </c>
      <c r="AE12" s="173">
        <v>187</v>
      </c>
      <c r="AF12" s="173">
        <v>186</v>
      </c>
      <c r="AG12" s="258">
        <v>190</v>
      </c>
      <c r="AH12" s="173">
        <v>190</v>
      </c>
      <c r="AI12" s="311">
        <v>190</v>
      </c>
      <c r="AJ12" s="173">
        <v>190</v>
      </c>
      <c r="AK12" s="173">
        <v>190</v>
      </c>
      <c r="AL12" s="173">
        <v>190</v>
      </c>
      <c r="AM12" s="173">
        <v>190</v>
      </c>
      <c r="AN12" s="173">
        <v>190</v>
      </c>
      <c r="AO12" s="173">
        <v>188</v>
      </c>
      <c r="AP12" s="173">
        <v>187</v>
      </c>
      <c r="AQ12" s="173">
        <v>185</v>
      </c>
      <c r="AR12" s="173">
        <v>185</v>
      </c>
      <c r="AS12" s="173">
        <v>185</v>
      </c>
      <c r="AT12" s="173">
        <v>186</v>
      </c>
      <c r="AU12" s="251">
        <v>190</v>
      </c>
      <c r="AV12" s="40"/>
      <c r="AW12" s="40"/>
      <c r="AX12" s="40"/>
      <c r="AY12" s="40"/>
      <c r="AZ12" s="40"/>
      <c r="BA12" s="40"/>
      <c r="BB12" s="120"/>
      <c r="BC12" s="109"/>
      <c r="BD12" s="89"/>
      <c r="BE12" s="107"/>
      <c r="BF12" s="559">
        <v>190</v>
      </c>
      <c r="BG12" s="560">
        <v>190</v>
      </c>
      <c r="BH12" s="560">
        <v>189</v>
      </c>
      <c r="BI12" s="561">
        <v>190</v>
      </c>
      <c r="BJ12" s="276">
        <v>190</v>
      </c>
      <c r="BK12" s="239">
        <v>190</v>
      </c>
      <c r="BL12" s="276">
        <v>190</v>
      </c>
      <c r="BM12" s="361">
        <v>188</v>
      </c>
      <c r="BN12" s="276">
        <v>188</v>
      </c>
      <c r="BO12" s="279">
        <f>139+37</f>
        <v>176</v>
      </c>
      <c r="BP12" s="276"/>
      <c r="BQ12" s="479"/>
      <c r="BR12" s="460">
        <f t="shared" si="4"/>
        <v>0</v>
      </c>
      <c r="BS12" s="394">
        <f t="shared" si="0"/>
        <v>0</v>
      </c>
      <c r="BT12" s="394">
        <f t="shared" si="0"/>
        <v>-1</v>
      </c>
      <c r="BU12" s="394">
        <f t="shared" si="0"/>
        <v>0</v>
      </c>
      <c r="BV12" s="394">
        <f t="shared" si="0"/>
        <v>0</v>
      </c>
      <c r="BW12" s="394">
        <f t="shared" si="0"/>
        <v>2</v>
      </c>
      <c r="BX12" s="394">
        <f t="shared" si="0"/>
        <v>3</v>
      </c>
      <c r="BY12" s="394">
        <f t="shared" si="1"/>
        <v>3</v>
      </c>
      <c r="BZ12" s="394">
        <f t="shared" si="2"/>
        <v>3</v>
      </c>
      <c r="CA12" s="394">
        <f t="shared" si="3"/>
        <v>-9</v>
      </c>
      <c r="CB12" s="278"/>
      <c r="CC12" s="391"/>
    </row>
    <row r="13" spans="1:81" x14ac:dyDescent="0.25">
      <c r="A13" s="24" t="s">
        <v>38</v>
      </c>
      <c r="B13" s="37"/>
      <c r="C13" s="38"/>
      <c r="D13" s="38"/>
      <c r="E13" s="38"/>
      <c r="F13" s="38"/>
      <c r="G13" s="38"/>
      <c r="H13" s="38"/>
      <c r="I13" s="38"/>
      <c r="J13" s="38"/>
      <c r="K13" s="39"/>
      <c r="L13" s="40"/>
      <c r="M13" s="38"/>
      <c r="N13" s="40"/>
      <c r="O13" s="38"/>
      <c r="P13" s="38"/>
      <c r="Q13" s="38"/>
      <c r="R13" s="38"/>
      <c r="S13" s="38"/>
      <c r="T13" s="120"/>
      <c r="U13" s="82"/>
      <c r="V13" s="39"/>
      <c r="W13" s="39"/>
      <c r="X13" s="173"/>
      <c r="Y13" s="173"/>
      <c r="Z13" s="173"/>
      <c r="AC13" s="2"/>
      <c r="AG13" s="258"/>
      <c r="AI13" s="310"/>
      <c r="AT13" s="173">
        <v>0</v>
      </c>
      <c r="AU13" s="327"/>
      <c r="AV13" s="40"/>
      <c r="AW13" s="40"/>
      <c r="AX13" s="40"/>
      <c r="AY13" s="40"/>
      <c r="AZ13" s="40"/>
      <c r="BA13" s="40"/>
      <c r="BB13" s="120"/>
      <c r="BC13" s="109"/>
      <c r="BD13" s="89"/>
      <c r="BE13" s="107"/>
      <c r="BF13" s="559"/>
      <c r="BG13" s="560"/>
      <c r="BH13" s="560"/>
      <c r="BI13" s="562"/>
      <c r="BJ13" s="277"/>
      <c r="BK13" s="278"/>
      <c r="BL13" s="277"/>
      <c r="BM13" s="361"/>
      <c r="BN13" s="277"/>
      <c r="BO13" s="279">
        <f>10+5</f>
        <v>15</v>
      </c>
      <c r="BP13" s="277"/>
      <c r="BQ13" s="481"/>
      <c r="BR13" s="460">
        <f t="shared" si="4"/>
        <v>0</v>
      </c>
      <c r="BS13" s="394">
        <f t="shared" si="0"/>
        <v>0</v>
      </c>
      <c r="BT13" s="394">
        <f t="shared" si="0"/>
        <v>0</v>
      </c>
      <c r="BU13" s="394">
        <f t="shared" si="0"/>
        <v>0</v>
      </c>
      <c r="BV13" s="394">
        <f t="shared" si="0"/>
        <v>0</v>
      </c>
      <c r="BW13" s="394">
        <f t="shared" si="0"/>
        <v>0</v>
      </c>
      <c r="BX13" s="394">
        <f t="shared" si="0"/>
        <v>0</v>
      </c>
      <c r="BY13" s="394">
        <f t="shared" si="1"/>
        <v>0</v>
      </c>
      <c r="BZ13" s="394">
        <f t="shared" si="2"/>
        <v>0</v>
      </c>
      <c r="CA13" s="394">
        <f t="shared" si="3"/>
        <v>15</v>
      </c>
      <c r="CB13" s="278"/>
      <c r="CC13" s="391"/>
    </row>
    <row r="14" spans="1:81" x14ac:dyDescent="0.25">
      <c r="A14" s="24" t="s">
        <v>47</v>
      </c>
      <c r="B14" s="37">
        <v>1</v>
      </c>
      <c r="C14" s="38">
        <v>1</v>
      </c>
      <c r="D14" s="38">
        <v>1</v>
      </c>
      <c r="E14" s="38">
        <v>1</v>
      </c>
      <c r="F14" s="38" t="s">
        <v>54</v>
      </c>
      <c r="G14" s="38" t="s">
        <v>54</v>
      </c>
      <c r="H14" s="38">
        <v>4</v>
      </c>
      <c r="I14" s="38">
        <v>4</v>
      </c>
      <c r="J14" s="38">
        <v>4</v>
      </c>
      <c r="K14" s="39">
        <v>4</v>
      </c>
      <c r="L14" s="40">
        <v>4</v>
      </c>
      <c r="M14" s="38">
        <v>4</v>
      </c>
      <c r="N14" s="40">
        <v>4</v>
      </c>
      <c r="O14" s="38">
        <v>4</v>
      </c>
      <c r="P14" s="38">
        <v>4</v>
      </c>
      <c r="Q14" s="38">
        <v>4</v>
      </c>
      <c r="R14" s="38">
        <v>4</v>
      </c>
      <c r="S14" s="38">
        <v>4</v>
      </c>
      <c r="T14" s="120">
        <v>4</v>
      </c>
      <c r="U14" s="82">
        <v>4</v>
      </c>
      <c r="V14" s="39">
        <v>4</v>
      </c>
      <c r="W14" s="39">
        <v>4</v>
      </c>
      <c r="X14" s="173">
        <v>4</v>
      </c>
      <c r="Y14" s="173">
        <v>4</v>
      </c>
      <c r="Z14" s="173">
        <v>4</v>
      </c>
      <c r="AA14" s="173">
        <v>4</v>
      </c>
      <c r="AB14" s="173">
        <v>4</v>
      </c>
      <c r="AC14" s="239">
        <v>4</v>
      </c>
      <c r="AD14" s="173">
        <v>4</v>
      </c>
      <c r="AE14" s="173">
        <v>4</v>
      </c>
      <c r="AF14" s="173">
        <v>4</v>
      </c>
      <c r="AG14" s="258">
        <v>0</v>
      </c>
      <c r="AI14" s="310"/>
      <c r="AT14" s="173">
        <v>0</v>
      </c>
      <c r="AU14" s="327"/>
      <c r="AV14" s="40"/>
      <c r="AW14" s="40"/>
      <c r="AX14" s="40"/>
      <c r="AY14" s="40"/>
      <c r="AZ14" s="40"/>
      <c r="BA14" s="40"/>
      <c r="BB14" s="120"/>
      <c r="BC14" s="109"/>
      <c r="BD14" s="89"/>
      <c r="BE14" s="107"/>
      <c r="BF14" s="559"/>
      <c r="BG14" s="560"/>
      <c r="BH14" s="560"/>
      <c r="BI14" s="561"/>
      <c r="BJ14" s="276"/>
      <c r="BK14" s="239"/>
      <c r="BL14" s="276"/>
      <c r="BM14" s="361"/>
      <c r="BN14" s="276"/>
      <c r="BO14" s="279"/>
      <c r="BP14" s="277"/>
      <c r="BQ14" s="481"/>
      <c r="BR14" s="460">
        <f t="shared" si="4"/>
        <v>0</v>
      </c>
      <c r="BS14" s="394">
        <f t="shared" si="0"/>
        <v>0</v>
      </c>
      <c r="BT14" s="394">
        <f t="shared" si="0"/>
        <v>0</v>
      </c>
      <c r="BU14" s="394">
        <f t="shared" si="0"/>
        <v>0</v>
      </c>
      <c r="BV14" s="394">
        <f t="shared" si="0"/>
        <v>0</v>
      </c>
      <c r="BW14" s="394">
        <f t="shared" si="0"/>
        <v>0</v>
      </c>
      <c r="BX14" s="394">
        <f t="shared" si="0"/>
        <v>0</v>
      </c>
      <c r="BY14" s="394">
        <f t="shared" si="1"/>
        <v>0</v>
      </c>
      <c r="BZ14" s="394">
        <f t="shared" si="2"/>
        <v>0</v>
      </c>
      <c r="CA14" s="394">
        <f t="shared" si="3"/>
        <v>0</v>
      </c>
      <c r="CB14" s="278"/>
      <c r="CC14" s="391"/>
    </row>
    <row r="15" spans="1:81" ht="15.75" thickBot="1" x14ac:dyDescent="0.3">
      <c r="A15" s="25" t="s">
        <v>40</v>
      </c>
      <c r="B15" s="81">
        <f t="shared" ref="B15:W15" si="5">SUM(B10:B14)</f>
        <v>1917</v>
      </c>
      <c r="C15" s="81">
        <f t="shared" si="5"/>
        <v>1908</v>
      </c>
      <c r="D15" s="81">
        <f t="shared" si="5"/>
        <v>1904</v>
      </c>
      <c r="E15" s="81">
        <f t="shared" si="5"/>
        <v>1898</v>
      </c>
      <c r="F15" s="81">
        <f t="shared" si="5"/>
        <v>1894</v>
      </c>
      <c r="G15" s="81">
        <f t="shared" si="5"/>
        <v>1890</v>
      </c>
      <c r="H15" s="81">
        <f t="shared" si="5"/>
        <v>1902</v>
      </c>
      <c r="I15" s="81">
        <f t="shared" si="5"/>
        <v>1910</v>
      </c>
      <c r="J15" s="81">
        <f t="shared" si="5"/>
        <v>1933</v>
      </c>
      <c r="K15" s="81">
        <f t="shared" si="5"/>
        <v>1935</v>
      </c>
      <c r="L15" s="81">
        <f t="shared" si="5"/>
        <v>1938</v>
      </c>
      <c r="M15" s="81">
        <f t="shared" si="5"/>
        <v>1936</v>
      </c>
      <c r="N15" s="81">
        <f t="shared" si="5"/>
        <v>1935</v>
      </c>
      <c r="O15" s="81">
        <f t="shared" si="5"/>
        <v>1935</v>
      </c>
      <c r="P15" s="81">
        <f t="shared" si="5"/>
        <v>1936</v>
      </c>
      <c r="Q15" s="81">
        <f t="shared" si="5"/>
        <v>1938</v>
      </c>
      <c r="R15" s="81">
        <f t="shared" si="5"/>
        <v>1939</v>
      </c>
      <c r="S15" s="81">
        <f t="shared" si="5"/>
        <v>1942</v>
      </c>
      <c r="T15" s="81">
        <f t="shared" si="5"/>
        <v>1947</v>
      </c>
      <c r="U15" s="110">
        <f t="shared" si="5"/>
        <v>1953</v>
      </c>
      <c r="V15" s="81">
        <f t="shared" si="5"/>
        <v>1957</v>
      </c>
      <c r="W15" s="81">
        <f t="shared" si="5"/>
        <v>1962</v>
      </c>
      <c r="X15" s="173">
        <f t="shared" ref="X15:AG15" si="6">SUM(X10:X14)</f>
        <v>1963</v>
      </c>
      <c r="Y15" s="173">
        <f t="shared" si="6"/>
        <v>1962</v>
      </c>
      <c r="Z15" s="173">
        <f t="shared" si="6"/>
        <v>1962</v>
      </c>
      <c r="AA15" s="173">
        <f t="shared" si="6"/>
        <v>1962</v>
      </c>
      <c r="AB15" s="173">
        <f t="shared" si="6"/>
        <v>1962</v>
      </c>
      <c r="AC15" s="3">
        <f t="shared" si="6"/>
        <v>1962</v>
      </c>
      <c r="AD15" s="173">
        <f t="shared" si="6"/>
        <v>1963</v>
      </c>
      <c r="AE15" s="173">
        <f t="shared" si="6"/>
        <v>1964</v>
      </c>
      <c r="AF15" s="173">
        <f t="shared" si="6"/>
        <v>1959</v>
      </c>
      <c r="AG15" s="258">
        <f t="shared" si="6"/>
        <v>1958</v>
      </c>
      <c r="AH15" s="173">
        <v>1964</v>
      </c>
      <c r="AI15" s="311">
        <v>1969</v>
      </c>
      <c r="AJ15" s="173">
        <f>SUM(AJ10:AJ14)</f>
        <v>1976</v>
      </c>
      <c r="AK15" s="173">
        <f>SUM(AK10:AK14)</f>
        <v>1977</v>
      </c>
      <c r="AL15" s="173">
        <f>SUM(AL10:AL14)</f>
        <v>1981</v>
      </c>
      <c r="AM15" s="173">
        <f>SUM(AM10:AM14)</f>
        <v>1981</v>
      </c>
      <c r="AN15" s="173">
        <v>1978</v>
      </c>
      <c r="AO15" s="173">
        <v>1970</v>
      </c>
      <c r="AP15" s="173">
        <v>1969</v>
      </c>
      <c r="AQ15" s="173">
        <v>1966</v>
      </c>
      <c r="AR15" s="173">
        <v>1965</v>
      </c>
      <c r="AS15" s="173">
        <f>SUM(AS10:AS12)</f>
        <v>1976</v>
      </c>
      <c r="AT15" s="173">
        <v>1984</v>
      </c>
      <c r="AU15" s="251">
        <v>1993</v>
      </c>
      <c r="AV15" s="41"/>
      <c r="AW15" s="41"/>
      <c r="AX15" s="41"/>
      <c r="AY15" s="41"/>
      <c r="AZ15" s="41"/>
      <c r="BA15" s="41"/>
      <c r="BB15" s="118"/>
      <c r="BC15" s="110"/>
      <c r="BD15" s="90"/>
      <c r="BE15" s="118"/>
      <c r="BF15" s="563">
        <f t="shared" ref="BF15:BO15" si="7">SUM(BF10:BF12)</f>
        <v>1995</v>
      </c>
      <c r="BG15" s="564">
        <f t="shared" si="7"/>
        <v>1998</v>
      </c>
      <c r="BH15" s="564">
        <f t="shared" si="7"/>
        <v>1995</v>
      </c>
      <c r="BI15" s="564">
        <f t="shared" si="7"/>
        <v>1994</v>
      </c>
      <c r="BJ15" s="564">
        <f t="shared" si="7"/>
        <v>1996</v>
      </c>
      <c r="BK15" s="564">
        <f t="shared" si="7"/>
        <v>1993</v>
      </c>
      <c r="BL15" s="564">
        <f t="shared" si="7"/>
        <v>1993</v>
      </c>
      <c r="BM15" s="564">
        <f t="shared" si="7"/>
        <v>1994</v>
      </c>
      <c r="BN15" s="564">
        <f t="shared" si="7"/>
        <v>1994</v>
      </c>
      <c r="BO15" s="564">
        <f t="shared" si="7"/>
        <v>2007</v>
      </c>
      <c r="BP15" s="482"/>
      <c r="BQ15" s="484"/>
      <c r="BR15" s="460">
        <f t="shared" si="4"/>
        <v>19</v>
      </c>
      <c r="BS15" s="396">
        <f t="shared" si="0"/>
        <v>21</v>
      </c>
      <c r="BT15" s="408">
        <f t="shared" si="0"/>
        <v>14</v>
      </c>
      <c r="BU15" s="408">
        <f t="shared" si="0"/>
        <v>13</v>
      </c>
      <c r="BV15" s="408">
        <f t="shared" si="0"/>
        <v>18</v>
      </c>
      <c r="BW15" s="408">
        <f t="shared" si="0"/>
        <v>23</v>
      </c>
      <c r="BX15" s="408">
        <f t="shared" si="0"/>
        <v>24</v>
      </c>
      <c r="BY15" s="408">
        <f t="shared" si="1"/>
        <v>28</v>
      </c>
      <c r="BZ15" s="408">
        <f t="shared" si="2"/>
        <v>29</v>
      </c>
      <c r="CA15" s="408">
        <f t="shared" si="3"/>
        <v>31</v>
      </c>
      <c r="CB15" s="375"/>
      <c r="CC15" s="448"/>
    </row>
    <row r="16" spans="1:81" x14ac:dyDescent="0.25">
      <c r="A16" s="29" t="s">
        <v>18</v>
      </c>
      <c r="B16" s="42"/>
      <c r="C16" s="43"/>
      <c r="D16" s="43"/>
      <c r="E16" s="43"/>
      <c r="F16" s="43"/>
      <c r="G16" s="43"/>
      <c r="H16" s="43"/>
      <c r="I16" s="43"/>
      <c r="J16" s="43"/>
      <c r="K16" s="44"/>
      <c r="L16" s="45"/>
      <c r="M16" s="43"/>
      <c r="N16" s="45"/>
      <c r="O16" s="43"/>
      <c r="P16" s="43"/>
      <c r="Q16" s="43"/>
      <c r="R16" s="43"/>
      <c r="S16" s="43"/>
      <c r="T16" s="293"/>
      <c r="U16" s="126"/>
      <c r="V16" s="126"/>
      <c r="W16" s="126"/>
      <c r="X16" s="173"/>
      <c r="Y16" s="173"/>
      <c r="Z16" s="173"/>
      <c r="AC16" s="2"/>
      <c r="AG16" s="256"/>
      <c r="AI16" s="310"/>
      <c r="AU16" s="327"/>
      <c r="AV16" s="45"/>
      <c r="AW16" s="46"/>
      <c r="AX16" s="184"/>
      <c r="AY16" s="184"/>
      <c r="AZ16" s="184"/>
      <c r="BA16" s="184"/>
      <c r="BB16" s="242"/>
      <c r="BC16" s="273"/>
      <c r="BD16" s="173"/>
      <c r="BE16" s="173"/>
      <c r="BF16" s="472"/>
      <c r="BG16" s="473"/>
      <c r="BH16" s="473"/>
      <c r="BI16" s="474"/>
      <c r="BJ16" s="475"/>
      <c r="BK16" s="388"/>
      <c r="BL16" s="475"/>
      <c r="BM16" s="585"/>
      <c r="BN16" s="475"/>
      <c r="BO16" s="476"/>
      <c r="BP16" s="475"/>
      <c r="BQ16" s="477"/>
      <c r="BR16" s="459"/>
      <c r="BS16" s="388"/>
      <c r="BT16" s="388"/>
      <c r="BU16" s="388"/>
      <c r="BV16" s="388"/>
      <c r="BW16" s="388"/>
      <c r="BX16" s="388"/>
      <c r="BY16" s="388"/>
      <c r="BZ16" s="388"/>
      <c r="CA16" s="388"/>
      <c r="CB16" s="388"/>
      <c r="CC16" s="389"/>
    </row>
    <row r="17" spans="1:81" x14ac:dyDescent="0.25">
      <c r="A17" s="24" t="s">
        <v>35</v>
      </c>
      <c r="B17" s="83">
        <v>671</v>
      </c>
      <c r="C17" s="48">
        <v>339</v>
      </c>
      <c r="D17" s="48">
        <v>901</v>
      </c>
      <c r="E17" s="48">
        <v>453</v>
      </c>
      <c r="F17" s="48">
        <v>775</v>
      </c>
      <c r="G17" s="48">
        <v>740</v>
      </c>
      <c r="H17" s="48">
        <v>398</v>
      </c>
      <c r="I17" s="48">
        <v>644</v>
      </c>
      <c r="J17" s="48">
        <v>312</v>
      </c>
      <c r="K17" s="49">
        <v>593</v>
      </c>
      <c r="L17" s="50">
        <v>454</v>
      </c>
      <c r="M17" s="50">
        <v>185</v>
      </c>
      <c r="N17" s="50">
        <v>484</v>
      </c>
      <c r="O17" s="50">
        <v>265</v>
      </c>
      <c r="P17" s="50">
        <v>861</v>
      </c>
      <c r="Q17" s="50">
        <v>582</v>
      </c>
      <c r="R17" s="50">
        <v>936</v>
      </c>
      <c r="S17" s="50">
        <v>980</v>
      </c>
      <c r="T17" s="83">
        <v>600</v>
      </c>
      <c r="U17" s="50">
        <v>948</v>
      </c>
      <c r="V17" s="47">
        <v>632</v>
      </c>
      <c r="W17" s="47">
        <v>876</v>
      </c>
      <c r="X17" s="173">
        <v>910</v>
      </c>
      <c r="Y17" s="173">
        <v>648</v>
      </c>
      <c r="Z17" s="173">
        <v>928</v>
      </c>
      <c r="AA17" s="173">
        <v>652</v>
      </c>
      <c r="AB17" s="185"/>
      <c r="AC17" s="2"/>
      <c r="AG17" s="256"/>
      <c r="AI17" s="310"/>
      <c r="AU17" s="327"/>
      <c r="AV17" s="50"/>
      <c r="AW17" s="50"/>
      <c r="AX17" s="50"/>
      <c r="AY17" s="50"/>
      <c r="AZ17" s="50"/>
      <c r="BA17" s="50"/>
      <c r="BB17" s="107"/>
      <c r="BC17" s="109"/>
      <c r="BD17" s="89"/>
      <c r="BE17" s="107"/>
      <c r="BF17" s="478"/>
      <c r="BG17" s="276"/>
      <c r="BH17" s="276"/>
      <c r="BI17" s="480"/>
      <c r="BJ17" s="277"/>
      <c r="BK17" s="278"/>
      <c r="BL17" s="277"/>
      <c r="BM17" s="22"/>
      <c r="BN17" s="277"/>
      <c r="BO17" s="263"/>
      <c r="BP17" s="277"/>
      <c r="BQ17" s="481"/>
      <c r="BR17" s="460">
        <f t="shared" ref="BR17:BR22" si="8">BF17-AJ17</f>
        <v>0</v>
      </c>
      <c r="BS17" s="394">
        <f t="shared" ref="BS17:BS22" si="9">BG17-AK17</f>
        <v>0</v>
      </c>
      <c r="BT17" s="394">
        <f t="shared" ref="BT17:BT22" si="10">BH17-AL17</f>
        <v>0</v>
      </c>
      <c r="BU17" s="394">
        <f t="shared" ref="BU17:BX22" si="11">BI17-AM17</f>
        <v>0</v>
      </c>
      <c r="BV17" s="394">
        <f t="shared" si="11"/>
        <v>0</v>
      </c>
      <c r="BW17" s="394">
        <f t="shared" si="11"/>
        <v>0</v>
      </c>
      <c r="BX17" s="394">
        <f t="shared" si="11"/>
        <v>0</v>
      </c>
      <c r="BY17" s="394">
        <f t="shared" ref="BY17:BY22" si="12">BM17-AQ17</f>
        <v>0</v>
      </c>
      <c r="BZ17" s="394">
        <f t="shared" ref="BZ17:BZ22" si="13">BN17-AR17</f>
        <v>0</v>
      </c>
      <c r="CA17" s="394">
        <f t="shared" ref="CA17:CA22" si="14">BO17-AS17</f>
        <v>0</v>
      </c>
      <c r="CB17" s="278"/>
      <c r="CC17" s="391"/>
    </row>
    <row r="18" spans="1:81" x14ac:dyDescent="0.25">
      <c r="A18" s="24" t="s">
        <v>36</v>
      </c>
      <c r="B18" s="83"/>
      <c r="C18" s="48"/>
      <c r="D18" s="48"/>
      <c r="E18" s="48"/>
      <c r="F18" s="48"/>
      <c r="G18" s="48"/>
      <c r="H18" s="48"/>
      <c r="I18" s="48"/>
      <c r="J18" s="48"/>
      <c r="K18" s="49"/>
      <c r="L18" s="50"/>
      <c r="M18" s="50"/>
      <c r="N18" s="50"/>
      <c r="O18" s="50"/>
      <c r="P18" s="50"/>
      <c r="Q18" s="50"/>
      <c r="R18" s="50"/>
      <c r="S18" s="50"/>
      <c r="T18" s="83"/>
      <c r="U18" s="50"/>
      <c r="V18" s="47"/>
      <c r="W18" s="47"/>
      <c r="X18" s="173"/>
      <c r="Y18" s="173"/>
      <c r="Z18" s="173"/>
      <c r="AB18" s="185"/>
      <c r="AC18" s="2"/>
      <c r="AG18" s="256"/>
      <c r="AI18" s="310"/>
      <c r="AU18" s="327"/>
      <c r="AV18" s="50"/>
      <c r="AW18" s="50"/>
      <c r="AX18" s="50"/>
      <c r="AY18" s="50"/>
      <c r="AZ18" s="50"/>
      <c r="BA18" s="50"/>
      <c r="BB18" s="107"/>
      <c r="BC18" s="109"/>
      <c r="BD18" s="89"/>
      <c r="BE18" s="107"/>
      <c r="BF18" s="478"/>
      <c r="BG18" s="276"/>
      <c r="BH18" s="276"/>
      <c r="BI18" s="480"/>
      <c r="BJ18" s="277"/>
      <c r="BK18" s="278"/>
      <c r="BL18" s="277"/>
      <c r="BM18" s="22"/>
      <c r="BN18" s="277"/>
      <c r="BO18" s="263"/>
      <c r="BP18" s="277"/>
      <c r="BQ18" s="481"/>
      <c r="BR18" s="460">
        <f t="shared" si="8"/>
        <v>0</v>
      </c>
      <c r="BS18" s="394">
        <f t="shared" si="9"/>
        <v>0</v>
      </c>
      <c r="BT18" s="394">
        <f t="shared" si="10"/>
        <v>0</v>
      </c>
      <c r="BU18" s="394">
        <f t="shared" si="11"/>
        <v>0</v>
      </c>
      <c r="BV18" s="394">
        <f t="shared" si="11"/>
        <v>0</v>
      </c>
      <c r="BW18" s="394">
        <f t="shared" si="11"/>
        <v>0</v>
      </c>
      <c r="BX18" s="394">
        <f t="shared" si="11"/>
        <v>0</v>
      </c>
      <c r="BY18" s="394">
        <f t="shared" si="12"/>
        <v>0</v>
      </c>
      <c r="BZ18" s="394">
        <f t="shared" si="13"/>
        <v>0</v>
      </c>
      <c r="CA18" s="394">
        <f t="shared" si="14"/>
        <v>0</v>
      </c>
      <c r="CB18" s="278"/>
      <c r="CC18" s="391"/>
    </row>
    <row r="19" spans="1:81" x14ac:dyDescent="0.25">
      <c r="A19" s="24" t="s">
        <v>37</v>
      </c>
      <c r="B19" s="83">
        <v>41</v>
      </c>
      <c r="C19" s="48">
        <v>27</v>
      </c>
      <c r="D19" s="48">
        <v>45</v>
      </c>
      <c r="E19" s="48">
        <v>32</v>
      </c>
      <c r="F19" s="48">
        <v>45</v>
      </c>
      <c r="G19" s="48">
        <v>48</v>
      </c>
      <c r="H19" s="48">
        <v>28</v>
      </c>
      <c r="I19" s="48">
        <v>48</v>
      </c>
      <c r="J19" s="48">
        <v>33</v>
      </c>
      <c r="K19" s="49">
        <v>57</v>
      </c>
      <c r="L19" s="50">
        <v>48</v>
      </c>
      <c r="M19" s="50">
        <v>31</v>
      </c>
      <c r="N19" s="50">
        <v>57</v>
      </c>
      <c r="O19" s="50">
        <v>44</v>
      </c>
      <c r="P19" s="50">
        <v>87</v>
      </c>
      <c r="Q19" s="50">
        <v>69</v>
      </c>
      <c r="R19" s="50">
        <v>77</v>
      </c>
      <c r="S19" s="50">
        <v>96</v>
      </c>
      <c r="T19" s="83">
        <v>44</v>
      </c>
      <c r="U19" s="50">
        <v>65</v>
      </c>
      <c r="V19" s="47">
        <v>40</v>
      </c>
      <c r="W19" s="47">
        <v>61</v>
      </c>
      <c r="X19" s="173">
        <v>88</v>
      </c>
      <c r="Y19" s="173">
        <v>43</v>
      </c>
      <c r="Z19" s="173">
        <v>96</v>
      </c>
      <c r="AA19" s="173">
        <v>117</v>
      </c>
      <c r="AB19" s="185"/>
      <c r="AC19" s="2"/>
      <c r="AG19" s="256"/>
      <c r="AI19" s="310"/>
      <c r="AU19" s="327"/>
      <c r="AV19" s="50"/>
      <c r="AW19" s="50"/>
      <c r="AX19" s="50"/>
      <c r="AY19" s="50"/>
      <c r="AZ19" s="50"/>
      <c r="BA19" s="50"/>
      <c r="BB19" s="107"/>
      <c r="BC19" s="109"/>
      <c r="BD19" s="89"/>
      <c r="BE19" s="107"/>
      <c r="BF19" s="478"/>
      <c r="BG19" s="276"/>
      <c r="BH19" s="276"/>
      <c r="BI19" s="480"/>
      <c r="BJ19" s="277"/>
      <c r="BK19" s="278"/>
      <c r="BL19" s="277"/>
      <c r="BM19" s="22"/>
      <c r="BN19" s="277"/>
      <c r="BO19" s="263"/>
      <c r="BP19" s="277"/>
      <c r="BQ19" s="481"/>
      <c r="BR19" s="460">
        <f t="shared" si="8"/>
        <v>0</v>
      </c>
      <c r="BS19" s="394">
        <f t="shared" si="9"/>
        <v>0</v>
      </c>
      <c r="BT19" s="394">
        <f t="shared" si="10"/>
        <v>0</v>
      </c>
      <c r="BU19" s="394">
        <f t="shared" si="11"/>
        <v>0</v>
      </c>
      <c r="BV19" s="394">
        <f t="shared" si="11"/>
        <v>0</v>
      </c>
      <c r="BW19" s="394">
        <f t="shared" si="11"/>
        <v>0</v>
      </c>
      <c r="BX19" s="394">
        <f t="shared" si="11"/>
        <v>0</v>
      </c>
      <c r="BY19" s="394">
        <f t="shared" si="12"/>
        <v>0</v>
      </c>
      <c r="BZ19" s="394">
        <f t="shared" si="13"/>
        <v>0</v>
      </c>
      <c r="CA19" s="394">
        <f t="shared" si="14"/>
        <v>0</v>
      </c>
      <c r="CB19" s="278"/>
      <c r="CC19" s="391"/>
    </row>
    <row r="20" spans="1:81" x14ac:dyDescent="0.25">
      <c r="A20" s="24" t="s">
        <v>38</v>
      </c>
      <c r="B20" s="83"/>
      <c r="C20" s="48"/>
      <c r="D20" s="48"/>
      <c r="E20" s="48"/>
      <c r="F20" s="48"/>
      <c r="G20" s="48"/>
      <c r="H20" s="48"/>
      <c r="I20" s="48"/>
      <c r="J20" s="48"/>
      <c r="K20" s="49"/>
      <c r="L20" s="50"/>
      <c r="M20" s="50"/>
      <c r="N20" s="50"/>
      <c r="O20" s="50"/>
      <c r="P20" s="50"/>
      <c r="Q20" s="50"/>
      <c r="R20" s="50"/>
      <c r="S20" s="50"/>
      <c r="T20" s="83"/>
      <c r="U20" s="50"/>
      <c r="V20" s="47"/>
      <c r="W20" s="47"/>
      <c r="X20" s="173"/>
      <c r="Y20" s="173"/>
      <c r="Z20" s="173"/>
      <c r="AB20" s="185"/>
      <c r="AC20" s="2"/>
      <c r="AG20" s="256"/>
      <c r="AI20" s="310"/>
      <c r="AU20" s="327"/>
      <c r="AV20" s="50"/>
      <c r="AW20" s="50"/>
      <c r="AX20" s="50"/>
      <c r="AY20" s="50"/>
      <c r="AZ20" s="50"/>
      <c r="BA20" s="50"/>
      <c r="BB20" s="107"/>
      <c r="BC20" s="109"/>
      <c r="BD20" s="89"/>
      <c r="BE20" s="107"/>
      <c r="BF20" s="478"/>
      <c r="BG20" s="276"/>
      <c r="BH20" s="276"/>
      <c r="BI20" s="480"/>
      <c r="BJ20" s="277"/>
      <c r="BK20" s="278"/>
      <c r="BL20" s="277"/>
      <c r="BM20" s="22"/>
      <c r="BN20" s="277"/>
      <c r="BO20" s="263"/>
      <c r="BP20" s="277"/>
      <c r="BQ20" s="481"/>
      <c r="BR20" s="460">
        <f t="shared" si="8"/>
        <v>0</v>
      </c>
      <c r="BS20" s="394">
        <f t="shared" si="9"/>
        <v>0</v>
      </c>
      <c r="BT20" s="394">
        <f t="shared" si="10"/>
        <v>0</v>
      </c>
      <c r="BU20" s="394">
        <f t="shared" si="11"/>
        <v>0</v>
      </c>
      <c r="BV20" s="394">
        <f t="shared" si="11"/>
        <v>0</v>
      </c>
      <c r="BW20" s="394">
        <f t="shared" si="11"/>
        <v>0</v>
      </c>
      <c r="BX20" s="394">
        <f t="shared" si="11"/>
        <v>0</v>
      </c>
      <c r="BY20" s="394">
        <f t="shared" si="12"/>
        <v>0</v>
      </c>
      <c r="BZ20" s="394">
        <f t="shared" si="13"/>
        <v>0</v>
      </c>
      <c r="CA20" s="394">
        <f t="shared" si="14"/>
        <v>0</v>
      </c>
      <c r="CB20" s="278"/>
      <c r="CC20" s="391"/>
    </row>
    <row r="21" spans="1:81" x14ac:dyDescent="0.25">
      <c r="A21" s="24" t="s">
        <v>47</v>
      </c>
      <c r="B21" s="83"/>
      <c r="C21" s="48"/>
      <c r="D21" s="48"/>
      <c r="E21" s="48"/>
      <c r="F21" s="48"/>
      <c r="G21" s="48"/>
      <c r="H21" s="48"/>
      <c r="I21" s="48"/>
      <c r="J21" s="48"/>
      <c r="K21" s="49"/>
      <c r="L21" s="50"/>
      <c r="M21" s="50"/>
      <c r="N21" s="50"/>
      <c r="O21" s="50"/>
      <c r="P21" s="50"/>
      <c r="Q21" s="50"/>
      <c r="R21" s="50"/>
      <c r="S21" s="50"/>
      <c r="T21" s="83"/>
      <c r="U21" s="50"/>
      <c r="V21" s="47"/>
      <c r="W21" s="47"/>
      <c r="X21" s="173"/>
      <c r="Y21" s="173"/>
      <c r="Z21" s="173"/>
      <c r="AB21" s="185"/>
      <c r="AC21" s="2"/>
      <c r="AG21" s="256"/>
      <c r="AI21" s="310"/>
      <c r="AU21" s="327"/>
      <c r="AV21" s="50"/>
      <c r="AW21" s="50"/>
      <c r="AX21" s="50"/>
      <c r="AY21" s="50"/>
      <c r="AZ21" s="50"/>
      <c r="BA21" s="50"/>
      <c r="BB21" s="107"/>
      <c r="BC21" s="109"/>
      <c r="BD21" s="89"/>
      <c r="BE21" s="107"/>
      <c r="BF21" s="478"/>
      <c r="BG21" s="276"/>
      <c r="BH21" s="276"/>
      <c r="BI21" s="480"/>
      <c r="BJ21" s="277"/>
      <c r="BK21" s="278"/>
      <c r="BL21" s="277"/>
      <c r="BM21" s="22"/>
      <c r="BN21" s="277"/>
      <c r="BO21" s="263"/>
      <c r="BP21" s="277"/>
      <c r="BQ21" s="481"/>
      <c r="BR21" s="460">
        <f t="shared" si="8"/>
        <v>0</v>
      </c>
      <c r="BS21" s="394">
        <f t="shared" si="9"/>
        <v>0</v>
      </c>
      <c r="BT21" s="394">
        <f t="shared" si="10"/>
        <v>0</v>
      </c>
      <c r="BU21" s="394">
        <f t="shared" si="11"/>
        <v>0</v>
      </c>
      <c r="BV21" s="394">
        <f t="shared" si="11"/>
        <v>0</v>
      </c>
      <c r="BW21" s="394">
        <f t="shared" si="11"/>
        <v>0</v>
      </c>
      <c r="BX21" s="394">
        <f t="shared" si="11"/>
        <v>0</v>
      </c>
      <c r="BY21" s="394">
        <f t="shared" si="12"/>
        <v>0</v>
      </c>
      <c r="BZ21" s="394">
        <f t="shared" si="13"/>
        <v>0</v>
      </c>
      <c r="CA21" s="394">
        <f t="shared" si="14"/>
        <v>0</v>
      </c>
      <c r="CB21" s="278"/>
      <c r="CC21" s="391"/>
    </row>
    <row r="22" spans="1:81" x14ac:dyDescent="0.25">
      <c r="A22" s="24" t="s">
        <v>40</v>
      </c>
      <c r="B22" s="83">
        <f t="shared" ref="B22:BE22" si="15">SUM(B17:B20)</f>
        <v>712</v>
      </c>
      <c r="C22" s="83">
        <f t="shared" si="15"/>
        <v>366</v>
      </c>
      <c r="D22" s="83">
        <f t="shared" si="15"/>
        <v>946</v>
      </c>
      <c r="E22" s="83">
        <f t="shared" si="15"/>
        <v>485</v>
      </c>
      <c r="F22" s="83">
        <f t="shared" si="15"/>
        <v>820</v>
      </c>
      <c r="G22" s="83">
        <f t="shared" si="15"/>
        <v>788</v>
      </c>
      <c r="H22" s="83">
        <f t="shared" si="15"/>
        <v>426</v>
      </c>
      <c r="I22" s="83">
        <f t="shared" si="15"/>
        <v>692</v>
      </c>
      <c r="J22" s="83">
        <f t="shared" si="15"/>
        <v>345</v>
      </c>
      <c r="K22" s="83">
        <f t="shared" si="15"/>
        <v>650</v>
      </c>
      <c r="L22" s="83">
        <f t="shared" si="15"/>
        <v>502</v>
      </c>
      <c r="M22" s="83">
        <f t="shared" si="15"/>
        <v>216</v>
      </c>
      <c r="N22" s="83">
        <f t="shared" si="15"/>
        <v>541</v>
      </c>
      <c r="O22" s="83">
        <f t="shared" si="15"/>
        <v>309</v>
      </c>
      <c r="P22" s="83">
        <f t="shared" si="15"/>
        <v>948</v>
      </c>
      <c r="Q22" s="83">
        <f t="shared" si="15"/>
        <v>651</v>
      </c>
      <c r="R22" s="83">
        <f t="shared" si="15"/>
        <v>1013</v>
      </c>
      <c r="S22" s="83">
        <f t="shared" si="15"/>
        <v>1076</v>
      </c>
      <c r="T22" s="83">
        <f t="shared" si="15"/>
        <v>644</v>
      </c>
      <c r="U22" s="109">
        <f t="shared" si="15"/>
        <v>1013</v>
      </c>
      <c r="V22" s="83">
        <f t="shared" si="15"/>
        <v>672</v>
      </c>
      <c r="W22" s="83">
        <f t="shared" si="15"/>
        <v>937</v>
      </c>
      <c r="X22" s="83">
        <f t="shared" ref="X22:AC22" si="16">SUM(X17:X20)</f>
        <v>998</v>
      </c>
      <c r="Y22" s="83">
        <f t="shared" si="16"/>
        <v>691</v>
      </c>
      <c r="Z22" s="83">
        <f t="shared" si="16"/>
        <v>1024</v>
      </c>
      <c r="AA22" s="83">
        <f t="shared" si="16"/>
        <v>769</v>
      </c>
      <c r="AB22" s="186">
        <f t="shared" si="16"/>
        <v>0</v>
      </c>
      <c r="AC22" s="83">
        <f t="shared" si="16"/>
        <v>0</v>
      </c>
      <c r="AG22" s="256"/>
      <c r="AI22" s="310"/>
      <c r="AU22" s="327"/>
      <c r="AV22" s="109">
        <f t="shared" si="15"/>
        <v>0</v>
      </c>
      <c r="AW22" s="83">
        <f t="shared" si="15"/>
        <v>0</v>
      </c>
      <c r="AX22" s="83">
        <f t="shared" si="15"/>
        <v>0</v>
      </c>
      <c r="AY22" s="83">
        <f t="shared" si="15"/>
        <v>0</v>
      </c>
      <c r="AZ22" s="83">
        <f t="shared" si="15"/>
        <v>0</v>
      </c>
      <c r="BA22" s="83">
        <f t="shared" si="15"/>
        <v>0</v>
      </c>
      <c r="BB22" s="83">
        <f t="shared" si="15"/>
        <v>0</v>
      </c>
      <c r="BC22" s="109">
        <f t="shared" si="15"/>
        <v>0</v>
      </c>
      <c r="BD22" s="109">
        <f t="shared" si="15"/>
        <v>0</v>
      </c>
      <c r="BE22" s="83">
        <f t="shared" si="15"/>
        <v>0</v>
      </c>
      <c r="BF22" s="429"/>
      <c r="BG22" s="280"/>
      <c r="BH22" s="280"/>
      <c r="BI22" s="121"/>
      <c r="BJ22" s="280"/>
      <c r="BK22" s="280"/>
      <c r="BL22" s="277"/>
      <c r="BM22" s="22"/>
      <c r="BN22" s="277"/>
      <c r="BO22" s="263"/>
      <c r="BP22" s="277"/>
      <c r="BQ22" s="481"/>
      <c r="BR22" s="460">
        <f t="shared" si="8"/>
        <v>0</v>
      </c>
      <c r="BS22" s="394">
        <f t="shared" si="9"/>
        <v>0</v>
      </c>
      <c r="BT22" s="394">
        <f t="shared" si="10"/>
        <v>0</v>
      </c>
      <c r="BU22" s="394">
        <f t="shared" si="11"/>
        <v>0</v>
      </c>
      <c r="BV22" s="394">
        <f t="shared" si="11"/>
        <v>0</v>
      </c>
      <c r="BW22" s="394">
        <f t="shared" si="11"/>
        <v>0</v>
      </c>
      <c r="BX22" s="394">
        <f t="shared" si="11"/>
        <v>0</v>
      </c>
      <c r="BY22" s="394">
        <f t="shared" si="12"/>
        <v>0</v>
      </c>
      <c r="BZ22" s="394">
        <f t="shared" si="13"/>
        <v>0</v>
      </c>
      <c r="CA22" s="394">
        <f t="shared" si="14"/>
        <v>0</v>
      </c>
      <c r="CB22" s="278"/>
      <c r="CC22" s="391"/>
    </row>
    <row r="23" spans="1:81" x14ac:dyDescent="0.25">
      <c r="A23" s="30" t="s">
        <v>21</v>
      </c>
      <c r="B23" s="47"/>
      <c r="C23" s="48"/>
      <c r="D23" s="48"/>
      <c r="E23" s="48"/>
      <c r="F23" s="48"/>
      <c r="G23" s="48"/>
      <c r="H23" s="48"/>
      <c r="I23" s="48"/>
      <c r="J23" s="48"/>
      <c r="K23" s="49"/>
      <c r="L23" s="50"/>
      <c r="M23" s="48"/>
      <c r="N23" s="50"/>
      <c r="O23" s="48"/>
      <c r="P23" s="48"/>
      <c r="Q23" s="48"/>
      <c r="R23" s="48"/>
      <c r="S23" s="48"/>
      <c r="T23" s="107"/>
      <c r="U23" s="109"/>
      <c r="V23" s="109"/>
      <c r="W23" s="109"/>
      <c r="X23" s="173"/>
      <c r="Y23" s="173"/>
      <c r="Z23" s="173"/>
      <c r="AB23" s="185"/>
      <c r="AC23" s="2"/>
      <c r="AG23" s="256"/>
      <c r="AI23" s="310"/>
      <c r="AU23" s="327"/>
      <c r="AV23" s="50"/>
      <c r="AW23" s="51"/>
      <c r="AX23" s="187"/>
      <c r="AY23" s="187"/>
      <c r="AZ23" s="187"/>
      <c r="BA23" s="187"/>
      <c r="BB23" s="243"/>
      <c r="BC23" s="272"/>
      <c r="BD23" s="183"/>
      <c r="BE23" s="183"/>
      <c r="BF23" s="478"/>
      <c r="BG23" s="276"/>
      <c r="BH23" s="276"/>
      <c r="BI23" s="480"/>
      <c r="BJ23" s="277"/>
      <c r="BK23" s="278"/>
      <c r="BL23" s="277"/>
      <c r="BM23" s="22"/>
      <c r="BN23" s="277"/>
      <c r="BO23" s="263"/>
      <c r="BP23" s="277"/>
      <c r="BQ23" s="481"/>
      <c r="BR23" s="460"/>
      <c r="BS23" s="394"/>
      <c r="BT23" s="394"/>
      <c r="BU23" s="394"/>
      <c r="BV23" s="394"/>
      <c r="BW23" s="394"/>
      <c r="BX23" s="394"/>
      <c r="BY23" s="394"/>
      <c r="BZ23" s="394"/>
      <c r="CA23" s="394"/>
      <c r="CB23" s="278"/>
      <c r="CC23" s="391"/>
    </row>
    <row r="24" spans="1:81" x14ac:dyDescent="0.25">
      <c r="A24" s="24" t="s">
        <v>35</v>
      </c>
      <c r="B24" s="47">
        <v>564</v>
      </c>
      <c r="C24" s="48">
        <v>14</v>
      </c>
      <c r="D24" s="48">
        <v>490</v>
      </c>
      <c r="E24" s="48">
        <v>26</v>
      </c>
      <c r="F24" s="48">
        <v>408</v>
      </c>
      <c r="G24" s="48">
        <v>399</v>
      </c>
      <c r="H24" s="48">
        <v>52</v>
      </c>
      <c r="I24" s="48">
        <v>359</v>
      </c>
      <c r="J24" s="48">
        <v>56</v>
      </c>
      <c r="K24" s="49">
        <v>391</v>
      </c>
      <c r="L24" s="50">
        <v>318</v>
      </c>
      <c r="M24" s="48">
        <v>126</v>
      </c>
      <c r="N24" s="50">
        <v>411</v>
      </c>
      <c r="O24" s="48">
        <v>12</v>
      </c>
      <c r="P24" s="48">
        <v>397</v>
      </c>
      <c r="Q24" s="48">
        <v>44</v>
      </c>
      <c r="R24" s="48">
        <v>386</v>
      </c>
      <c r="S24" s="48">
        <v>399</v>
      </c>
      <c r="T24" s="109">
        <v>52</v>
      </c>
      <c r="U24" s="50">
        <v>389</v>
      </c>
      <c r="V24" s="50">
        <v>63</v>
      </c>
      <c r="W24" s="50">
        <v>361</v>
      </c>
      <c r="X24" s="173">
        <v>411</v>
      </c>
      <c r="Y24" s="173">
        <v>238</v>
      </c>
      <c r="Z24" s="173">
        <v>645</v>
      </c>
      <c r="AA24" s="173">
        <v>450</v>
      </c>
      <c r="AB24" s="188"/>
      <c r="AC24" s="2"/>
      <c r="AG24" s="256"/>
      <c r="AI24" s="310"/>
      <c r="AU24" s="192"/>
      <c r="AV24" s="50"/>
      <c r="AW24" s="50"/>
      <c r="AX24" s="50"/>
      <c r="AY24" s="50"/>
      <c r="AZ24" s="50"/>
      <c r="BA24" s="50"/>
      <c r="BB24" s="107"/>
      <c r="BC24" s="109"/>
      <c r="BD24" s="89"/>
      <c r="BE24" s="107"/>
      <c r="BF24" s="478"/>
      <c r="BG24" s="276"/>
      <c r="BH24" s="276"/>
      <c r="BI24" s="273"/>
      <c r="BJ24" s="276"/>
      <c r="BK24" s="278"/>
      <c r="BL24" s="277"/>
      <c r="BM24" s="22"/>
      <c r="BN24" s="277"/>
      <c r="BO24" s="263"/>
      <c r="BP24" s="277"/>
      <c r="BQ24" s="481"/>
      <c r="BR24" s="460">
        <f t="shared" ref="BR24:BR29" si="17">BF24-AJ24</f>
        <v>0</v>
      </c>
      <c r="BS24" s="394">
        <f t="shared" ref="BS24:BS29" si="18">BG24-AK24</f>
        <v>0</v>
      </c>
      <c r="BT24" s="394">
        <f t="shared" ref="BT24:BT29" si="19">BH24-AL24</f>
        <v>0</v>
      </c>
      <c r="BU24" s="394">
        <f t="shared" ref="BU24:BX29" si="20">BI24-AM24</f>
        <v>0</v>
      </c>
      <c r="BV24" s="394">
        <f t="shared" si="20"/>
        <v>0</v>
      </c>
      <c r="BW24" s="394">
        <f t="shared" si="20"/>
        <v>0</v>
      </c>
      <c r="BX24" s="394">
        <f t="shared" si="20"/>
        <v>0</v>
      </c>
      <c r="BY24" s="394">
        <f t="shared" ref="BY24:BY29" si="21">BM24-AQ24</f>
        <v>0</v>
      </c>
      <c r="BZ24" s="394">
        <f t="shared" ref="BZ24:BZ29" si="22">BN24-AR24</f>
        <v>0</v>
      </c>
      <c r="CA24" s="394">
        <f t="shared" ref="CA24:CA29" si="23">BO24-AS24</f>
        <v>0</v>
      </c>
      <c r="CB24" s="278"/>
      <c r="CC24" s="391"/>
    </row>
    <row r="25" spans="1:81" x14ac:dyDescent="0.25">
      <c r="A25" s="24" t="s">
        <v>36</v>
      </c>
      <c r="B25" s="47">
        <v>72</v>
      </c>
      <c r="C25" s="48">
        <v>6</v>
      </c>
      <c r="D25" s="48">
        <v>65</v>
      </c>
      <c r="E25" s="48">
        <v>7</v>
      </c>
      <c r="F25" s="48">
        <v>73</v>
      </c>
      <c r="G25" s="48">
        <v>69</v>
      </c>
      <c r="H25" s="48">
        <v>1</v>
      </c>
      <c r="I25" s="48">
        <v>55</v>
      </c>
      <c r="J25" s="48">
        <v>1</v>
      </c>
      <c r="K25" s="49">
        <v>83</v>
      </c>
      <c r="L25" s="50">
        <v>81</v>
      </c>
      <c r="M25" s="48">
        <v>17</v>
      </c>
      <c r="N25" s="50">
        <v>40</v>
      </c>
      <c r="O25" s="48">
        <v>13</v>
      </c>
      <c r="P25" s="48">
        <v>87</v>
      </c>
      <c r="Q25" s="48">
        <v>7</v>
      </c>
      <c r="R25" s="48">
        <v>78</v>
      </c>
      <c r="S25" s="48">
        <v>72</v>
      </c>
      <c r="T25" s="109">
        <v>6</v>
      </c>
      <c r="U25" s="50">
        <v>66</v>
      </c>
      <c r="V25" s="50">
        <v>3</v>
      </c>
      <c r="W25" s="50">
        <v>73</v>
      </c>
      <c r="X25" s="173">
        <v>87</v>
      </c>
      <c r="Y25" s="173">
        <v>79</v>
      </c>
      <c r="Z25" s="173">
        <v>133</v>
      </c>
      <c r="AA25" s="173">
        <v>84</v>
      </c>
      <c r="AB25" s="185"/>
      <c r="AC25" s="2"/>
      <c r="AG25" s="256"/>
      <c r="AI25" s="310"/>
      <c r="AU25" s="192"/>
      <c r="AV25" s="50"/>
      <c r="AW25" s="50"/>
      <c r="AX25" s="50"/>
      <c r="AY25" s="50"/>
      <c r="AZ25" s="50"/>
      <c r="BA25" s="50"/>
      <c r="BB25" s="107"/>
      <c r="BC25" s="109"/>
      <c r="BD25" s="89"/>
      <c r="BE25" s="107"/>
      <c r="BF25" s="478"/>
      <c r="BG25" s="276"/>
      <c r="BH25" s="276"/>
      <c r="BI25" s="480"/>
      <c r="BJ25" s="277"/>
      <c r="BK25" s="278"/>
      <c r="BL25" s="277"/>
      <c r="BM25" s="22"/>
      <c r="BN25" s="277"/>
      <c r="BO25" s="263"/>
      <c r="BP25" s="277"/>
      <c r="BQ25" s="481"/>
      <c r="BR25" s="460">
        <f t="shared" si="17"/>
        <v>0</v>
      </c>
      <c r="BS25" s="394">
        <f t="shared" si="18"/>
        <v>0</v>
      </c>
      <c r="BT25" s="394">
        <f t="shared" si="19"/>
        <v>0</v>
      </c>
      <c r="BU25" s="394">
        <f t="shared" si="20"/>
        <v>0</v>
      </c>
      <c r="BV25" s="394">
        <f t="shared" si="20"/>
        <v>0</v>
      </c>
      <c r="BW25" s="394">
        <f t="shared" si="20"/>
        <v>0</v>
      </c>
      <c r="BX25" s="394">
        <f t="shared" si="20"/>
        <v>0</v>
      </c>
      <c r="BY25" s="394">
        <f t="shared" si="21"/>
        <v>0</v>
      </c>
      <c r="BZ25" s="394">
        <f t="shared" si="22"/>
        <v>0</v>
      </c>
      <c r="CA25" s="394">
        <f t="shared" si="23"/>
        <v>0</v>
      </c>
      <c r="CB25" s="278"/>
      <c r="CC25" s="391"/>
    </row>
    <row r="26" spans="1:81" x14ac:dyDescent="0.25">
      <c r="A26" s="24" t="s">
        <v>37</v>
      </c>
      <c r="B26" s="83">
        <v>34</v>
      </c>
      <c r="C26" s="48">
        <v>10</v>
      </c>
      <c r="D26" s="48">
        <v>30</v>
      </c>
      <c r="E26" s="48">
        <v>9</v>
      </c>
      <c r="F26" s="48">
        <v>27</v>
      </c>
      <c r="G26" s="48">
        <v>28</v>
      </c>
      <c r="H26" s="48">
        <v>11</v>
      </c>
      <c r="I26" s="48">
        <v>27</v>
      </c>
      <c r="J26" s="48">
        <v>6</v>
      </c>
      <c r="K26" s="49">
        <v>29</v>
      </c>
      <c r="L26" s="50">
        <v>33</v>
      </c>
      <c r="M26" s="48">
        <v>21</v>
      </c>
      <c r="N26" s="50">
        <v>39</v>
      </c>
      <c r="O26" s="48">
        <v>13</v>
      </c>
      <c r="P26" s="48">
        <v>36</v>
      </c>
      <c r="Q26" s="48">
        <v>15</v>
      </c>
      <c r="R26" s="48">
        <v>32</v>
      </c>
      <c r="S26" s="48">
        <v>48</v>
      </c>
      <c r="T26" s="109">
        <v>6</v>
      </c>
      <c r="U26" s="50">
        <v>28</v>
      </c>
      <c r="V26" s="50">
        <v>4</v>
      </c>
      <c r="W26" s="50">
        <v>31</v>
      </c>
      <c r="X26" s="173">
        <v>54</v>
      </c>
      <c r="Y26" s="173">
        <v>18</v>
      </c>
      <c r="Z26" s="173">
        <v>74</v>
      </c>
      <c r="AA26" s="173">
        <v>59</v>
      </c>
      <c r="AB26" s="185"/>
      <c r="AC26" s="2"/>
      <c r="AG26" s="256"/>
      <c r="AI26" s="310"/>
      <c r="AU26" s="192"/>
      <c r="AV26" s="50"/>
      <c r="AW26" s="50"/>
      <c r="AX26" s="50"/>
      <c r="AY26" s="50"/>
      <c r="AZ26" s="50"/>
      <c r="BA26" s="50"/>
      <c r="BB26" s="107"/>
      <c r="BC26" s="109"/>
      <c r="BD26" s="89"/>
      <c r="BE26" s="107"/>
      <c r="BF26" s="478"/>
      <c r="BG26" s="276"/>
      <c r="BH26" s="276"/>
      <c r="BI26" s="480"/>
      <c r="BJ26" s="277"/>
      <c r="BK26" s="278"/>
      <c r="BL26" s="277"/>
      <c r="BM26" s="22"/>
      <c r="BN26" s="277"/>
      <c r="BO26" s="263"/>
      <c r="BP26" s="277"/>
      <c r="BQ26" s="481"/>
      <c r="BR26" s="460">
        <f t="shared" si="17"/>
        <v>0</v>
      </c>
      <c r="BS26" s="394">
        <f t="shared" si="18"/>
        <v>0</v>
      </c>
      <c r="BT26" s="394">
        <f t="shared" si="19"/>
        <v>0</v>
      </c>
      <c r="BU26" s="394">
        <f t="shared" si="20"/>
        <v>0</v>
      </c>
      <c r="BV26" s="394">
        <f t="shared" si="20"/>
        <v>0</v>
      </c>
      <c r="BW26" s="394">
        <f t="shared" si="20"/>
        <v>0</v>
      </c>
      <c r="BX26" s="394">
        <f t="shared" si="20"/>
        <v>0</v>
      </c>
      <c r="BY26" s="394">
        <f t="shared" si="21"/>
        <v>0</v>
      </c>
      <c r="BZ26" s="394">
        <f t="shared" si="22"/>
        <v>0</v>
      </c>
      <c r="CA26" s="394">
        <f t="shared" si="23"/>
        <v>0</v>
      </c>
      <c r="CB26" s="278"/>
      <c r="CC26" s="391"/>
    </row>
    <row r="27" spans="1:81" x14ac:dyDescent="0.25">
      <c r="A27" s="24" t="s">
        <v>38</v>
      </c>
      <c r="B27" s="83"/>
      <c r="C27" s="48"/>
      <c r="D27" s="48"/>
      <c r="E27" s="48"/>
      <c r="F27" s="48"/>
      <c r="G27" s="48"/>
      <c r="H27" s="48"/>
      <c r="I27" s="48"/>
      <c r="J27" s="48"/>
      <c r="K27" s="49"/>
      <c r="L27" s="50"/>
      <c r="M27" s="48"/>
      <c r="N27" s="50"/>
      <c r="O27" s="48"/>
      <c r="P27" s="48"/>
      <c r="Q27" s="48"/>
      <c r="R27" s="48"/>
      <c r="S27" s="48"/>
      <c r="T27" s="109"/>
      <c r="U27" s="50"/>
      <c r="V27" s="50"/>
      <c r="W27" s="50"/>
      <c r="X27" s="173"/>
      <c r="Y27" s="173"/>
      <c r="Z27" s="173"/>
      <c r="AB27" s="185"/>
      <c r="AC27" s="2"/>
      <c r="AG27" s="256"/>
      <c r="AI27" s="310"/>
      <c r="AU27" s="327"/>
      <c r="AV27" s="50"/>
      <c r="AW27" s="50"/>
      <c r="AX27" s="50"/>
      <c r="AY27" s="50"/>
      <c r="AZ27" s="50"/>
      <c r="BA27" s="50"/>
      <c r="BB27" s="107"/>
      <c r="BC27" s="109"/>
      <c r="BD27" s="89"/>
      <c r="BE27" s="107"/>
      <c r="BF27" s="478"/>
      <c r="BG27" s="276"/>
      <c r="BH27" s="276"/>
      <c r="BI27" s="480"/>
      <c r="BJ27" s="277"/>
      <c r="BK27" s="278"/>
      <c r="BL27" s="277"/>
      <c r="BM27" s="22"/>
      <c r="BN27" s="277"/>
      <c r="BO27" s="263"/>
      <c r="BP27" s="277"/>
      <c r="BQ27" s="481"/>
      <c r="BR27" s="460">
        <f t="shared" si="17"/>
        <v>0</v>
      </c>
      <c r="BS27" s="394">
        <f t="shared" si="18"/>
        <v>0</v>
      </c>
      <c r="BT27" s="394">
        <f t="shared" si="19"/>
        <v>0</v>
      </c>
      <c r="BU27" s="394">
        <f t="shared" si="20"/>
        <v>0</v>
      </c>
      <c r="BV27" s="394">
        <f t="shared" si="20"/>
        <v>0</v>
      </c>
      <c r="BW27" s="394">
        <f t="shared" si="20"/>
        <v>0</v>
      </c>
      <c r="BX27" s="394">
        <f t="shared" si="20"/>
        <v>0</v>
      </c>
      <c r="BY27" s="394">
        <f t="shared" si="21"/>
        <v>0</v>
      </c>
      <c r="BZ27" s="394">
        <f t="shared" si="22"/>
        <v>0</v>
      </c>
      <c r="CA27" s="394">
        <f t="shared" si="23"/>
        <v>0</v>
      </c>
      <c r="CB27" s="278"/>
      <c r="CC27" s="391"/>
    </row>
    <row r="28" spans="1:81" x14ac:dyDescent="0.25">
      <c r="A28" s="24" t="s">
        <v>47</v>
      </c>
      <c r="B28" s="47"/>
      <c r="C28" s="48"/>
      <c r="D28" s="48"/>
      <c r="E28" s="48"/>
      <c r="F28" s="48"/>
      <c r="G28" s="48"/>
      <c r="H28" s="48"/>
      <c r="I28" s="48"/>
      <c r="J28" s="48"/>
      <c r="K28" s="49"/>
      <c r="L28" s="50"/>
      <c r="M28" s="48"/>
      <c r="N28" s="50"/>
      <c r="O28" s="48"/>
      <c r="P28" s="48"/>
      <c r="Q28" s="48"/>
      <c r="R28" s="48"/>
      <c r="S28" s="48"/>
      <c r="T28" s="109"/>
      <c r="U28" s="50"/>
      <c r="V28" s="50"/>
      <c r="W28" s="50"/>
      <c r="X28" s="173"/>
      <c r="Y28" s="173"/>
      <c r="Z28" s="173"/>
      <c r="AB28" s="185"/>
      <c r="AC28" s="2"/>
      <c r="AG28" s="256"/>
      <c r="AI28" s="310"/>
      <c r="AU28" s="327"/>
      <c r="AV28" s="50"/>
      <c r="AW28" s="50"/>
      <c r="AX28" s="50"/>
      <c r="AY28" s="50"/>
      <c r="AZ28" s="50"/>
      <c r="BA28" s="50"/>
      <c r="BB28" s="107"/>
      <c r="BC28" s="109"/>
      <c r="BD28" s="89"/>
      <c r="BE28" s="107"/>
      <c r="BF28" s="478"/>
      <c r="BG28" s="276"/>
      <c r="BH28" s="276"/>
      <c r="BI28" s="480"/>
      <c r="BJ28" s="277"/>
      <c r="BK28" s="278"/>
      <c r="BL28" s="277"/>
      <c r="BM28" s="22"/>
      <c r="BN28" s="277"/>
      <c r="BO28" s="263"/>
      <c r="BP28" s="277"/>
      <c r="BQ28" s="481"/>
      <c r="BR28" s="460">
        <f t="shared" si="17"/>
        <v>0</v>
      </c>
      <c r="BS28" s="394">
        <f t="shared" si="18"/>
        <v>0</v>
      </c>
      <c r="BT28" s="394">
        <f t="shared" si="19"/>
        <v>0</v>
      </c>
      <c r="BU28" s="394">
        <f t="shared" si="20"/>
        <v>0</v>
      </c>
      <c r="BV28" s="394">
        <f t="shared" si="20"/>
        <v>0</v>
      </c>
      <c r="BW28" s="394">
        <f t="shared" si="20"/>
        <v>0</v>
      </c>
      <c r="BX28" s="394">
        <f t="shared" si="20"/>
        <v>0</v>
      </c>
      <c r="BY28" s="394">
        <f t="shared" si="21"/>
        <v>0</v>
      </c>
      <c r="BZ28" s="394">
        <f t="shared" si="22"/>
        <v>0</v>
      </c>
      <c r="CA28" s="394">
        <f t="shared" si="23"/>
        <v>0</v>
      </c>
      <c r="CB28" s="278"/>
      <c r="CC28" s="391"/>
    </row>
    <row r="29" spans="1:81" x14ac:dyDescent="0.25">
      <c r="A29" s="24" t="s">
        <v>40</v>
      </c>
      <c r="B29" s="83">
        <f t="shared" ref="B29:BE29" si="24">SUM(B24:B28)</f>
        <v>670</v>
      </c>
      <c r="C29" s="83">
        <f t="shared" si="24"/>
        <v>30</v>
      </c>
      <c r="D29" s="83">
        <f t="shared" si="24"/>
        <v>585</v>
      </c>
      <c r="E29" s="83">
        <f t="shared" si="24"/>
        <v>42</v>
      </c>
      <c r="F29" s="83">
        <f t="shared" si="24"/>
        <v>508</v>
      </c>
      <c r="G29" s="83">
        <f t="shared" si="24"/>
        <v>496</v>
      </c>
      <c r="H29" s="83">
        <f t="shared" si="24"/>
        <v>64</v>
      </c>
      <c r="I29" s="83">
        <f t="shared" si="24"/>
        <v>441</v>
      </c>
      <c r="J29" s="83">
        <f t="shared" si="24"/>
        <v>63</v>
      </c>
      <c r="K29" s="83">
        <f t="shared" si="24"/>
        <v>503</v>
      </c>
      <c r="L29" s="83">
        <f t="shared" si="24"/>
        <v>432</v>
      </c>
      <c r="M29" s="83">
        <f t="shared" si="24"/>
        <v>164</v>
      </c>
      <c r="N29" s="83">
        <f t="shared" si="24"/>
        <v>490</v>
      </c>
      <c r="O29" s="83">
        <f t="shared" si="24"/>
        <v>38</v>
      </c>
      <c r="P29" s="83">
        <f t="shared" si="24"/>
        <v>520</v>
      </c>
      <c r="Q29" s="83">
        <f t="shared" si="24"/>
        <v>66</v>
      </c>
      <c r="R29" s="83">
        <f t="shared" si="24"/>
        <v>496</v>
      </c>
      <c r="S29" s="83">
        <f t="shared" si="24"/>
        <v>519</v>
      </c>
      <c r="T29" s="83">
        <f t="shared" si="24"/>
        <v>64</v>
      </c>
      <c r="U29" s="109">
        <f t="shared" si="24"/>
        <v>483</v>
      </c>
      <c r="V29" s="83">
        <f t="shared" si="24"/>
        <v>70</v>
      </c>
      <c r="W29" s="83">
        <f t="shared" si="24"/>
        <v>465</v>
      </c>
      <c r="X29" s="83">
        <f t="shared" ref="X29:AC29" si="25">SUM(X24:X28)</f>
        <v>552</v>
      </c>
      <c r="Y29" s="83">
        <f t="shared" si="25"/>
        <v>335</v>
      </c>
      <c r="Z29" s="83">
        <f t="shared" si="25"/>
        <v>852</v>
      </c>
      <c r="AA29" s="83">
        <f t="shared" si="25"/>
        <v>593</v>
      </c>
      <c r="AB29" s="186">
        <f t="shared" si="25"/>
        <v>0</v>
      </c>
      <c r="AC29" s="83">
        <f t="shared" si="25"/>
        <v>0</v>
      </c>
      <c r="AG29" s="256"/>
      <c r="AI29" s="310"/>
      <c r="AU29" s="135"/>
      <c r="AV29" s="109">
        <f t="shared" si="24"/>
        <v>0</v>
      </c>
      <c r="AW29" s="83">
        <f t="shared" si="24"/>
        <v>0</v>
      </c>
      <c r="AX29" s="83">
        <f t="shared" si="24"/>
        <v>0</v>
      </c>
      <c r="AY29" s="83">
        <f t="shared" si="24"/>
        <v>0</v>
      </c>
      <c r="AZ29" s="83">
        <f t="shared" si="24"/>
        <v>0</v>
      </c>
      <c r="BA29" s="83">
        <f t="shared" si="24"/>
        <v>0</v>
      </c>
      <c r="BB29" s="83">
        <f t="shared" si="24"/>
        <v>0</v>
      </c>
      <c r="BC29" s="109">
        <f t="shared" si="24"/>
        <v>0</v>
      </c>
      <c r="BD29" s="109">
        <f t="shared" si="24"/>
        <v>0</v>
      </c>
      <c r="BE29" s="83">
        <f t="shared" si="24"/>
        <v>0</v>
      </c>
      <c r="BF29" s="429"/>
      <c r="BG29" s="280"/>
      <c r="BH29" s="280"/>
      <c r="BI29" s="121"/>
      <c r="BJ29" s="280"/>
      <c r="BK29" s="280"/>
      <c r="BL29" s="277"/>
      <c r="BM29" s="22"/>
      <c r="BN29" s="277"/>
      <c r="BO29" s="263"/>
      <c r="BP29" s="277"/>
      <c r="BQ29" s="481"/>
      <c r="BR29" s="460">
        <f t="shared" si="17"/>
        <v>0</v>
      </c>
      <c r="BS29" s="394">
        <f t="shared" si="18"/>
        <v>0</v>
      </c>
      <c r="BT29" s="394">
        <f t="shared" si="19"/>
        <v>0</v>
      </c>
      <c r="BU29" s="394">
        <f t="shared" si="20"/>
        <v>0</v>
      </c>
      <c r="BV29" s="394">
        <f t="shared" si="20"/>
        <v>0</v>
      </c>
      <c r="BW29" s="394">
        <f t="shared" si="20"/>
        <v>0</v>
      </c>
      <c r="BX29" s="394">
        <f t="shared" si="20"/>
        <v>0</v>
      </c>
      <c r="BY29" s="394">
        <f t="shared" si="21"/>
        <v>0</v>
      </c>
      <c r="BZ29" s="394">
        <f t="shared" si="22"/>
        <v>0</v>
      </c>
      <c r="CA29" s="394">
        <f t="shared" si="23"/>
        <v>0</v>
      </c>
      <c r="CB29" s="278"/>
      <c r="CC29" s="391"/>
    </row>
    <row r="30" spans="1:81" x14ac:dyDescent="0.25">
      <c r="A30" s="30" t="s">
        <v>22</v>
      </c>
      <c r="B30" s="83"/>
      <c r="C30" s="50"/>
      <c r="D30" s="50"/>
      <c r="E30" s="50"/>
      <c r="F30" s="50"/>
      <c r="G30" s="50"/>
      <c r="H30" s="50"/>
      <c r="I30" s="50"/>
      <c r="J30" s="50"/>
      <c r="K30" s="89"/>
      <c r="L30" s="50"/>
      <c r="M30" s="50"/>
      <c r="N30" s="50"/>
      <c r="O30" s="50"/>
      <c r="P30" s="50"/>
      <c r="Q30" s="50"/>
      <c r="R30" s="50"/>
      <c r="S30" s="50"/>
      <c r="T30" s="109"/>
      <c r="U30" s="109"/>
      <c r="V30" s="109"/>
      <c r="W30" s="109"/>
      <c r="X30" s="173"/>
      <c r="Y30" s="173"/>
      <c r="Z30" s="173"/>
      <c r="AB30" s="185"/>
      <c r="AC30" s="2"/>
      <c r="AG30" s="256"/>
      <c r="AI30" s="310"/>
      <c r="AU30" s="327"/>
      <c r="AV30" s="50"/>
      <c r="AW30" s="50"/>
      <c r="AX30" s="50"/>
      <c r="AY30" s="50"/>
      <c r="AZ30" s="50"/>
      <c r="BA30" s="50"/>
      <c r="BB30" s="107"/>
      <c r="BC30" s="121"/>
      <c r="BD30" s="189"/>
      <c r="BE30" s="189"/>
      <c r="BF30" s="478"/>
      <c r="BG30" s="276"/>
      <c r="BH30" s="276"/>
      <c r="BI30" s="480"/>
      <c r="BJ30" s="277"/>
      <c r="BK30" s="278"/>
      <c r="BL30" s="277"/>
      <c r="BM30" s="22"/>
      <c r="BN30" s="277"/>
      <c r="BO30" s="263"/>
      <c r="BP30" s="277"/>
      <c r="BQ30" s="481"/>
      <c r="BR30" s="460"/>
      <c r="BS30" s="394"/>
      <c r="BT30" s="394"/>
      <c r="BU30" s="394"/>
      <c r="BV30" s="394"/>
      <c r="BW30" s="394"/>
      <c r="BX30" s="394"/>
      <c r="BY30" s="394"/>
      <c r="BZ30" s="394"/>
      <c r="CA30" s="394"/>
      <c r="CB30" s="278"/>
      <c r="CC30" s="391"/>
    </row>
    <row r="31" spans="1:81" x14ac:dyDescent="0.25">
      <c r="A31" s="24" t="s">
        <v>35</v>
      </c>
      <c r="B31" s="83">
        <v>70</v>
      </c>
      <c r="C31" s="50">
        <v>257</v>
      </c>
      <c r="D31" s="50">
        <v>266</v>
      </c>
      <c r="E31" s="50">
        <v>250</v>
      </c>
      <c r="F31" s="50">
        <v>198</v>
      </c>
      <c r="G31" s="50">
        <v>180</v>
      </c>
      <c r="H31" s="50">
        <v>184</v>
      </c>
      <c r="I31" s="50">
        <v>136</v>
      </c>
      <c r="J31" s="50">
        <v>133</v>
      </c>
      <c r="K31" s="89">
        <v>142</v>
      </c>
      <c r="L31" s="50">
        <v>93</v>
      </c>
      <c r="M31" s="50">
        <v>8</v>
      </c>
      <c r="N31" s="50">
        <v>6</v>
      </c>
      <c r="O31" s="50">
        <v>215</v>
      </c>
      <c r="P31" s="50">
        <v>230</v>
      </c>
      <c r="Q31" s="50">
        <v>247</v>
      </c>
      <c r="R31" s="50">
        <v>235</v>
      </c>
      <c r="S31" s="50">
        <v>246</v>
      </c>
      <c r="T31" s="109">
        <v>243</v>
      </c>
      <c r="U31" s="50">
        <v>236</v>
      </c>
      <c r="V31" s="50">
        <v>238</v>
      </c>
      <c r="W31" s="50">
        <v>216</v>
      </c>
      <c r="X31" s="173">
        <v>212</v>
      </c>
      <c r="Y31" s="173">
        <v>168</v>
      </c>
      <c r="Z31" s="173">
        <v>148</v>
      </c>
      <c r="AA31" s="173">
        <v>63</v>
      </c>
      <c r="AB31" s="188"/>
      <c r="AC31" s="2"/>
      <c r="AG31" s="256"/>
      <c r="AI31" s="310"/>
      <c r="AU31" s="192"/>
      <c r="AV31" s="50"/>
      <c r="AW31" s="50"/>
      <c r="AX31" s="50"/>
      <c r="AY31" s="50"/>
      <c r="AZ31" s="50"/>
      <c r="BA31" s="50"/>
      <c r="BB31" s="107"/>
      <c r="BC31" s="109"/>
      <c r="BD31" s="89"/>
      <c r="BE31" s="107"/>
      <c r="BF31" s="478"/>
      <c r="BG31" s="276"/>
      <c r="BH31" s="276"/>
      <c r="BI31" s="273"/>
      <c r="BJ31" s="276"/>
      <c r="BK31" s="278"/>
      <c r="BL31" s="277"/>
      <c r="BM31" s="22"/>
      <c r="BN31" s="277"/>
      <c r="BO31" s="263"/>
      <c r="BP31" s="277"/>
      <c r="BQ31" s="481"/>
      <c r="BR31" s="460">
        <f t="shared" ref="BR31:BR36" si="26">BF31-AJ31</f>
        <v>0</v>
      </c>
      <c r="BS31" s="394">
        <f t="shared" ref="BS31:BS36" si="27">BG31-AK31</f>
        <v>0</v>
      </c>
      <c r="BT31" s="394">
        <f t="shared" ref="BT31:BT36" si="28">BH31-AL31</f>
        <v>0</v>
      </c>
      <c r="BU31" s="394">
        <f t="shared" ref="BU31:BX36" si="29">BI31-AM31</f>
        <v>0</v>
      </c>
      <c r="BV31" s="394">
        <f t="shared" si="29"/>
        <v>0</v>
      </c>
      <c r="BW31" s="394">
        <f t="shared" si="29"/>
        <v>0</v>
      </c>
      <c r="BX31" s="394">
        <f t="shared" si="29"/>
        <v>0</v>
      </c>
      <c r="BY31" s="394">
        <f t="shared" ref="BY31:BY36" si="30">BM31-AQ31</f>
        <v>0</v>
      </c>
      <c r="BZ31" s="394">
        <f t="shared" ref="BZ31:BZ36" si="31">BN31-AR31</f>
        <v>0</v>
      </c>
      <c r="CA31" s="394">
        <f t="shared" ref="CA31:CA36" si="32">BO31-AS31</f>
        <v>0</v>
      </c>
      <c r="CB31" s="278"/>
      <c r="CC31" s="391"/>
    </row>
    <row r="32" spans="1:81" x14ac:dyDescent="0.25">
      <c r="A32" s="24" t="s">
        <v>36</v>
      </c>
      <c r="B32" s="83">
        <v>12</v>
      </c>
      <c r="C32" s="50">
        <v>25</v>
      </c>
      <c r="D32" s="50">
        <v>26</v>
      </c>
      <c r="E32" s="50">
        <v>35</v>
      </c>
      <c r="F32" s="50">
        <v>42</v>
      </c>
      <c r="G32" s="50">
        <v>40</v>
      </c>
      <c r="H32" s="50">
        <v>44</v>
      </c>
      <c r="I32" s="50">
        <v>39</v>
      </c>
      <c r="J32" s="50">
        <v>27</v>
      </c>
      <c r="K32" s="89">
        <v>27</v>
      </c>
      <c r="L32" s="50">
        <v>25</v>
      </c>
      <c r="M32" s="50">
        <v>0</v>
      </c>
      <c r="N32" s="50">
        <v>2</v>
      </c>
      <c r="O32" s="50">
        <v>23</v>
      </c>
      <c r="P32" s="50">
        <v>31</v>
      </c>
      <c r="Q32" s="50">
        <v>60</v>
      </c>
      <c r="R32" s="50">
        <v>61</v>
      </c>
      <c r="S32" s="50">
        <v>57</v>
      </c>
      <c r="T32" s="109">
        <v>57</v>
      </c>
      <c r="U32" s="50">
        <v>56</v>
      </c>
      <c r="V32" s="50">
        <v>49</v>
      </c>
      <c r="W32" s="50">
        <v>50</v>
      </c>
      <c r="X32" s="173">
        <v>64</v>
      </c>
      <c r="Y32" s="173">
        <v>62</v>
      </c>
      <c r="Z32" s="173">
        <v>51</v>
      </c>
      <c r="AA32" s="173">
        <v>84</v>
      </c>
      <c r="AB32" s="185"/>
      <c r="AC32" s="2"/>
      <c r="AG32" s="256"/>
      <c r="AI32" s="310"/>
      <c r="AU32" s="158"/>
      <c r="AV32" s="50"/>
      <c r="AW32" s="50"/>
      <c r="AX32" s="50"/>
      <c r="AY32" s="50"/>
      <c r="AZ32" s="50"/>
      <c r="BA32" s="50"/>
      <c r="BB32" s="107"/>
      <c r="BC32" s="109"/>
      <c r="BD32" s="89"/>
      <c r="BE32" s="107"/>
      <c r="BF32" s="478"/>
      <c r="BG32" s="276"/>
      <c r="BH32" s="276"/>
      <c r="BI32" s="480"/>
      <c r="BJ32" s="277"/>
      <c r="BK32" s="278"/>
      <c r="BL32" s="277"/>
      <c r="BM32" s="22"/>
      <c r="BN32" s="277"/>
      <c r="BO32" s="263"/>
      <c r="BP32" s="277"/>
      <c r="BQ32" s="481"/>
      <c r="BR32" s="460">
        <f t="shared" si="26"/>
        <v>0</v>
      </c>
      <c r="BS32" s="394">
        <f t="shared" si="27"/>
        <v>0</v>
      </c>
      <c r="BT32" s="394">
        <f t="shared" si="28"/>
        <v>0</v>
      </c>
      <c r="BU32" s="394">
        <f t="shared" si="29"/>
        <v>0</v>
      </c>
      <c r="BV32" s="394">
        <f t="shared" si="29"/>
        <v>0</v>
      </c>
      <c r="BW32" s="394">
        <f t="shared" si="29"/>
        <v>0</v>
      </c>
      <c r="BX32" s="394">
        <f t="shared" si="29"/>
        <v>0</v>
      </c>
      <c r="BY32" s="394">
        <f t="shared" si="30"/>
        <v>0</v>
      </c>
      <c r="BZ32" s="394">
        <f t="shared" si="31"/>
        <v>0</v>
      </c>
      <c r="CA32" s="394">
        <f t="shared" si="32"/>
        <v>0</v>
      </c>
      <c r="CB32" s="278"/>
      <c r="CC32" s="391"/>
    </row>
    <row r="33" spans="1:81" x14ac:dyDescent="0.25">
      <c r="A33" s="24" t="s">
        <v>37</v>
      </c>
      <c r="B33" s="83">
        <v>4</v>
      </c>
      <c r="C33" s="50">
        <v>13</v>
      </c>
      <c r="D33" s="50">
        <v>9</v>
      </c>
      <c r="E33" s="50">
        <v>13</v>
      </c>
      <c r="F33" s="50">
        <v>8</v>
      </c>
      <c r="G33" s="50">
        <v>13</v>
      </c>
      <c r="H33" s="50">
        <v>11</v>
      </c>
      <c r="I33" s="50">
        <v>14</v>
      </c>
      <c r="J33" s="50">
        <v>14</v>
      </c>
      <c r="K33" s="89">
        <v>12</v>
      </c>
      <c r="L33" s="50">
        <v>6</v>
      </c>
      <c r="M33" s="50">
        <v>2</v>
      </c>
      <c r="N33" s="50">
        <v>7</v>
      </c>
      <c r="O33" s="50">
        <v>20</v>
      </c>
      <c r="P33" s="50">
        <v>26</v>
      </c>
      <c r="Q33" s="50">
        <v>23</v>
      </c>
      <c r="R33" s="50">
        <v>18</v>
      </c>
      <c r="S33" s="50">
        <v>21</v>
      </c>
      <c r="T33" s="109">
        <v>17</v>
      </c>
      <c r="U33" s="50">
        <v>15</v>
      </c>
      <c r="V33" s="50">
        <v>16</v>
      </c>
      <c r="W33" s="50">
        <v>12</v>
      </c>
      <c r="X33" s="173">
        <v>15</v>
      </c>
      <c r="Y33" s="173">
        <v>15</v>
      </c>
      <c r="Z33" s="173">
        <v>10</v>
      </c>
      <c r="AA33" s="173">
        <v>53</v>
      </c>
      <c r="AB33" s="185"/>
      <c r="AC33" s="2"/>
      <c r="AG33" s="256"/>
      <c r="AI33" s="310"/>
      <c r="AU33" s="192"/>
      <c r="AV33" s="50"/>
      <c r="AW33" s="50"/>
      <c r="AX33" s="50"/>
      <c r="AY33" s="50"/>
      <c r="AZ33" s="50"/>
      <c r="BA33" s="50"/>
      <c r="BB33" s="107"/>
      <c r="BC33" s="109"/>
      <c r="BD33" s="89"/>
      <c r="BE33" s="107"/>
      <c r="BF33" s="478"/>
      <c r="BG33" s="276"/>
      <c r="BH33" s="276"/>
      <c r="BI33" s="480"/>
      <c r="BJ33" s="277"/>
      <c r="BK33" s="278"/>
      <c r="BL33" s="277"/>
      <c r="BM33" s="22"/>
      <c r="BN33" s="277"/>
      <c r="BO33" s="263"/>
      <c r="BP33" s="277"/>
      <c r="BQ33" s="481"/>
      <c r="BR33" s="460">
        <f t="shared" si="26"/>
        <v>0</v>
      </c>
      <c r="BS33" s="394">
        <f t="shared" si="27"/>
        <v>0</v>
      </c>
      <c r="BT33" s="394">
        <f t="shared" si="28"/>
        <v>0</v>
      </c>
      <c r="BU33" s="394">
        <f t="shared" si="29"/>
        <v>0</v>
      </c>
      <c r="BV33" s="394">
        <f t="shared" si="29"/>
        <v>0</v>
      </c>
      <c r="BW33" s="394">
        <f t="shared" si="29"/>
        <v>0</v>
      </c>
      <c r="BX33" s="394">
        <f t="shared" si="29"/>
        <v>0</v>
      </c>
      <c r="BY33" s="394">
        <f t="shared" si="30"/>
        <v>0</v>
      </c>
      <c r="BZ33" s="394">
        <f t="shared" si="31"/>
        <v>0</v>
      </c>
      <c r="CA33" s="394">
        <f t="shared" si="32"/>
        <v>0</v>
      </c>
      <c r="CB33" s="278"/>
      <c r="CC33" s="391"/>
    </row>
    <row r="34" spans="1:81" x14ac:dyDescent="0.25">
      <c r="A34" s="24" t="s">
        <v>38</v>
      </c>
      <c r="B34" s="83"/>
      <c r="C34" s="50"/>
      <c r="D34" s="50"/>
      <c r="E34" s="50"/>
      <c r="F34" s="50"/>
      <c r="G34" s="50"/>
      <c r="H34" s="50"/>
      <c r="I34" s="50"/>
      <c r="J34" s="50"/>
      <c r="K34" s="89"/>
      <c r="L34" s="50"/>
      <c r="M34" s="50"/>
      <c r="N34" s="50"/>
      <c r="O34" s="50"/>
      <c r="P34" s="50"/>
      <c r="Q34" s="50"/>
      <c r="R34" s="50"/>
      <c r="S34" s="50"/>
      <c r="T34" s="109"/>
      <c r="U34" s="50"/>
      <c r="V34" s="50"/>
      <c r="W34" s="50"/>
      <c r="X34" s="173"/>
      <c r="Y34" s="173"/>
      <c r="Z34" s="173"/>
      <c r="AB34" s="185"/>
      <c r="AC34" s="2"/>
      <c r="AG34" s="256"/>
      <c r="AI34" s="310"/>
      <c r="AU34" s="327"/>
      <c r="AV34" s="50"/>
      <c r="AW34" s="50"/>
      <c r="AX34" s="50"/>
      <c r="AY34" s="50"/>
      <c r="AZ34" s="50"/>
      <c r="BA34" s="50"/>
      <c r="BB34" s="107"/>
      <c r="BC34" s="109"/>
      <c r="BD34" s="89"/>
      <c r="BE34" s="107"/>
      <c r="BF34" s="478"/>
      <c r="BG34" s="276"/>
      <c r="BH34" s="276"/>
      <c r="BI34" s="480"/>
      <c r="BJ34" s="277"/>
      <c r="BK34" s="278"/>
      <c r="BL34" s="277"/>
      <c r="BM34" s="22"/>
      <c r="BN34" s="277"/>
      <c r="BO34" s="263"/>
      <c r="BP34" s="277"/>
      <c r="BQ34" s="481"/>
      <c r="BR34" s="460">
        <f t="shared" si="26"/>
        <v>0</v>
      </c>
      <c r="BS34" s="394">
        <f t="shared" si="27"/>
        <v>0</v>
      </c>
      <c r="BT34" s="394">
        <f t="shared" si="28"/>
        <v>0</v>
      </c>
      <c r="BU34" s="394">
        <f t="shared" si="29"/>
        <v>0</v>
      </c>
      <c r="BV34" s="394">
        <f t="shared" si="29"/>
        <v>0</v>
      </c>
      <c r="BW34" s="394">
        <f t="shared" si="29"/>
        <v>0</v>
      </c>
      <c r="BX34" s="394">
        <f t="shared" si="29"/>
        <v>0</v>
      </c>
      <c r="BY34" s="394">
        <f t="shared" si="30"/>
        <v>0</v>
      </c>
      <c r="BZ34" s="394">
        <f t="shared" si="31"/>
        <v>0</v>
      </c>
      <c r="CA34" s="394">
        <f t="shared" si="32"/>
        <v>0</v>
      </c>
      <c r="CB34" s="278"/>
      <c r="CC34" s="391"/>
    </row>
    <row r="35" spans="1:81" x14ac:dyDescent="0.25">
      <c r="A35" s="24" t="s">
        <v>47</v>
      </c>
      <c r="B35" s="83"/>
      <c r="C35" s="50"/>
      <c r="D35" s="50"/>
      <c r="E35" s="50"/>
      <c r="F35" s="50"/>
      <c r="G35" s="50"/>
      <c r="H35" s="50"/>
      <c r="I35" s="50"/>
      <c r="J35" s="50"/>
      <c r="K35" s="89"/>
      <c r="L35" s="50"/>
      <c r="M35" s="50"/>
      <c r="N35" s="50"/>
      <c r="O35" s="50"/>
      <c r="P35" s="50"/>
      <c r="Q35" s="50"/>
      <c r="R35" s="50"/>
      <c r="S35" s="50"/>
      <c r="T35" s="109"/>
      <c r="U35" s="50"/>
      <c r="V35" s="50"/>
      <c r="W35" s="50"/>
      <c r="X35" s="173"/>
      <c r="Y35" s="173"/>
      <c r="Z35" s="173"/>
      <c r="AB35" s="185"/>
      <c r="AC35" s="2"/>
      <c r="AG35" s="256"/>
      <c r="AI35" s="310"/>
      <c r="AU35" s="327"/>
      <c r="AV35" s="50"/>
      <c r="AW35" s="50"/>
      <c r="AX35" s="50"/>
      <c r="AY35" s="50"/>
      <c r="AZ35" s="50"/>
      <c r="BA35" s="50"/>
      <c r="BB35" s="107"/>
      <c r="BC35" s="109"/>
      <c r="BD35" s="89"/>
      <c r="BE35" s="107"/>
      <c r="BF35" s="478"/>
      <c r="BG35" s="276"/>
      <c r="BH35" s="276"/>
      <c r="BI35" s="480"/>
      <c r="BJ35" s="277"/>
      <c r="BK35" s="278"/>
      <c r="BL35" s="277"/>
      <c r="BM35" s="22"/>
      <c r="BN35" s="277"/>
      <c r="BO35" s="263"/>
      <c r="BP35" s="277"/>
      <c r="BQ35" s="481"/>
      <c r="BR35" s="460">
        <f t="shared" si="26"/>
        <v>0</v>
      </c>
      <c r="BS35" s="394">
        <f t="shared" si="27"/>
        <v>0</v>
      </c>
      <c r="BT35" s="394">
        <f t="shared" si="28"/>
        <v>0</v>
      </c>
      <c r="BU35" s="394">
        <f t="shared" si="29"/>
        <v>0</v>
      </c>
      <c r="BV35" s="394">
        <f t="shared" si="29"/>
        <v>0</v>
      </c>
      <c r="BW35" s="394">
        <f t="shared" si="29"/>
        <v>0</v>
      </c>
      <c r="BX35" s="394">
        <f t="shared" si="29"/>
        <v>0</v>
      </c>
      <c r="BY35" s="394">
        <f t="shared" si="30"/>
        <v>0</v>
      </c>
      <c r="BZ35" s="394">
        <f t="shared" si="31"/>
        <v>0</v>
      </c>
      <c r="CA35" s="394">
        <f t="shared" si="32"/>
        <v>0</v>
      </c>
      <c r="CB35" s="278"/>
      <c r="CC35" s="391"/>
    </row>
    <row r="36" spans="1:81" x14ac:dyDescent="0.25">
      <c r="A36" s="24" t="s">
        <v>40</v>
      </c>
      <c r="B36" s="83">
        <f t="shared" ref="B36:BE36" si="33">SUM(B31:B35)</f>
        <v>86</v>
      </c>
      <c r="C36" s="83">
        <f t="shared" si="33"/>
        <v>295</v>
      </c>
      <c r="D36" s="83">
        <f t="shared" si="33"/>
        <v>301</v>
      </c>
      <c r="E36" s="83">
        <f t="shared" si="33"/>
        <v>298</v>
      </c>
      <c r="F36" s="83">
        <f t="shared" si="33"/>
        <v>248</v>
      </c>
      <c r="G36" s="83">
        <f t="shared" si="33"/>
        <v>233</v>
      </c>
      <c r="H36" s="83">
        <f t="shared" si="33"/>
        <v>239</v>
      </c>
      <c r="I36" s="83">
        <f t="shared" si="33"/>
        <v>189</v>
      </c>
      <c r="J36" s="83">
        <f t="shared" si="33"/>
        <v>174</v>
      </c>
      <c r="K36" s="83">
        <f t="shared" si="33"/>
        <v>181</v>
      </c>
      <c r="L36" s="83">
        <f t="shared" si="33"/>
        <v>124</v>
      </c>
      <c r="M36" s="83">
        <f t="shared" si="33"/>
        <v>10</v>
      </c>
      <c r="N36" s="83">
        <f t="shared" si="33"/>
        <v>15</v>
      </c>
      <c r="O36" s="83">
        <f t="shared" si="33"/>
        <v>258</v>
      </c>
      <c r="P36" s="83">
        <f t="shared" si="33"/>
        <v>287</v>
      </c>
      <c r="Q36" s="83">
        <f t="shared" si="33"/>
        <v>330</v>
      </c>
      <c r="R36" s="83">
        <f t="shared" si="33"/>
        <v>314</v>
      </c>
      <c r="S36" s="83">
        <f t="shared" si="33"/>
        <v>324</v>
      </c>
      <c r="T36" s="83">
        <f t="shared" si="33"/>
        <v>317</v>
      </c>
      <c r="U36" s="109">
        <f t="shared" si="33"/>
        <v>307</v>
      </c>
      <c r="V36" s="83">
        <f t="shared" si="33"/>
        <v>303</v>
      </c>
      <c r="W36" s="83">
        <f t="shared" si="33"/>
        <v>278</v>
      </c>
      <c r="X36" s="83">
        <f t="shared" ref="X36:AC36" si="34">SUM(X31:X35)</f>
        <v>291</v>
      </c>
      <c r="Y36" s="83">
        <f t="shared" si="34"/>
        <v>245</v>
      </c>
      <c r="Z36" s="83">
        <f t="shared" si="34"/>
        <v>209</v>
      </c>
      <c r="AA36" s="83">
        <f t="shared" si="34"/>
        <v>200</v>
      </c>
      <c r="AB36" s="186">
        <f t="shared" si="34"/>
        <v>0</v>
      </c>
      <c r="AC36" s="83">
        <f t="shared" si="34"/>
        <v>0</v>
      </c>
      <c r="AG36" s="256"/>
      <c r="AI36" s="310"/>
      <c r="AU36" s="331"/>
      <c r="AV36" s="109">
        <f t="shared" si="33"/>
        <v>0</v>
      </c>
      <c r="AW36" s="83">
        <f t="shared" si="33"/>
        <v>0</v>
      </c>
      <c r="AX36" s="83">
        <f t="shared" si="33"/>
        <v>0</v>
      </c>
      <c r="AY36" s="83">
        <f t="shared" si="33"/>
        <v>0</v>
      </c>
      <c r="AZ36" s="83">
        <f t="shared" si="33"/>
        <v>0</v>
      </c>
      <c r="BA36" s="83">
        <f t="shared" si="33"/>
        <v>0</v>
      </c>
      <c r="BB36" s="83">
        <f t="shared" si="33"/>
        <v>0</v>
      </c>
      <c r="BC36" s="109">
        <f t="shared" si="33"/>
        <v>0</v>
      </c>
      <c r="BD36" s="109">
        <f t="shared" si="33"/>
        <v>0</v>
      </c>
      <c r="BE36" s="83">
        <f t="shared" si="33"/>
        <v>0</v>
      </c>
      <c r="BF36" s="429"/>
      <c r="BG36" s="280"/>
      <c r="BH36" s="280"/>
      <c r="BI36" s="121"/>
      <c r="BJ36" s="280"/>
      <c r="BK36" s="280"/>
      <c r="BL36" s="277"/>
      <c r="BM36" s="22"/>
      <c r="BN36" s="277"/>
      <c r="BO36" s="263"/>
      <c r="BP36" s="277"/>
      <c r="BQ36" s="481"/>
      <c r="BR36" s="460">
        <f t="shared" si="26"/>
        <v>0</v>
      </c>
      <c r="BS36" s="394">
        <f t="shared" si="27"/>
        <v>0</v>
      </c>
      <c r="BT36" s="394">
        <f t="shared" si="28"/>
        <v>0</v>
      </c>
      <c r="BU36" s="394">
        <f t="shared" si="29"/>
        <v>0</v>
      </c>
      <c r="BV36" s="394">
        <f t="shared" si="29"/>
        <v>0</v>
      </c>
      <c r="BW36" s="394">
        <f t="shared" si="29"/>
        <v>0</v>
      </c>
      <c r="BX36" s="394">
        <f t="shared" si="29"/>
        <v>0</v>
      </c>
      <c r="BY36" s="394">
        <f t="shared" si="30"/>
        <v>0</v>
      </c>
      <c r="BZ36" s="394">
        <f t="shared" si="31"/>
        <v>0</v>
      </c>
      <c r="CA36" s="394">
        <f t="shared" si="32"/>
        <v>0</v>
      </c>
      <c r="CB36" s="278"/>
      <c r="CC36" s="391"/>
    </row>
    <row r="37" spans="1:81" x14ac:dyDescent="0.25">
      <c r="A37" s="30" t="s">
        <v>23</v>
      </c>
      <c r="B37" s="83"/>
      <c r="C37" s="50"/>
      <c r="D37" s="50"/>
      <c r="E37" s="50"/>
      <c r="F37" s="50"/>
      <c r="G37" s="50"/>
      <c r="H37" s="50"/>
      <c r="I37" s="50"/>
      <c r="J37" s="50"/>
      <c r="K37" s="89"/>
      <c r="L37" s="50"/>
      <c r="M37" s="50"/>
      <c r="N37" s="50"/>
      <c r="O37" s="50"/>
      <c r="P37" s="50"/>
      <c r="Q37" s="50"/>
      <c r="R37" s="50"/>
      <c r="S37" s="50"/>
      <c r="T37" s="109"/>
      <c r="U37" s="109"/>
      <c r="V37" s="109"/>
      <c r="W37" s="109"/>
      <c r="X37" s="173"/>
      <c r="Y37" s="173"/>
      <c r="Z37" s="173"/>
      <c r="AB37" s="185"/>
      <c r="AC37" s="2"/>
      <c r="AG37" s="256"/>
      <c r="AI37" s="310"/>
      <c r="AU37" s="327"/>
      <c r="AV37" s="50"/>
      <c r="AW37" s="50"/>
      <c r="AX37" s="50"/>
      <c r="AY37" s="50"/>
      <c r="AZ37" s="50"/>
      <c r="BA37" s="50"/>
      <c r="BB37" s="107"/>
      <c r="BC37" s="121"/>
      <c r="BD37" s="189"/>
      <c r="BE37" s="189"/>
      <c r="BF37" s="478"/>
      <c r="BG37" s="276"/>
      <c r="BH37" s="276"/>
      <c r="BI37" s="480"/>
      <c r="BJ37" s="277"/>
      <c r="BK37" s="278"/>
      <c r="BL37" s="277"/>
      <c r="BM37" s="22"/>
      <c r="BN37" s="277"/>
      <c r="BO37" s="263"/>
      <c r="BP37" s="277"/>
      <c r="BQ37" s="481"/>
      <c r="BR37" s="460"/>
      <c r="BS37" s="394"/>
      <c r="BT37" s="394"/>
      <c r="BU37" s="394"/>
      <c r="BV37" s="394"/>
      <c r="BW37" s="394"/>
      <c r="BX37" s="394"/>
      <c r="BY37" s="394"/>
      <c r="BZ37" s="394"/>
      <c r="CA37" s="394"/>
      <c r="CB37" s="278"/>
      <c r="CC37" s="391"/>
    </row>
    <row r="38" spans="1:81" x14ac:dyDescent="0.25">
      <c r="A38" s="24" t="s">
        <v>35</v>
      </c>
      <c r="B38" s="83">
        <v>37</v>
      </c>
      <c r="C38" s="50">
        <v>68</v>
      </c>
      <c r="D38" s="50">
        <v>145</v>
      </c>
      <c r="E38" s="50">
        <v>177</v>
      </c>
      <c r="F38" s="50">
        <v>169</v>
      </c>
      <c r="G38" s="50">
        <v>161</v>
      </c>
      <c r="H38" s="50">
        <v>162</v>
      </c>
      <c r="I38" s="50">
        <v>149</v>
      </c>
      <c r="J38" s="50">
        <v>123</v>
      </c>
      <c r="K38" s="89">
        <v>60</v>
      </c>
      <c r="L38" s="50">
        <v>43</v>
      </c>
      <c r="M38" s="50">
        <v>51</v>
      </c>
      <c r="N38" s="50">
        <v>67</v>
      </c>
      <c r="O38" s="50">
        <v>38</v>
      </c>
      <c r="P38" s="50">
        <v>234</v>
      </c>
      <c r="Q38" s="50">
        <v>291</v>
      </c>
      <c r="R38" s="50">
        <v>315</v>
      </c>
      <c r="S38" s="50">
        <v>335</v>
      </c>
      <c r="T38" s="109">
        <v>305</v>
      </c>
      <c r="U38" s="50">
        <v>323</v>
      </c>
      <c r="V38" s="50">
        <v>331</v>
      </c>
      <c r="W38" s="50">
        <v>299</v>
      </c>
      <c r="X38" s="173">
        <v>287</v>
      </c>
      <c r="Y38" s="173">
        <v>242</v>
      </c>
      <c r="Z38" s="173">
        <v>135</v>
      </c>
      <c r="AA38" s="173">
        <v>139</v>
      </c>
      <c r="AB38" s="185"/>
      <c r="AC38" s="2"/>
      <c r="AG38" s="256"/>
      <c r="AI38" s="310"/>
      <c r="AU38" s="158"/>
      <c r="AV38" s="50"/>
      <c r="AW38" s="50"/>
      <c r="AX38" s="50"/>
      <c r="AY38" s="50"/>
      <c r="AZ38" s="50"/>
      <c r="BA38" s="50"/>
      <c r="BB38" s="107"/>
      <c r="BC38" s="109"/>
      <c r="BD38" s="89"/>
      <c r="BE38" s="107"/>
      <c r="BF38" s="478"/>
      <c r="BG38" s="276"/>
      <c r="BH38" s="276"/>
      <c r="BI38" s="480"/>
      <c r="BJ38" s="277"/>
      <c r="BK38" s="278"/>
      <c r="BL38" s="277"/>
      <c r="BM38" s="22"/>
      <c r="BN38" s="277"/>
      <c r="BO38" s="263"/>
      <c r="BP38" s="277"/>
      <c r="BQ38" s="481"/>
      <c r="BR38" s="460">
        <f t="shared" ref="BR38:BR43" si="35">BF38-AJ38</f>
        <v>0</v>
      </c>
      <c r="BS38" s="394">
        <f t="shared" ref="BS38:BS43" si="36">BG38-AK38</f>
        <v>0</v>
      </c>
      <c r="BT38" s="394">
        <f t="shared" ref="BT38:BT43" si="37">BH38-AL38</f>
        <v>0</v>
      </c>
      <c r="BU38" s="394">
        <f t="shared" ref="BU38:BX43" si="38">BI38-AM38</f>
        <v>0</v>
      </c>
      <c r="BV38" s="394">
        <f t="shared" si="38"/>
        <v>0</v>
      </c>
      <c r="BW38" s="394">
        <f t="shared" si="38"/>
        <v>0</v>
      </c>
      <c r="BX38" s="394">
        <f t="shared" si="38"/>
        <v>0</v>
      </c>
      <c r="BY38" s="394">
        <f t="shared" ref="BY38:BY43" si="39">BM38-AQ38</f>
        <v>0</v>
      </c>
      <c r="BZ38" s="394">
        <f t="shared" ref="BZ38:BZ43" si="40">BN38-AR38</f>
        <v>0</v>
      </c>
      <c r="CA38" s="394">
        <f t="shared" ref="CA38:CA43" si="41">BO38-AS38</f>
        <v>0</v>
      </c>
      <c r="CB38" s="278"/>
      <c r="CC38" s="391"/>
    </row>
    <row r="39" spans="1:81" x14ac:dyDescent="0.25">
      <c r="A39" s="24" t="s">
        <v>36</v>
      </c>
      <c r="B39" s="83">
        <v>7</v>
      </c>
      <c r="C39" s="50">
        <v>11</v>
      </c>
      <c r="D39" s="50">
        <v>19</v>
      </c>
      <c r="E39" s="50">
        <v>20</v>
      </c>
      <c r="F39" s="50">
        <v>34</v>
      </c>
      <c r="G39" s="50">
        <v>41</v>
      </c>
      <c r="H39" s="50">
        <v>45</v>
      </c>
      <c r="I39" s="50">
        <v>51</v>
      </c>
      <c r="J39" s="50">
        <v>34</v>
      </c>
      <c r="K39" s="89">
        <v>20</v>
      </c>
      <c r="L39" s="50">
        <v>13</v>
      </c>
      <c r="M39" s="50">
        <v>15</v>
      </c>
      <c r="N39" s="50">
        <v>16</v>
      </c>
      <c r="O39" s="50">
        <v>8</v>
      </c>
      <c r="P39" s="50">
        <v>32</v>
      </c>
      <c r="Q39" s="50">
        <v>44</v>
      </c>
      <c r="R39" s="50">
        <v>77</v>
      </c>
      <c r="S39" s="50">
        <v>96</v>
      </c>
      <c r="T39" s="109">
        <v>99</v>
      </c>
      <c r="U39" s="50">
        <v>95</v>
      </c>
      <c r="V39" s="50">
        <v>78</v>
      </c>
      <c r="W39" s="50">
        <v>65</v>
      </c>
      <c r="X39" s="173">
        <v>75</v>
      </c>
      <c r="Y39" s="173">
        <v>71</v>
      </c>
      <c r="Z39" s="173">
        <v>38</v>
      </c>
      <c r="AA39" s="173">
        <v>20</v>
      </c>
      <c r="AB39" s="185"/>
      <c r="AC39" s="2"/>
      <c r="AG39" s="256"/>
      <c r="AI39" s="310"/>
      <c r="AU39" s="158"/>
      <c r="AV39" s="50"/>
      <c r="AW39" s="50"/>
      <c r="AX39" s="50"/>
      <c r="AY39" s="50"/>
      <c r="AZ39" s="50"/>
      <c r="BA39" s="50"/>
      <c r="BB39" s="107"/>
      <c r="BC39" s="109"/>
      <c r="BD39" s="89"/>
      <c r="BE39" s="107"/>
      <c r="BF39" s="478"/>
      <c r="BG39" s="276"/>
      <c r="BH39" s="276"/>
      <c r="BI39" s="480"/>
      <c r="BJ39" s="277"/>
      <c r="BK39" s="278"/>
      <c r="BL39" s="277"/>
      <c r="BM39" s="22"/>
      <c r="BN39" s="277"/>
      <c r="BO39" s="263"/>
      <c r="BP39" s="277"/>
      <c r="BQ39" s="481"/>
      <c r="BR39" s="460">
        <f t="shared" si="35"/>
        <v>0</v>
      </c>
      <c r="BS39" s="394">
        <f t="shared" si="36"/>
        <v>0</v>
      </c>
      <c r="BT39" s="394">
        <f t="shared" si="37"/>
        <v>0</v>
      </c>
      <c r="BU39" s="394">
        <f t="shared" si="38"/>
        <v>0</v>
      </c>
      <c r="BV39" s="394">
        <f t="shared" si="38"/>
        <v>0</v>
      </c>
      <c r="BW39" s="394">
        <f t="shared" si="38"/>
        <v>0</v>
      </c>
      <c r="BX39" s="394">
        <f t="shared" si="38"/>
        <v>0</v>
      </c>
      <c r="BY39" s="394">
        <f t="shared" si="39"/>
        <v>0</v>
      </c>
      <c r="BZ39" s="394">
        <f t="shared" si="40"/>
        <v>0</v>
      </c>
      <c r="CA39" s="394">
        <f t="shared" si="41"/>
        <v>0</v>
      </c>
      <c r="CB39" s="278"/>
      <c r="CC39" s="391"/>
    </row>
    <row r="40" spans="1:81" x14ac:dyDescent="0.25">
      <c r="A40" s="24" t="s">
        <v>37</v>
      </c>
      <c r="B40" s="133">
        <v>3</v>
      </c>
      <c r="C40" s="50">
        <v>4</v>
      </c>
      <c r="D40" s="50">
        <v>6</v>
      </c>
      <c r="E40" s="50">
        <v>10</v>
      </c>
      <c r="F40" s="50">
        <v>10</v>
      </c>
      <c r="G40" s="50">
        <v>7</v>
      </c>
      <c r="H40" s="50">
        <v>6</v>
      </c>
      <c r="I40" s="50">
        <v>7</v>
      </c>
      <c r="J40" s="50">
        <v>13</v>
      </c>
      <c r="K40" s="89">
        <v>16</v>
      </c>
      <c r="L40" s="50">
        <v>9</v>
      </c>
      <c r="M40" s="50">
        <v>8</v>
      </c>
      <c r="N40" s="50">
        <v>11</v>
      </c>
      <c r="O40" s="50">
        <v>11</v>
      </c>
      <c r="P40" s="50">
        <v>25</v>
      </c>
      <c r="Q40" s="50">
        <v>31</v>
      </c>
      <c r="R40" s="50">
        <v>27</v>
      </c>
      <c r="S40" s="50">
        <v>27</v>
      </c>
      <c r="T40" s="109">
        <v>21</v>
      </c>
      <c r="U40" s="50">
        <v>22</v>
      </c>
      <c r="V40" s="50">
        <v>20</v>
      </c>
      <c r="W40" s="50">
        <v>18</v>
      </c>
      <c r="X40" s="173">
        <v>19</v>
      </c>
      <c r="Y40" s="173">
        <v>15</v>
      </c>
      <c r="Z40" s="173">
        <v>12</v>
      </c>
      <c r="AA40" s="173">
        <v>5</v>
      </c>
      <c r="AB40" s="185"/>
      <c r="AC40" s="2"/>
      <c r="AG40" s="256"/>
      <c r="AI40" s="310"/>
      <c r="AU40" s="158"/>
      <c r="AV40" s="50"/>
      <c r="AW40" s="50"/>
      <c r="AX40" s="50"/>
      <c r="AY40" s="50"/>
      <c r="AZ40" s="50"/>
      <c r="BA40" s="50"/>
      <c r="BB40" s="107"/>
      <c r="BC40" s="109"/>
      <c r="BD40" s="89"/>
      <c r="BE40" s="107"/>
      <c r="BF40" s="478"/>
      <c r="BG40" s="276"/>
      <c r="BH40" s="276"/>
      <c r="BI40" s="480"/>
      <c r="BJ40" s="277"/>
      <c r="BK40" s="278"/>
      <c r="BL40" s="277"/>
      <c r="BM40" s="22"/>
      <c r="BN40" s="277"/>
      <c r="BO40" s="263"/>
      <c r="BP40" s="277"/>
      <c r="BQ40" s="481"/>
      <c r="BR40" s="460">
        <f t="shared" si="35"/>
        <v>0</v>
      </c>
      <c r="BS40" s="394">
        <f t="shared" si="36"/>
        <v>0</v>
      </c>
      <c r="BT40" s="394">
        <f t="shared" si="37"/>
        <v>0</v>
      </c>
      <c r="BU40" s="394">
        <f t="shared" si="38"/>
        <v>0</v>
      </c>
      <c r="BV40" s="394">
        <f t="shared" si="38"/>
        <v>0</v>
      </c>
      <c r="BW40" s="394">
        <f t="shared" si="38"/>
        <v>0</v>
      </c>
      <c r="BX40" s="394">
        <f t="shared" si="38"/>
        <v>0</v>
      </c>
      <c r="BY40" s="394">
        <f t="shared" si="39"/>
        <v>0</v>
      </c>
      <c r="BZ40" s="394">
        <f t="shared" si="40"/>
        <v>0</v>
      </c>
      <c r="CA40" s="394">
        <f t="shared" si="41"/>
        <v>0</v>
      </c>
      <c r="CB40" s="278"/>
      <c r="CC40" s="391"/>
    </row>
    <row r="41" spans="1:81" x14ac:dyDescent="0.25">
      <c r="A41" s="24" t="s">
        <v>38</v>
      </c>
      <c r="B41" s="133"/>
      <c r="C41" s="50"/>
      <c r="D41" s="50"/>
      <c r="E41" s="50"/>
      <c r="F41" s="50"/>
      <c r="G41" s="50"/>
      <c r="H41" s="50"/>
      <c r="I41" s="50"/>
      <c r="J41" s="50"/>
      <c r="K41" s="89"/>
      <c r="L41" s="50"/>
      <c r="M41" s="50"/>
      <c r="N41" s="50"/>
      <c r="O41" s="50"/>
      <c r="P41" s="50"/>
      <c r="Q41" s="50"/>
      <c r="R41" s="50"/>
      <c r="S41" s="50"/>
      <c r="T41" s="109"/>
      <c r="U41" s="50"/>
      <c r="V41" s="50"/>
      <c r="W41" s="50"/>
      <c r="X41" s="173"/>
      <c r="Y41" s="173"/>
      <c r="Z41" s="173"/>
      <c r="AB41" s="185"/>
      <c r="AC41" s="2"/>
      <c r="AG41" s="256"/>
      <c r="AI41" s="310"/>
      <c r="AU41" s="327"/>
      <c r="AV41" s="50"/>
      <c r="AW41" s="50"/>
      <c r="AX41" s="50"/>
      <c r="AY41" s="50"/>
      <c r="AZ41" s="50"/>
      <c r="BA41" s="50"/>
      <c r="BB41" s="107"/>
      <c r="BC41" s="109"/>
      <c r="BD41" s="89"/>
      <c r="BE41" s="107"/>
      <c r="BF41" s="478"/>
      <c r="BG41" s="276"/>
      <c r="BH41" s="276"/>
      <c r="BI41" s="480"/>
      <c r="BJ41" s="277"/>
      <c r="BK41" s="278"/>
      <c r="BL41" s="277"/>
      <c r="BM41" s="22"/>
      <c r="BN41" s="277"/>
      <c r="BO41" s="263"/>
      <c r="BP41" s="277"/>
      <c r="BQ41" s="481"/>
      <c r="BR41" s="460">
        <f t="shared" si="35"/>
        <v>0</v>
      </c>
      <c r="BS41" s="394">
        <f t="shared" si="36"/>
        <v>0</v>
      </c>
      <c r="BT41" s="394">
        <f t="shared" si="37"/>
        <v>0</v>
      </c>
      <c r="BU41" s="394">
        <f t="shared" si="38"/>
        <v>0</v>
      </c>
      <c r="BV41" s="394">
        <f t="shared" si="38"/>
        <v>0</v>
      </c>
      <c r="BW41" s="394">
        <f t="shared" si="38"/>
        <v>0</v>
      </c>
      <c r="BX41" s="394">
        <f t="shared" si="38"/>
        <v>0</v>
      </c>
      <c r="BY41" s="394">
        <f t="shared" si="39"/>
        <v>0</v>
      </c>
      <c r="BZ41" s="394">
        <f t="shared" si="40"/>
        <v>0</v>
      </c>
      <c r="CA41" s="394">
        <f t="shared" si="41"/>
        <v>0</v>
      </c>
      <c r="CB41" s="278"/>
      <c r="CC41" s="391"/>
    </row>
    <row r="42" spans="1:81" x14ac:dyDescent="0.25">
      <c r="A42" s="24" t="s">
        <v>47</v>
      </c>
      <c r="B42" s="83"/>
      <c r="C42" s="50"/>
      <c r="D42" s="50"/>
      <c r="E42" s="50"/>
      <c r="F42" s="50"/>
      <c r="G42" s="50"/>
      <c r="H42" s="50"/>
      <c r="I42" s="50"/>
      <c r="J42" s="50"/>
      <c r="K42" s="89"/>
      <c r="L42" s="50"/>
      <c r="M42" s="50"/>
      <c r="N42" s="50"/>
      <c r="O42" s="50"/>
      <c r="P42" s="50"/>
      <c r="Q42" s="50"/>
      <c r="R42" s="50"/>
      <c r="S42" s="50"/>
      <c r="T42" s="109"/>
      <c r="U42" s="50"/>
      <c r="V42" s="50"/>
      <c r="W42" s="50"/>
      <c r="X42" s="173"/>
      <c r="Y42" s="173"/>
      <c r="Z42" s="173"/>
      <c r="AB42" s="185"/>
      <c r="AC42" s="2"/>
      <c r="AG42" s="256"/>
      <c r="AI42" s="310"/>
      <c r="AU42" s="327"/>
      <c r="AV42" s="50"/>
      <c r="AW42" s="50"/>
      <c r="AX42" s="50"/>
      <c r="AY42" s="50"/>
      <c r="AZ42" s="50"/>
      <c r="BA42" s="50"/>
      <c r="BB42" s="107"/>
      <c r="BC42" s="109"/>
      <c r="BD42" s="89"/>
      <c r="BE42" s="107"/>
      <c r="BF42" s="478"/>
      <c r="BG42" s="276"/>
      <c r="BH42" s="276"/>
      <c r="BI42" s="480"/>
      <c r="BJ42" s="277"/>
      <c r="BK42" s="278"/>
      <c r="BL42" s="277"/>
      <c r="BM42" s="22"/>
      <c r="BN42" s="277"/>
      <c r="BO42" s="263"/>
      <c r="BP42" s="277"/>
      <c r="BQ42" s="481"/>
      <c r="BR42" s="460">
        <f t="shared" si="35"/>
        <v>0</v>
      </c>
      <c r="BS42" s="394">
        <f t="shared" si="36"/>
        <v>0</v>
      </c>
      <c r="BT42" s="394">
        <f t="shared" si="37"/>
        <v>0</v>
      </c>
      <c r="BU42" s="394">
        <f t="shared" si="38"/>
        <v>0</v>
      </c>
      <c r="BV42" s="394">
        <f t="shared" si="38"/>
        <v>0</v>
      </c>
      <c r="BW42" s="394">
        <f t="shared" si="38"/>
        <v>0</v>
      </c>
      <c r="BX42" s="394">
        <f t="shared" si="38"/>
        <v>0</v>
      </c>
      <c r="BY42" s="394">
        <f t="shared" si="39"/>
        <v>0</v>
      </c>
      <c r="BZ42" s="394">
        <f t="shared" si="40"/>
        <v>0</v>
      </c>
      <c r="CA42" s="394">
        <f t="shared" si="41"/>
        <v>0</v>
      </c>
      <c r="CB42" s="278"/>
      <c r="CC42" s="391"/>
    </row>
    <row r="43" spans="1:81" ht="15.75" thickBot="1" x14ac:dyDescent="0.3">
      <c r="A43" s="25" t="s">
        <v>40</v>
      </c>
      <c r="B43" s="81">
        <f t="shared" ref="B43:BE43" si="42">SUM(B38:B42)</f>
        <v>47</v>
      </c>
      <c r="C43" s="81">
        <f t="shared" si="42"/>
        <v>83</v>
      </c>
      <c r="D43" s="81">
        <f t="shared" si="42"/>
        <v>170</v>
      </c>
      <c r="E43" s="81">
        <f t="shared" si="42"/>
        <v>207</v>
      </c>
      <c r="F43" s="81">
        <f t="shared" si="42"/>
        <v>213</v>
      </c>
      <c r="G43" s="81">
        <f t="shared" si="42"/>
        <v>209</v>
      </c>
      <c r="H43" s="81">
        <f t="shared" si="42"/>
        <v>213</v>
      </c>
      <c r="I43" s="81">
        <f t="shared" si="42"/>
        <v>207</v>
      </c>
      <c r="J43" s="81">
        <f t="shared" si="42"/>
        <v>170</v>
      </c>
      <c r="K43" s="81">
        <f t="shared" si="42"/>
        <v>96</v>
      </c>
      <c r="L43" s="81">
        <f t="shared" si="42"/>
        <v>65</v>
      </c>
      <c r="M43" s="81">
        <f t="shared" si="42"/>
        <v>74</v>
      </c>
      <c r="N43" s="81">
        <f t="shared" si="42"/>
        <v>94</v>
      </c>
      <c r="O43" s="81">
        <f t="shared" si="42"/>
        <v>57</v>
      </c>
      <c r="P43" s="81">
        <f t="shared" si="42"/>
        <v>291</v>
      </c>
      <c r="Q43" s="81">
        <f t="shared" si="42"/>
        <v>366</v>
      </c>
      <c r="R43" s="81">
        <f t="shared" si="42"/>
        <v>419</v>
      </c>
      <c r="S43" s="81">
        <f t="shared" si="42"/>
        <v>458</v>
      </c>
      <c r="T43" s="81">
        <f t="shared" si="42"/>
        <v>425</v>
      </c>
      <c r="U43" s="110">
        <f t="shared" si="42"/>
        <v>440</v>
      </c>
      <c r="V43" s="81">
        <f t="shared" si="42"/>
        <v>429</v>
      </c>
      <c r="W43" s="81">
        <f t="shared" si="42"/>
        <v>382</v>
      </c>
      <c r="X43" s="81">
        <f t="shared" ref="X43:AC43" si="43">SUM(X38:X42)</f>
        <v>381</v>
      </c>
      <c r="Y43" s="81">
        <f t="shared" si="43"/>
        <v>328</v>
      </c>
      <c r="Z43" s="81">
        <f t="shared" si="43"/>
        <v>185</v>
      </c>
      <c r="AA43" s="81">
        <f t="shared" si="43"/>
        <v>164</v>
      </c>
      <c r="AB43" s="190">
        <f t="shared" si="43"/>
        <v>0</v>
      </c>
      <c r="AC43" s="81">
        <f t="shared" si="43"/>
        <v>0</v>
      </c>
      <c r="AG43" s="256"/>
      <c r="AI43" s="310"/>
      <c r="AU43" s="139"/>
      <c r="AV43" s="110">
        <f t="shared" si="42"/>
        <v>0</v>
      </c>
      <c r="AW43" s="81">
        <f t="shared" si="42"/>
        <v>0</v>
      </c>
      <c r="AX43" s="81">
        <f t="shared" si="42"/>
        <v>0</v>
      </c>
      <c r="AY43" s="81">
        <f t="shared" si="42"/>
        <v>0</v>
      </c>
      <c r="AZ43" s="81">
        <f t="shared" si="42"/>
        <v>0</v>
      </c>
      <c r="BA43" s="81">
        <f t="shared" si="42"/>
        <v>0</v>
      </c>
      <c r="BB43" s="81">
        <f t="shared" si="42"/>
        <v>0</v>
      </c>
      <c r="BC43" s="110">
        <f t="shared" si="42"/>
        <v>0</v>
      </c>
      <c r="BD43" s="110">
        <f t="shared" si="42"/>
        <v>0</v>
      </c>
      <c r="BE43" s="81">
        <f t="shared" si="42"/>
        <v>0</v>
      </c>
      <c r="BF43" s="447"/>
      <c r="BG43" s="407"/>
      <c r="BH43" s="407"/>
      <c r="BI43" s="485"/>
      <c r="BJ43" s="407"/>
      <c r="BK43" s="407"/>
      <c r="BL43" s="486"/>
      <c r="BM43" s="586"/>
      <c r="BN43" s="486"/>
      <c r="BO43" s="487"/>
      <c r="BP43" s="486"/>
      <c r="BQ43" s="488"/>
      <c r="BR43" s="460">
        <f t="shared" si="35"/>
        <v>0</v>
      </c>
      <c r="BS43" s="394">
        <f t="shared" si="36"/>
        <v>0</v>
      </c>
      <c r="BT43" s="394">
        <f t="shared" si="37"/>
        <v>0</v>
      </c>
      <c r="BU43" s="394">
        <f t="shared" si="38"/>
        <v>0</v>
      </c>
      <c r="BV43" s="394">
        <f t="shared" si="38"/>
        <v>0</v>
      </c>
      <c r="BW43" s="394">
        <f t="shared" si="38"/>
        <v>0</v>
      </c>
      <c r="BX43" s="394">
        <f t="shared" si="38"/>
        <v>0</v>
      </c>
      <c r="BY43" s="394">
        <f t="shared" si="39"/>
        <v>0</v>
      </c>
      <c r="BZ43" s="394">
        <f t="shared" si="40"/>
        <v>0</v>
      </c>
      <c r="CA43" s="394">
        <f t="shared" si="41"/>
        <v>0</v>
      </c>
      <c r="CB43" s="375"/>
      <c r="CC43" s="448"/>
    </row>
    <row r="44" spans="1:81" x14ac:dyDescent="0.25">
      <c r="A44" s="571" t="s">
        <v>28</v>
      </c>
      <c r="B44" s="127"/>
      <c r="C44" s="52"/>
      <c r="D44" s="52"/>
      <c r="E44" s="52"/>
      <c r="F44" s="52"/>
      <c r="G44" s="52"/>
      <c r="H44" s="52"/>
      <c r="I44" s="52"/>
      <c r="J44" s="52"/>
      <c r="K44" s="91"/>
      <c r="L44" s="52"/>
      <c r="M44" s="52"/>
      <c r="N44" s="52"/>
      <c r="O44" s="52"/>
      <c r="P44" s="52"/>
      <c r="Q44" s="52"/>
      <c r="R44" s="52"/>
      <c r="S44" s="52"/>
      <c r="T44" s="127"/>
      <c r="U44" s="127"/>
      <c r="V44" s="127"/>
      <c r="W44" s="127"/>
      <c r="X44" s="173"/>
      <c r="Y44" s="173"/>
      <c r="Z44" s="173"/>
      <c r="AC44" s="2"/>
      <c r="AG44" s="256"/>
      <c r="AI44" s="310"/>
      <c r="AT44" s="197"/>
      <c r="AU44" s="327"/>
      <c r="AV44" s="52"/>
      <c r="AW44" s="52"/>
      <c r="AX44" s="52"/>
      <c r="AY44" s="52"/>
      <c r="AZ44" s="52"/>
      <c r="BA44" s="52"/>
      <c r="BB44" s="111"/>
      <c r="BC44" s="122"/>
      <c r="BD44" s="191"/>
      <c r="BE44" s="191"/>
      <c r="BF44" s="472"/>
      <c r="BG44" s="473"/>
      <c r="BH44" s="473"/>
      <c r="BI44" s="474"/>
      <c r="BJ44" s="475"/>
      <c r="BK44" s="388"/>
      <c r="BL44" s="475"/>
      <c r="BM44" s="585"/>
      <c r="BN44" s="475"/>
      <c r="BO44" s="476"/>
      <c r="BP44" s="475"/>
      <c r="BQ44" s="477"/>
      <c r="BR44" s="459"/>
      <c r="BS44" s="388"/>
      <c r="BT44" s="388"/>
      <c r="BU44" s="388"/>
      <c r="BV44" s="388"/>
      <c r="BW44" s="388"/>
      <c r="BX44" s="388"/>
      <c r="BY44" s="388"/>
      <c r="BZ44" s="388"/>
      <c r="CA44" s="388"/>
      <c r="CB44" s="388"/>
      <c r="CC44" s="389"/>
    </row>
    <row r="45" spans="1:81" x14ac:dyDescent="0.25">
      <c r="A45" s="572" t="s">
        <v>35</v>
      </c>
      <c r="B45" s="140">
        <v>141577.26</v>
      </c>
      <c r="C45" s="136">
        <v>84.49</v>
      </c>
      <c r="D45" s="136">
        <v>48209.3</v>
      </c>
      <c r="E45" s="137">
        <v>-4028.61</v>
      </c>
      <c r="F45" s="136">
        <v>7213.76</v>
      </c>
      <c r="G45" s="136">
        <v>3670.91</v>
      </c>
      <c r="H45" s="137">
        <v>-5412.36</v>
      </c>
      <c r="I45" s="136">
        <v>1885.4</v>
      </c>
      <c r="J45" s="137">
        <v>-4797.9799999999996</v>
      </c>
      <c r="K45" s="138">
        <v>28456.61</v>
      </c>
      <c r="L45" s="136">
        <v>35046.68</v>
      </c>
      <c r="M45" s="136">
        <v>9775.57</v>
      </c>
      <c r="N45" s="136">
        <v>78042.3</v>
      </c>
      <c r="O45" s="137">
        <v>-798.76</v>
      </c>
      <c r="P45" s="136">
        <v>35270.99</v>
      </c>
      <c r="Q45" s="137">
        <v>-311.85000000000002</v>
      </c>
      <c r="R45" s="136">
        <v>4479.5600000000004</v>
      </c>
      <c r="S45" s="136">
        <v>2241.65</v>
      </c>
      <c r="T45" s="290">
        <v>-3479.51</v>
      </c>
      <c r="U45" s="136">
        <v>5325.27</v>
      </c>
      <c r="V45" s="137">
        <v>-3478.77</v>
      </c>
      <c r="W45" s="136">
        <v>20562.13</v>
      </c>
      <c r="X45" s="192">
        <v>50689.61</v>
      </c>
      <c r="Y45" s="192">
        <v>24245.16</v>
      </c>
      <c r="Z45" s="193">
        <v>103832.01</v>
      </c>
      <c r="AA45" s="159">
        <v>-2644.5</v>
      </c>
      <c r="AB45" s="194">
        <v>47482.68</v>
      </c>
      <c r="AC45" s="237">
        <v>12070.64</v>
      </c>
      <c r="AD45" s="158">
        <v>-1352.37</v>
      </c>
      <c r="AE45" s="244">
        <v>6611.02</v>
      </c>
      <c r="AF45" s="253">
        <v>-6794.58</v>
      </c>
      <c r="AG45" s="256">
        <v>1053.53</v>
      </c>
      <c r="AH45">
        <v>-7345.42</v>
      </c>
      <c r="AI45" s="312">
        <v>40141.51</v>
      </c>
      <c r="AJ45" s="265">
        <v>55531.94</v>
      </c>
      <c r="AK45" s="265">
        <v>25074.92</v>
      </c>
      <c r="AL45" s="265">
        <v>156541.60999999999</v>
      </c>
      <c r="AM45" s="265">
        <v>-1556.62</v>
      </c>
      <c r="AN45" s="265">
        <v>52367.59</v>
      </c>
      <c r="AO45" s="334">
        <v>-3178.6</v>
      </c>
      <c r="AP45" s="265">
        <v>19645.3</v>
      </c>
      <c r="AQ45" s="334">
        <v>11615.97</v>
      </c>
      <c r="AR45" s="334">
        <v>-13178.47</v>
      </c>
      <c r="AS45" s="265">
        <v>8255.7199999999993</v>
      </c>
      <c r="AT45" s="334">
        <v>-5004.0600000000004</v>
      </c>
      <c r="AU45" s="192">
        <v>65247.12</v>
      </c>
      <c r="AV45" s="136"/>
      <c r="AW45" s="136"/>
      <c r="AX45" s="136"/>
      <c r="AY45" s="136"/>
      <c r="AZ45" s="136"/>
      <c r="BA45" s="53"/>
      <c r="BB45" s="112"/>
      <c r="BC45" s="70"/>
      <c r="BD45" s="71"/>
      <c r="BE45" s="112"/>
      <c r="BF45" s="565">
        <v>91974.91</v>
      </c>
      <c r="BG45" s="421">
        <v>37196.74</v>
      </c>
      <c r="BH45" s="421">
        <v>121314.85</v>
      </c>
      <c r="BI45" s="421">
        <v>-2392.91</v>
      </c>
      <c r="BJ45" s="578">
        <v>38667.050000000003</v>
      </c>
      <c r="BK45" s="399">
        <v>-4507.51</v>
      </c>
      <c r="BL45" s="399">
        <v>14932.05</v>
      </c>
      <c r="BM45" s="399">
        <v>7790.83</v>
      </c>
      <c r="BN45" s="567">
        <v>-8585.8700000000008</v>
      </c>
      <c r="BO45" s="421">
        <v>0</v>
      </c>
      <c r="BP45" s="398"/>
      <c r="BQ45" s="400"/>
      <c r="BR45" s="463">
        <f t="shared" ref="BR45:BR50" si="44">BF45-AJ45</f>
        <v>36442.97</v>
      </c>
      <c r="BS45" s="398">
        <f t="shared" ref="BS45:BS50" si="45">BG45-AK45</f>
        <v>12121.82</v>
      </c>
      <c r="BT45" s="398">
        <f t="shared" ref="BT45:BT50" si="46">BH45-AL45</f>
        <v>-35226.75999999998</v>
      </c>
      <c r="BU45" s="398">
        <f t="shared" ref="BU45:BX50" si="47">BI45-AM45</f>
        <v>-836.29</v>
      </c>
      <c r="BV45" s="398">
        <f t="shared" si="47"/>
        <v>-13700.539999999994</v>
      </c>
      <c r="BW45" s="398">
        <f t="shared" si="47"/>
        <v>-1328.9100000000003</v>
      </c>
      <c r="BX45" s="398">
        <f t="shared" si="47"/>
        <v>-4713.25</v>
      </c>
      <c r="BY45" s="398">
        <f t="shared" ref="BY45:BY50" si="48">BM45-AQ45</f>
        <v>-3825.1399999999994</v>
      </c>
      <c r="BZ45" s="398">
        <f t="shared" ref="BZ45:BZ50" si="49">BN45-AR45</f>
        <v>4592.5999999999985</v>
      </c>
      <c r="CA45" s="398">
        <f t="shared" ref="CA45:CA50" si="50">BO45-AS45</f>
        <v>-8255.7199999999993</v>
      </c>
      <c r="CB45" s="278"/>
      <c r="CC45" s="391"/>
    </row>
    <row r="46" spans="1:81" x14ac:dyDescent="0.25">
      <c r="A46" s="572" t="s">
        <v>36</v>
      </c>
      <c r="B46" s="140">
        <v>14673.31</v>
      </c>
      <c r="C46" s="137">
        <v>-761.92</v>
      </c>
      <c r="D46" s="137">
        <v>-1414.08</v>
      </c>
      <c r="E46" s="137">
        <v>-1204.1199999999999</v>
      </c>
      <c r="F46" s="137">
        <v>-969.96</v>
      </c>
      <c r="G46" s="136">
        <v>144.02000000000001</v>
      </c>
      <c r="H46" s="137">
        <v>-257.49</v>
      </c>
      <c r="I46" s="136">
        <v>487.34</v>
      </c>
      <c r="J46" s="137">
        <v>-25</v>
      </c>
      <c r="K46" s="138">
        <v>5303.61</v>
      </c>
      <c r="L46" s="136">
        <v>7517.17</v>
      </c>
      <c r="M46" s="136">
        <v>1129.8800000000001</v>
      </c>
      <c r="N46" s="136">
        <v>3878.08</v>
      </c>
      <c r="O46" s="137">
        <v>-475</v>
      </c>
      <c r="P46" s="136">
        <v>1634.49</v>
      </c>
      <c r="Q46" s="137">
        <v>-441.15</v>
      </c>
      <c r="R46" s="136">
        <v>906.69</v>
      </c>
      <c r="S46" s="136">
        <v>877.58</v>
      </c>
      <c r="T46" s="290">
        <v>-1316.29</v>
      </c>
      <c r="U46" s="136">
        <v>569.14</v>
      </c>
      <c r="V46" s="137">
        <v>-105.45</v>
      </c>
      <c r="W46" s="136">
        <v>4100.3500000000004</v>
      </c>
      <c r="X46" s="192">
        <v>9495.69</v>
      </c>
      <c r="Y46" s="196">
        <v>8519.23</v>
      </c>
      <c r="Z46" s="196">
        <v>9692.64</v>
      </c>
      <c r="AA46" s="197">
        <v>1424.6</v>
      </c>
      <c r="AB46" s="194">
        <v>2123.44</v>
      </c>
      <c r="AC46" s="237">
        <v>-4861.17</v>
      </c>
      <c r="AD46" s="192">
        <v>190.12</v>
      </c>
      <c r="AE46" s="253">
        <v>-297.86</v>
      </c>
      <c r="AF46" s="253">
        <v>-2518.56</v>
      </c>
      <c r="AG46" s="256">
        <v>78.89</v>
      </c>
      <c r="AH46">
        <v>-66.41</v>
      </c>
      <c r="AI46" s="312">
        <v>784.69</v>
      </c>
      <c r="AJ46" s="265">
        <v>-2799.13</v>
      </c>
      <c r="AK46" s="265">
        <v>341.54</v>
      </c>
      <c r="AL46" s="265">
        <v>10181.950000000001</v>
      </c>
      <c r="AM46" s="265">
        <v>-521.44000000000005</v>
      </c>
      <c r="AN46" s="265">
        <v>2201.67</v>
      </c>
      <c r="AO46" s="334">
        <v>-14519.87</v>
      </c>
      <c r="AP46" s="334">
        <v>-7964.1</v>
      </c>
      <c r="AQ46" s="334">
        <v>-146.09</v>
      </c>
      <c r="AR46" s="334">
        <v>-4074.38</v>
      </c>
      <c r="AS46" s="334">
        <v>-3574.16</v>
      </c>
      <c r="AT46" s="334">
        <v>-8.31</v>
      </c>
      <c r="AU46" s="192">
        <v>2983.81</v>
      </c>
      <c r="AV46" s="136"/>
      <c r="AW46" s="136"/>
      <c r="AX46" s="136"/>
      <c r="AY46" s="136"/>
      <c r="AZ46" s="136"/>
      <c r="BA46" s="53"/>
      <c r="BB46" s="112"/>
      <c r="BC46" s="70"/>
      <c r="BD46" s="71"/>
      <c r="BE46" s="112"/>
      <c r="BF46" s="565">
        <v>10820.75</v>
      </c>
      <c r="BG46" s="421">
        <v>5564.55</v>
      </c>
      <c r="BH46" s="421">
        <v>9523.86</v>
      </c>
      <c r="BI46" s="421">
        <v>-2414.25</v>
      </c>
      <c r="BJ46" s="578">
        <v>-4065.1</v>
      </c>
      <c r="BK46" s="399">
        <v>999.65</v>
      </c>
      <c r="BL46" s="421">
        <v>-4733</v>
      </c>
      <c r="BM46" s="399">
        <v>124.69</v>
      </c>
      <c r="BN46" s="567">
        <v>-3607.98</v>
      </c>
      <c r="BO46" s="421">
        <v>0</v>
      </c>
      <c r="BP46" s="398"/>
      <c r="BQ46" s="400"/>
      <c r="BR46" s="463">
        <f t="shared" si="44"/>
        <v>13619.880000000001</v>
      </c>
      <c r="BS46" s="398">
        <f t="shared" si="45"/>
        <v>5223.01</v>
      </c>
      <c r="BT46" s="398">
        <f t="shared" si="46"/>
        <v>-658.09000000000015</v>
      </c>
      <c r="BU46" s="398">
        <f t="shared" si="47"/>
        <v>-1892.81</v>
      </c>
      <c r="BV46" s="398">
        <f t="shared" si="47"/>
        <v>-6266.77</v>
      </c>
      <c r="BW46" s="398">
        <f t="shared" si="47"/>
        <v>15519.52</v>
      </c>
      <c r="BX46" s="398">
        <f t="shared" si="47"/>
        <v>3231.1000000000004</v>
      </c>
      <c r="BY46" s="398">
        <f t="shared" si="48"/>
        <v>270.77999999999997</v>
      </c>
      <c r="BZ46" s="398">
        <f t="shared" si="49"/>
        <v>466.40000000000009</v>
      </c>
      <c r="CA46" s="398">
        <f t="shared" si="50"/>
        <v>3574.16</v>
      </c>
      <c r="CB46" s="278"/>
      <c r="CC46" s="391"/>
    </row>
    <row r="47" spans="1:81" x14ac:dyDescent="0.25">
      <c r="A47" s="572" t="s">
        <v>37</v>
      </c>
      <c r="B47" s="140">
        <v>11721.1</v>
      </c>
      <c r="C47" s="136">
        <v>44.66</v>
      </c>
      <c r="D47" s="136">
        <v>4688.62</v>
      </c>
      <c r="E47" s="137">
        <v>-368.83</v>
      </c>
      <c r="F47" s="136">
        <v>1359.1</v>
      </c>
      <c r="G47" s="136">
        <v>2033.68</v>
      </c>
      <c r="H47" s="137">
        <v>-7367.34</v>
      </c>
      <c r="I47" s="136">
        <v>1410.45</v>
      </c>
      <c r="J47" s="137">
        <v>-646.51</v>
      </c>
      <c r="K47" s="138">
        <v>3841.44</v>
      </c>
      <c r="L47" s="136">
        <v>8955.39</v>
      </c>
      <c r="M47" s="137">
        <v>-3025.57</v>
      </c>
      <c r="N47" s="136">
        <v>9201.73</v>
      </c>
      <c r="O47" s="137">
        <v>-310.51</v>
      </c>
      <c r="P47" s="136">
        <v>5616.01</v>
      </c>
      <c r="Q47" s="137">
        <v>-544.37</v>
      </c>
      <c r="R47" s="136">
        <v>618.61</v>
      </c>
      <c r="S47" s="136">
        <v>1624.03</v>
      </c>
      <c r="T47" s="290">
        <v>-428.81</v>
      </c>
      <c r="U47" s="136">
        <v>783.28</v>
      </c>
      <c r="V47" s="137">
        <v>-391.89</v>
      </c>
      <c r="W47" s="136">
        <v>4765.71</v>
      </c>
      <c r="X47" s="192">
        <v>17030.150000000001</v>
      </c>
      <c r="Y47" s="196">
        <v>2143.12</v>
      </c>
      <c r="Z47" s="196">
        <v>30792.28</v>
      </c>
      <c r="AA47" s="197">
        <v>7935.02</v>
      </c>
      <c r="AB47" s="200">
        <v>-5111.16</v>
      </c>
      <c r="AC47" s="237">
        <v>1386.6</v>
      </c>
      <c r="AD47" s="192">
        <v>-990.7</v>
      </c>
      <c r="AE47" s="244">
        <v>2457.21</v>
      </c>
      <c r="AF47" s="253">
        <v>-119.07</v>
      </c>
      <c r="AG47" s="256">
        <v>2417.77</v>
      </c>
      <c r="AH47" s="263">
        <v>-129.97999999999999</v>
      </c>
      <c r="AI47" s="313">
        <v>30657.23</v>
      </c>
      <c r="AJ47" s="266">
        <v>10100.23</v>
      </c>
      <c r="AK47" s="266">
        <v>4580.88</v>
      </c>
      <c r="AL47" s="266">
        <v>12419.05</v>
      </c>
      <c r="AM47" s="266">
        <v>-73.89</v>
      </c>
      <c r="AN47" s="266">
        <v>17087.849999999999</v>
      </c>
      <c r="AO47" s="335">
        <v>-220.06</v>
      </c>
      <c r="AP47" s="266">
        <v>9205.65</v>
      </c>
      <c r="AQ47" s="266">
        <v>729.77</v>
      </c>
      <c r="AR47" s="266">
        <v>7.52</v>
      </c>
      <c r="AS47" s="266">
        <v>3616.12</v>
      </c>
      <c r="AT47" s="335">
        <v>-486.74</v>
      </c>
      <c r="AU47" s="192">
        <v>14688.82</v>
      </c>
      <c r="AV47" s="136"/>
      <c r="AW47" s="136"/>
      <c r="AX47" s="136"/>
      <c r="AY47" s="136"/>
      <c r="AZ47" s="136"/>
      <c r="BA47" s="53"/>
      <c r="BB47" s="112"/>
      <c r="BC47" s="70"/>
      <c r="BD47" s="71"/>
      <c r="BE47" s="112"/>
      <c r="BF47" s="565">
        <v>22353.34</v>
      </c>
      <c r="BG47" s="421">
        <v>4593.37</v>
      </c>
      <c r="BH47" s="421">
        <v>14983.73</v>
      </c>
      <c r="BI47" s="421">
        <v>-239.49</v>
      </c>
      <c r="BJ47" s="578">
        <v>12381.11</v>
      </c>
      <c r="BK47" s="399">
        <v>-4765.43</v>
      </c>
      <c r="BL47" s="421">
        <v>6436.04</v>
      </c>
      <c r="BM47" s="399">
        <v>3599.67</v>
      </c>
      <c r="BN47" s="567">
        <v>-200.48</v>
      </c>
      <c r="BO47" s="421">
        <v>0</v>
      </c>
      <c r="BP47" s="421"/>
      <c r="BQ47" s="570"/>
      <c r="BR47" s="463">
        <f t="shared" si="44"/>
        <v>12253.11</v>
      </c>
      <c r="BS47" s="398">
        <f t="shared" si="45"/>
        <v>12.489999999999782</v>
      </c>
      <c r="BT47" s="398">
        <f t="shared" si="46"/>
        <v>2564.6800000000003</v>
      </c>
      <c r="BU47" s="398">
        <f t="shared" si="47"/>
        <v>-165.60000000000002</v>
      </c>
      <c r="BV47" s="398">
        <f t="shared" si="47"/>
        <v>-4706.739999999998</v>
      </c>
      <c r="BW47" s="398">
        <f t="shared" si="47"/>
        <v>-4545.37</v>
      </c>
      <c r="BX47" s="398">
        <f t="shared" si="47"/>
        <v>-2769.6099999999997</v>
      </c>
      <c r="BY47" s="398">
        <f t="shared" si="48"/>
        <v>2869.9</v>
      </c>
      <c r="BZ47" s="398">
        <f t="shared" si="49"/>
        <v>-208</v>
      </c>
      <c r="CA47" s="398">
        <f t="shared" si="50"/>
        <v>-3616.12</v>
      </c>
      <c r="CB47" s="278"/>
      <c r="CC47" s="391"/>
    </row>
    <row r="48" spans="1:81" x14ac:dyDescent="0.25">
      <c r="A48" s="572" t="s">
        <v>38</v>
      </c>
      <c r="B48" s="140"/>
      <c r="C48" s="136"/>
      <c r="D48" s="136"/>
      <c r="E48" s="136"/>
      <c r="F48" s="136"/>
      <c r="G48" s="136"/>
      <c r="H48" s="136"/>
      <c r="I48" s="136"/>
      <c r="J48" s="136"/>
      <c r="K48" s="138"/>
      <c r="L48" s="136"/>
      <c r="M48" s="136"/>
      <c r="N48" s="136"/>
      <c r="O48" s="136"/>
      <c r="P48" s="136"/>
      <c r="Q48" s="136"/>
      <c r="R48" s="136"/>
      <c r="S48" s="136"/>
      <c r="T48" s="140"/>
      <c r="U48" s="136"/>
      <c r="V48" s="136"/>
      <c r="W48" s="136"/>
      <c r="X48" s="192"/>
      <c r="Y48" s="173"/>
      <c r="Z48" s="173"/>
      <c r="AC48" s="2"/>
      <c r="AF48" s="244"/>
      <c r="AG48" s="256"/>
      <c r="AI48" s="312"/>
      <c r="AJ48" s="265"/>
      <c r="AK48" s="265"/>
      <c r="AL48" s="265"/>
      <c r="AM48" s="265"/>
      <c r="AN48" s="265"/>
      <c r="AO48" s="265"/>
      <c r="AP48" s="265"/>
      <c r="AQ48" s="265"/>
      <c r="AR48" s="265"/>
      <c r="AS48" s="265"/>
      <c r="AT48" s="265">
        <v>0</v>
      </c>
      <c r="AU48" s="328"/>
      <c r="AV48" s="136"/>
      <c r="AW48" s="136"/>
      <c r="AX48" s="136"/>
      <c r="AY48" s="136"/>
      <c r="AZ48" s="136"/>
      <c r="BA48" s="53"/>
      <c r="BB48" s="112"/>
      <c r="BC48" s="70"/>
      <c r="BD48" s="71"/>
      <c r="BE48" s="112"/>
      <c r="BF48" s="565"/>
      <c r="BG48" s="421"/>
      <c r="BH48" s="421"/>
      <c r="BI48" s="421"/>
      <c r="BJ48" s="578"/>
      <c r="BK48" s="398"/>
      <c r="BL48" s="398"/>
      <c r="BM48" s="578"/>
      <c r="BN48" s="421"/>
      <c r="BO48" s="421">
        <v>0</v>
      </c>
      <c r="BP48" s="398"/>
      <c r="BQ48" s="400"/>
      <c r="BR48" s="463">
        <f t="shared" si="44"/>
        <v>0</v>
      </c>
      <c r="BS48" s="398">
        <f t="shared" si="45"/>
        <v>0</v>
      </c>
      <c r="BT48" s="398">
        <f t="shared" si="46"/>
        <v>0</v>
      </c>
      <c r="BU48" s="398">
        <f t="shared" si="47"/>
        <v>0</v>
      </c>
      <c r="BV48" s="398">
        <f t="shared" si="47"/>
        <v>0</v>
      </c>
      <c r="BW48" s="398">
        <f t="shared" si="47"/>
        <v>0</v>
      </c>
      <c r="BX48" s="398">
        <f t="shared" si="47"/>
        <v>0</v>
      </c>
      <c r="BY48" s="398">
        <f t="shared" si="48"/>
        <v>0</v>
      </c>
      <c r="BZ48" s="398">
        <f t="shared" si="49"/>
        <v>0</v>
      </c>
      <c r="CA48" s="398">
        <f t="shared" si="50"/>
        <v>0</v>
      </c>
      <c r="CB48" s="278"/>
      <c r="CC48" s="391"/>
    </row>
    <row r="49" spans="1:81" x14ac:dyDescent="0.25">
      <c r="A49" s="572" t="s">
        <v>47</v>
      </c>
      <c r="B49" s="140"/>
      <c r="C49" s="136"/>
      <c r="D49" s="136"/>
      <c r="E49" s="136"/>
      <c r="F49" s="136"/>
      <c r="G49" s="136"/>
      <c r="H49" s="136"/>
      <c r="I49" s="136"/>
      <c r="J49" s="136"/>
      <c r="K49" s="138"/>
      <c r="L49" s="136"/>
      <c r="M49" s="136"/>
      <c r="N49" s="136"/>
      <c r="O49" s="136"/>
      <c r="P49" s="136"/>
      <c r="Q49" s="136"/>
      <c r="R49" s="136"/>
      <c r="S49" s="136"/>
      <c r="T49" s="140"/>
      <c r="U49" s="136"/>
      <c r="V49" s="136"/>
      <c r="W49" s="136"/>
      <c r="X49" s="192"/>
      <c r="Y49" s="195"/>
      <c r="Z49" s="195"/>
      <c r="AC49" s="2"/>
      <c r="AG49" s="256"/>
      <c r="AI49" s="312"/>
      <c r="AJ49" s="265"/>
      <c r="AK49" s="265"/>
      <c r="AL49" s="265"/>
      <c r="AM49" s="265"/>
      <c r="AN49" s="265"/>
      <c r="AO49" s="265"/>
      <c r="AP49" s="265"/>
      <c r="AQ49" s="265"/>
      <c r="AR49" s="265"/>
      <c r="AS49" s="265"/>
      <c r="AT49" s="265">
        <v>0</v>
      </c>
      <c r="AU49" s="328"/>
      <c r="AV49" s="136"/>
      <c r="AW49" s="136"/>
      <c r="AX49" s="136"/>
      <c r="AY49" s="136"/>
      <c r="AZ49" s="136"/>
      <c r="BA49" s="53"/>
      <c r="BB49" s="112"/>
      <c r="BC49" s="70"/>
      <c r="BD49" s="71"/>
      <c r="BE49" s="112"/>
      <c r="BF49" s="565"/>
      <c r="BG49" s="421"/>
      <c r="BH49" s="421"/>
      <c r="BI49" s="421"/>
      <c r="BJ49" s="578"/>
      <c r="BK49" s="398"/>
      <c r="BL49" s="398"/>
      <c r="BM49" s="578"/>
      <c r="BN49" s="398"/>
      <c r="BO49" s="421">
        <v>0</v>
      </c>
      <c r="BP49" s="398"/>
      <c r="BQ49" s="400"/>
      <c r="BR49" s="463">
        <f t="shared" si="44"/>
        <v>0</v>
      </c>
      <c r="BS49" s="398">
        <f t="shared" si="45"/>
        <v>0</v>
      </c>
      <c r="BT49" s="398">
        <f t="shared" si="46"/>
        <v>0</v>
      </c>
      <c r="BU49" s="398">
        <f t="shared" si="47"/>
        <v>0</v>
      </c>
      <c r="BV49" s="398">
        <f t="shared" si="47"/>
        <v>0</v>
      </c>
      <c r="BW49" s="398">
        <f t="shared" si="47"/>
        <v>0</v>
      </c>
      <c r="BX49" s="398">
        <f t="shared" si="47"/>
        <v>0</v>
      </c>
      <c r="BY49" s="398">
        <f t="shared" si="48"/>
        <v>0</v>
      </c>
      <c r="BZ49" s="398">
        <f t="shared" si="49"/>
        <v>0</v>
      </c>
      <c r="CA49" s="398">
        <f t="shared" si="50"/>
        <v>0</v>
      </c>
      <c r="CB49" s="278"/>
      <c r="CC49" s="391"/>
    </row>
    <row r="50" spans="1:81" x14ac:dyDescent="0.25">
      <c r="A50" s="572" t="s">
        <v>40</v>
      </c>
      <c r="B50" s="140">
        <f t="shared" ref="B50:BE50" si="51">SUM(B45:B49)</f>
        <v>167971.67</v>
      </c>
      <c r="C50" s="139">
        <f t="shared" si="51"/>
        <v>-632.77</v>
      </c>
      <c r="D50" s="135">
        <f t="shared" si="51"/>
        <v>51483.840000000004</v>
      </c>
      <c r="E50" s="139">
        <f t="shared" si="51"/>
        <v>-5601.5599999999995</v>
      </c>
      <c r="F50" s="135">
        <f t="shared" si="51"/>
        <v>7602.9</v>
      </c>
      <c r="G50" s="135">
        <f t="shared" si="51"/>
        <v>5848.61</v>
      </c>
      <c r="H50" s="139">
        <f t="shared" si="51"/>
        <v>-13037.189999999999</v>
      </c>
      <c r="I50" s="135">
        <f t="shared" si="51"/>
        <v>3783.1900000000005</v>
      </c>
      <c r="J50" s="139">
        <f t="shared" si="51"/>
        <v>-5469.49</v>
      </c>
      <c r="K50" s="135">
        <f t="shared" si="51"/>
        <v>37601.660000000003</v>
      </c>
      <c r="L50" s="135">
        <f t="shared" si="51"/>
        <v>51519.24</v>
      </c>
      <c r="M50" s="135">
        <f t="shared" si="51"/>
        <v>7879.880000000001</v>
      </c>
      <c r="N50" s="135">
        <f t="shared" si="51"/>
        <v>91122.11</v>
      </c>
      <c r="O50" s="139">
        <f t="shared" si="51"/>
        <v>-1584.27</v>
      </c>
      <c r="P50" s="135">
        <f t="shared" si="51"/>
        <v>42521.49</v>
      </c>
      <c r="Q50" s="139">
        <f t="shared" si="51"/>
        <v>-1297.3699999999999</v>
      </c>
      <c r="R50" s="135">
        <f t="shared" si="51"/>
        <v>6004.86</v>
      </c>
      <c r="S50" s="135">
        <f t="shared" si="51"/>
        <v>4743.26</v>
      </c>
      <c r="T50" s="139">
        <f t="shared" si="51"/>
        <v>-5224.6100000000006</v>
      </c>
      <c r="U50" s="140">
        <f t="shared" si="51"/>
        <v>6677.6900000000005</v>
      </c>
      <c r="V50" s="139">
        <f t="shared" si="51"/>
        <v>-3976.1099999999997</v>
      </c>
      <c r="W50" s="135">
        <f t="shared" si="51"/>
        <v>29428.190000000002</v>
      </c>
      <c r="X50" s="135">
        <f t="shared" ref="X50:AG50" si="52">SUM(X45:X49)</f>
        <v>77215.450000000012</v>
      </c>
      <c r="Y50" s="135">
        <f t="shared" si="52"/>
        <v>34907.51</v>
      </c>
      <c r="Z50" s="135">
        <f t="shared" si="52"/>
        <v>144316.93</v>
      </c>
      <c r="AA50" s="135">
        <f t="shared" si="52"/>
        <v>6715.1200000000008</v>
      </c>
      <c r="AB50" s="135">
        <f t="shared" si="52"/>
        <v>44494.960000000006</v>
      </c>
      <c r="AC50" s="135">
        <f t="shared" si="52"/>
        <v>8596.07</v>
      </c>
      <c r="AD50" s="135">
        <f t="shared" si="52"/>
        <v>-2152.9499999999998</v>
      </c>
      <c r="AE50" s="135">
        <f t="shared" si="52"/>
        <v>8770.3700000000008</v>
      </c>
      <c r="AF50" s="139">
        <f t="shared" si="52"/>
        <v>-9432.2099999999991</v>
      </c>
      <c r="AG50" s="259">
        <f t="shared" si="52"/>
        <v>3550.19</v>
      </c>
      <c r="AH50">
        <v>-7541.81</v>
      </c>
      <c r="AI50" s="312">
        <f>SUM(AI45:AI47)</f>
        <v>71583.430000000008</v>
      </c>
      <c r="AJ50" s="265">
        <v>62833.04</v>
      </c>
      <c r="AK50" s="265">
        <f>SUM(AK45:AK49)</f>
        <v>29997.34</v>
      </c>
      <c r="AL50" s="265">
        <f>SUM(AL45:AL49)</f>
        <v>179142.61</v>
      </c>
      <c r="AM50" s="265">
        <f>SUM(AM45:AM49)</f>
        <v>-2151.9499999999998</v>
      </c>
      <c r="AN50" s="265">
        <v>71657.11</v>
      </c>
      <c r="AO50" s="334">
        <f>SUM(AO45:AO47)</f>
        <v>-17918.530000000002</v>
      </c>
      <c r="AP50" s="265">
        <v>20886.849999999999</v>
      </c>
      <c r="AQ50" s="265">
        <v>12199.65</v>
      </c>
      <c r="AR50" s="334">
        <v>-17245.330000000002</v>
      </c>
      <c r="AS50" s="265">
        <v>8297.68</v>
      </c>
      <c r="AT50" s="334">
        <f>SUM(AT45:AT49)</f>
        <v>-5499.1100000000006</v>
      </c>
      <c r="AU50" s="135">
        <f>SUM(AU43:AU49)</f>
        <v>82919.75</v>
      </c>
      <c r="AV50" s="140">
        <f t="shared" si="51"/>
        <v>0</v>
      </c>
      <c r="AW50" s="135">
        <f t="shared" si="51"/>
        <v>0</v>
      </c>
      <c r="AX50" s="135">
        <f t="shared" si="51"/>
        <v>0</v>
      </c>
      <c r="AY50" s="135">
        <f t="shared" si="51"/>
        <v>0</v>
      </c>
      <c r="AZ50" s="135">
        <f t="shared" si="51"/>
        <v>0</v>
      </c>
      <c r="BA50" s="135">
        <f t="shared" si="51"/>
        <v>0</v>
      </c>
      <c r="BB50" s="135">
        <f t="shared" si="51"/>
        <v>0</v>
      </c>
      <c r="BC50" s="140">
        <f t="shared" si="51"/>
        <v>0</v>
      </c>
      <c r="BD50" s="140">
        <f t="shared" si="51"/>
        <v>0</v>
      </c>
      <c r="BE50" s="135">
        <f t="shared" si="51"/>
        <v>0</v>
      </c>
      <c r="BF50" s="464">
        <f t="shared" ref="BF50:BK50" si="53">SUM(BF45:BF48)</f>
        <v>125149</v>
      </c>
      <c r="BG50" s="399">
        <f t="shared" si="53"/>
        <v>47354.66</v>
      </c>
      <c r="BH50" s="399">
        <f t="shared" si="53"/>
        <v>145822.44</v>
      </c>
      <c r="BI50" s="421">
        <f t="shared" si="53"/>
        <v>-5046.6499999999996</v>
      </c>
      <c r="BJ50" s="399">
        <f t="shared" si="53"/>
        <v>46983.060000000005</v>
      </c>
      <c r="BK50" s="421">
        <f t="shared" si="53"/>
        <v>-8273.2900000000009</v>
      </c>
      <c r="BL50" s="399">
        <v>16635.09</v>
      </c>
      <c r="BM50" s="399">
        <v>11515.19</v>
      </c>
      <c r="BN50" s="567">
        <v>-12394.69</v>
      </c>
      <c r="BO50" s="421">
        <v>0</v>
      </c>
      <c r="BP50" s="398"/>
      <c r="BQ50" s="400"/>
      <c r="BR50" s="463">
        <f t="shared" si="44"/>
        <v>62315.96</v>
      </c>
      <c r="BS50" s="398">
        <f t="shared" si="45"/>
        <v>17357.320000000003</v>
      </c>
      <c r="BT50" s="398">
        <f t="shared" si="46"/>
        <v>-33320.169999999984</v>
      </c>
      <c r="BU50" s="398">
        <f t="shared" si="47"/>
        <v>-2894.7</v>
      </c>
      <c r="BV50" s="398">
        <f t="shared" si="47"/>
        <v>-24674.049999999996</v>
      </c>
      <c r="BW50" s="398">
        <f t="shared" si="47"/>
        <v>9645.2400000000016</v>
      </c>
      <c r="BX50" s="398">
        <f t="shared" si="47"/>
        <v>-4251.7599999999984</v>
      </c>
      <c r="BY50" s="398">
        <f t="shared" si="48"/>
        <v>-684.45999999999913</v>
      </c>
      <c r="BZ50" s="398">
        <f t="shared" si="49"/>
        <v>4850.6400000000012</v>
      </c>
      <c r="CA50" s="398">
        <f t="shared" si="50"/>
        <v>-8297.68</v>
      </c>
      <c r="CB50" s="278"/>
      <c r="CC50" s="391"/>
    </row>
    <row r="51" spans="1:81" x14ac:dyDescent="0.25">
      <c r="A51" s="573" t="s">
        <v>29</v>
      </c>
      <c r="B51" s="140"/>
      <c r="C51" s="136"/>
      <c r="D51" s="136"/>
      <c r="E51" s="136"/>
      <c r="F51" s="136"/>
      <c r="G51" s="136"/>
      <c r="H51" s="136"/>
      <c r="I51" s="136"/>
      <c r="J51" s="136"/>
      <c r="K51" s="138"/>
      <c r="L51" s="136"/>
      <c r="M51" s="136"/>
      <c r="N51" s="136"/>
      <c r="O51" s="136"/>
      <c r="P51" s="136"/>
      <c r="Q51" s="136"/>
      <c r="R51" s="136"/>
      <c r="S51" s="136"/>
      <c r="T51" s="140"/>
      <c r="U51" s="140"/>
      <c r="V51" s="140"/>
      <c r="W51" s="140"/>
      <c r="X51" s="192"/>
      <c r="Y51" s="198"/>
      <c r="Z51" s="198"/>
      <c r="AA51" s="199"/>
      <c r="AC51" s="2"/>
      <c r="AF51" s="253"/>
      <c r="AG51" s="256"/>
      <c r="AI51" s="312"/>
      <c r="AJ51" s="265"/>
      <c r="AK51" s="265"/>
      <c r="AL51" s="265"/>
      <c r="AM51" s="265"/>
      <c r="AN51" s="265"/>
      <c r="AO51" s="265"/>
      <c r="AP51" s="265"/>
      <c r="AQ51" s="265"/>
      <c r="AR51" s="265"/>
      <c r="AS51" s="265"/>
      <c r="AT51" s="265"/>
      <c r="AU51" s="328"/>
      <c r="AV51" s="136"/>
      <c r="AW51" s="136"/>
      <c r="AX51" s="136"/>
      <c r="AY51" s="136"/>
      <c r="AZ51" s="136"/>
      <c r="BA51" s="53"/>
      <c r="BB51" s="112"/>
      <c r="BC51" s="122"/>
      <c r="BD51" s="191"/>
      <c r="BE51" s="191"/>
      <c r="BF51" s="565"/>
      <c r="BG51" s="421"/>
      <c r="BH51" s="421"/>
      <c r="BI51" s="566"/>
      <c r="BJ51" s="578"/>
      <c r="BK51" s="398"/>
      <c r="BL51" s="398"/>
      <c r="BM51" s="578"/>
      <c r="BN51" s="567"/>
      <c r="BO51" s="421"/>
      <c r="BP51" s="398"/>
      <c r="BQ51" s="400"/>
      <c r="BR51" s="463"/>
      <c r="BS51" s="398"/>
      <c r="BT51" s="398"/>
      <c r="BU51" s="398"/>
      <c r="BV51" s="398"/>
      <c r="BW51" s="398"/>
      <c r="BX51" s="398"/>
      <c r="BY51" s="398"/>
      <c r="BZ51" s="398"/>
      <c r="CA51" s="398"/>
      <c r="CB51" s="278"/>
      <c r="CC51" s="391"/>
    </row>
    <row r="52" spans="1:81" x14ac:dyDescent="0.25">
      <c r="A52" s="572" t="s">
        <v>35</v>
      </c>
      <c r="B52" s="140">
        <v>4223.99</v>
      </c>
      <c r="C52" s="136">
        <v>46184.57</v>
      </c>
      <c r="D52" s="136">
        <v>34202.15</v>
      </c>
      <c r="E52" s="136">
        <v>20643.28</v>
      </c>
      <c r="F52" s="136">
        <v>3826.83</v>
      </c>
      <c r="G52" s="156">
        <v>1872.47</v>
      </c>
      <c r="H52" s="137">
        <v>-1627.98</v>
      </c>
      <c r="I52" s="137">
        <v>-1713.46</v>
      </c>
      <c r="J52" s="137">
        <v>-120.45</v>
      </c>
      <c r="K52" s="138">
        <v>3058.6</v>
      </c>
      <c r="L52" s="136">
        <v>4332.93</v>
      </c>
      <c r="M52" s="137">
        <v>-517.52</v>
      </c>
      <c r="N52" s="137">
        <v>-577.05999999999995</v>
      </c>
      <c r="O52" s="136">
        <v>36365.32</v>
      </c>
      <c r="P52" s="136">
        <v>23148.32</v>
      </c>
      <c r="Q52" s="136">
        <v>20393.43</v>
      </c>
      <c r="R52" s="136">
        <v>7581.99</v>
      </c>
      <c r="S52" s="136">
        <v>1596.8</v>
      </c>
      <c r="T52" s="290">
        <v>-454.89</v>
      </c>
      <c r="U52" s="137">
        <v>-1663.41</v>
      </c>
      <c r="V52" s="136">
        <v>1425.56</v>
      </c>
      <c r="W52" s="136">
        <v>4412.6499999999996</v>
      </c>
      <c r="X52" s="192">
        <v>9346.89</v>
      </c>
      <c r="Y52" s="192">
        <v>7330.08</v>
      </c>
      <c r="Z52" s="192">
        <v>14884.14</v>
      </c>
      <c r="AA52" s="192">
        <v>52215.49</v>
      </c>
      <c r="AB52" s="192">
        <v>21617.439999999999</v>
      </c>
      <c r="AC52" s="237">
        <v>33978.1</v>
      </c>
      <c r="AD52" s="192">
        <v>7055.96</v>
      </c>
      <c r="AE52" s="244">
        <v>437.88</v>
      </c>
      <c r="AF52" s="253">
        <v>-258.61</v>
      </c>
      <c r="AG52" s="260">
        <v>-2757.1</v>
      </c>
      <c r="AH52">
        <v>-7541.81</v>
      </c>
      <c r="AI52" s="312">
        <v>1949.19</v>
      </c>
      <c r="AJ52" s="265">
        <v>11433.94</v>
      </c>
      <c r="AK52" s="265">
        <v>4085.75</v>
      </c>
      <c r="AL52" s="265">
        <v>5797.4</v>
      </c>
      <c r="AM52" s="265">
        <v>73504.28</v>
      </c>
      <c r="AN52" s="265">
        <v>53615.38</v>
      </c>
      <c r="AO52" s="265">
        <v>27396.81</v>
      </c>
      <c r="AP52" s="265">
        <v>9557.06</v>
      </c>
      <c r="AQ52" s="265">
        <v>8606.5499999999993</v>
      </c>
      <c r="AR52" s="265">
        <v>3955.43</v>
      </c>
      <c r="AS52" s="334">
        <v>-9054.2900000000009</v>
      </c>
      <c r="AT52" s="265">
        <v>3200.82</v>
      </c>
      <c r="AU52" s="192">
        <v>6605.62</v>
      </c>
      <c r="AV52" s="136"/>
      <c r="AW52" s="136"/>
      <c r="AX52" s="136"/>
      <c r="AY52" s="136"/>
      <c r="AZ52" s="136"/>
      <c r="BA52" s="53"/>
      <c r="BB52" s="112"/>
      <c r="BC52" s="70"/>
      <c r="BD52" s="71"/>
      <c r="BE52" s="112"/>
      <c r="BF52" s="565">
        <v>12867.99</v>
      </c>
      <c r="BG52" s="421">
        <v>4208.3100000000004</v>
      </c>
      <c r="BH52" s="421">
        <v>16929.45</v>
      </c>
      <c r="BI52" s="568">
        <v>74325.59</v>
      </c>
      <c r="BJ52" s="399">
        <v>45145.39</v>
      </c>
      <c r="BK52" s="399">
        <v>18468.09</v>
      </c>
      <c r="BL52" s="421">
        <v>8358.2800000000007</v>
      </c>
      <c r="BM52" s="399">
        <v>4837.1099999999997</v>
      </c>
      <c r="BN52" s="399">
        <v>938.39</v>
      </c>
      <c r="BO52" s="567">
        <v>0</v>
      </c>
      <c r="BP52" s="398"/>
      <c r="BQ52" s="400"/>
      <c r="BR52" s="463">
        <f t="shared" ref="BR52:BR57" si="54">BF52-AJ52</f>
        <v>1434.0499999999993</v>
      </c>
      <c r="BS52" s="398">
        <f t="shared" ref="BS52:BS57" si="55">BG52-AK52</f>
        <v>122.5600000000004</v>
      </c>
      <c r="BT52" s="398">
        <f t="shared" ref="BT52:BT57" si="56">BH52-AL52</f>
        <v>11132.050000000001</v>
      </c>
      <c r="BU52" s="398">
        <f t="shared" ref="BU52:BX57" si="57">BI52-AM52</f>
        <v>821.30999999999767</v>
      </c>
      <c r="BV52" s="398">
        <f t="shared" si="57"/>
        <v>-8469.989999999998</v>
      </c>
      <c r="BW52" s="398">
        <f t="shared" si="57"/>
        <v>-8928.7200000000012</v>
      </c>
      <c r="BX52" s="398">
        <f t="shared" si="57"/>
        <v>-1198.7799999999988</v>
      </c>
      <c r="BY52" s="398">
        <f t="shared" ref="BY52:BY57" si="58">BM52-AQ52</f>
        <v>-3769.4399999999996</v>
      </c>
      <c r="BZ52" s="398">
        <f t="shared" ref="BZ52:BZ57" si="59">BN52-AR52</f>
        <v>-3017.04</v>
      </c>
      <c r="CA52" s="398">
        <f t="shared" ref="CA52:CA57" si="60">BO52-AS52</f>
        <v>9054.2900000000009</v>
      </c>
      <c r="CB52" s="278"/>
      <c r="CC52" s="391"/>
    </row>
    <row r="53" spans="1:81" x14ac:dyDescent="0.25">
      <c r="A53" s="572" t="s">
        <v>36</v>
      </c>
      <c r="B53" s="140">
        <v>585.04999999999995</v>
      </c>
      <c r="C53" s="136">
        <v>2896.24</v>
      </c>
      <c r="D53" s="136">
        <v>1430.9</v>
      </c>
      <c r="E53" s="137">
        <v>-1541.95</v>
      </c>
      <c r="F53" s="137">
        <v>-766.57</v>
      </c>
      <c r="G53" s="201">
        <v>-1087.8900000000001</v>
      </c>
      <c r="H53" s="137">
        <v>-16.649999999999999</v>
      </c>
      <c r="I53" s="136">
        <v>131.97999999999999</v>
      </c>
      <c r="J53" s="136">
        <v>114.46</v>
      </c>
      <c r="K53" s="138">
        <v>258.98</v>
      </c>
      <c r="L53" s="136">
        <v>1225.23</v>
      </c>
      <c r="M53" s="136">
        <v>0</v>
      </c>
      <c r="N53" s="137">
        <v>-57.92</v>
      </c>
      <c r="O53" s="136">
        <v>1867.39</v>
      </c>
      <c r="P53" s="136">
        <v>1671.17</v>
      </c>
      <c r="Q53" s="136">
        <v>1284.5</v>
      </c>
      <c r="R53" s="136">
        <v>360.4</v>
      </c>
      <c r="S53" s="136">
        <v>612.37</v>
      </c>
      <c r="T53" s="140">
        <v>655.35</v>
      </c>
      <c r="U53" s="137">
        <v>-380.36</v>
      </c>
      <c r="V53" s="136">
        <v>367.18</v>
      </c>
      <c r="W53" s="136">
        <v>1094.32</v>
      </c>
      <c r="X53" s="192">
        <v>3271.16</v>
      </c>
      <c r="Y53" s="192">
        <v>2847.48</v>
      </c>
      <c r="Z53" s="192">
        <v>3905.96</v>
      </c>
      <c r="AA53" s="192">
        <v>730.11</v>
      </c>
      <c r="AB53" s="192">
        <v>1036.5</v>
      </c>
      <c r="AC53" s="237">
        <v>-890.92</v>
      </c>
      <c r="AD53" s="158">
        <v>-4293.21</v>
      </c>
      <c r="AE53" s="244">
        <v>221.81</v>
      </c>
      <c r="AF53" s="253">
        <v>-428.3</v>
      </c>
      <c r="AG53" s="260">
        <v>-1992.87</v>
      </c>
      <c r="AH53" s="264">
        <v>426.98</v>
      </c>
      <c r="AI53" s="312">
        <v>74.05</v>
      </c>
      <c r="AJ53" s="265">
        <v>672.53</v>
      </c>
      <c r="AK53" s="265">
        <v>-966.89</v>
      </c>
      <c r="AL53" s="265">
        <v>809.95</v>
      </c>
      <c r="AM53" s="265">
        <v>11670.13</v>
      </c>
      <c r="AN53" s="265">
        <v>3801.63</v>
      </c>
      <c r="AO53" s="265">
        <v>1067.144</v>
      </c>
      <c r="AP53" s="334">
        <v>-13436.72</v>
      </c>
      <c r="AQ53" s="334">
        <v>-7542.61</v>
      </c>
      <c r="AR53" s="334">
        <v>-597.76</v>
      </c>
      <c r="AS53" s="334">
        <v>-4331.8</v>
      </c>
      <c r="AT53" s="334">
        <v>-2697.19</v>
      </c>
      <c r="AU53" s="158">
        <v>-577.96</v>
      </c>
      <c r="AV53" s="136"/>
      <c r="AW53" s="136"/>
      <c r="AX53" s="136"/>
      <c r="AY53" s="136"/>
      <c r="AZ53" s="136"/>
      <c r="BA53" s="53"/>
      <c r="BB53" s="112"/>
      <c r="BC53" s="70"/>
      <c r="BD53" s="71"/>
      <c r="BE53" s="112"/>
      <c r="BF53" s="421">
        <v>992.02</v>
      </c>
      <c r="BG53" s="421">
        <v>-10.220000000000001</v>
      </c>
      <c r="BH53" s="421">
        <v>4183.26</v>
      </c>
      <c r="BI53" s="421">
        <v>6330.73</v>
      </c>
      <c r="BJ53" s="399">
        <v>1210.57</v>
      </c>
      <c r="BK53" s="399">
        <v>-5163.96</v>
      </c>
      <c r="BL53" s="399">
        <v>1204.04</v>
      </c>
      <c r="BM53" s="399">
        <v>-4242.3900000000003</v>
      </c>
      <c r="BN53" s="567">
        <v>-109.79</v>
      </c>
      <c r="BO53" s="567">
        <v>0</v>
      </c>
      <c r="BP53" s="567"/>
      <c r="BQ53" s="400"/>
      <c r="BR53" s="463">
        <f t="shared" si="54"/>
        <v>319.49</v>
      </c>
      <c r="BS53" s="398">
        <f t="shared" si="55"/>
        <v>956.67</v>
      </c>
      <c r="BT53" s="398">
        <f t="shared" si="56"/>
        <v>3373.3100000000004</v>
      </c>
      <c r="BU53" s="398">
        <f t="shared" si="57"/>
        <v>-5339.4</v>
      </c>
      <c r="BV53" s="398">
        <f t="shared" si="57"/>
        <v>-2591.0600000000004</v>
      </c>
      <c r="BW53" s="398">
        <f t="shared" si="57"/>
        <v>-6231.1040000000003</v>
      </c>
      <c r="BX53" s="398">
        <f t="shared" si="57"/>
        <v>14640.759999999998</v>
      </c>
      <c r="BY53" s="398">
        <f t="shared" si="58"/>
        <v>3300.2199999999993</v>
      </c>
      <c r="BZ53" s="398">
        <f t="shared" si="59"/>
        <v>487.96999999999997</v>
      </c>
      <c r="CA53" s="398">
        <f t="shared" si="60"/>
        <v>4331.8</v>
      </c>
      <c r="CB53" s="278"/>
      <c r="CC53" s="391"/>
    </row>
    <row r="54" spans="1:81" x14ac:dyDescent="0.25">
      <c r="A54" s="572" t="s">
        <v>37</v>
      </c>
      <c r="B54" s="140">
        <v>245.85</v>
      </c>
      <c r="C54" s="136">
        <v>2859.34</v>
      </c>
      <c r="D54" s="136">
        <v>1262.22</v>
      </c>
      <c r="E54" s="136">
        <v>777.6</v>
      </c>
      <c r="F54" s="136">
        <v>304.45</v>
      </c>
      <c r="G54" s="136">
        <v>543.25</v>
      </c>
      <c r="H54" s="136">
        <v>505.74</v>
      </c>
      <c r="I54" s="137">
        <v>-3616.7</v>
      </c>
      <c r="J54" s="137">
        <v>-0.2</v>
      </c>
      <c r="K54" s="141">
        <v>-180.59</v>
      </c>
      <c r="L54" s="136">
        <v>260.77999999999997</v>
      </c>
      <c r="M54" s="137">
        <v>-412.72</v>
      </c>
      <c r="N54" s="137">
        <v>-2784.58</v>
      </c>
      <c r="O54" s="136">
        <v>2667.9</v>
      </c>
      <c r="P54" s="136">
        <v>4832.46</v>
      </c>
      <c r="Q54" s="136">
        <v>3236.32</v>
      </c>
      <c r="R54" s="136">
        <v>750.05</v>
      </c>
      <c r="S54" s="136">
        <v>40.08</v>
      </c>
      <c r="T54" s="140">
        <v>650.51</v>
      </c>
      <c r="U54" s="137">
        <v>-141.97</v>
      </c>
      <c r="V54" s="137">
        <v>-31.18</v>
      </c>
      <c r="W54" s="137">
        <v>-47.86</v>
      </c>
      <c r="X54" s="192">
        <v>711.38</v>
      </c>
      <c r="Y54" s="192">
        <v>232.78</v>
      </c>
      <c r="Z54" s="192">
        <v>577.07000000000005</v>
      </c>
      <c r="AA54" s="197">
        <v>-140.72</v>
      </c>
      <c r="AB54" s="158">
        <v>-138.97999999999999</v>
      </c>
      <c r="AC54" s="237">
        <v>-3924.88</v>
      </c>
      <c r="AD54" s="192">
        <v>471.72</v>
      </c>
      <c r="AE54" s="253">
        <v>-400.29</v>
      </c>
      <c r="AF54" s="244">
        <v>935.06</v>
      </c>
      <c r="AG54" s="256">
        <v>226.8</v>
      </c>
      <c r="AH54" s="263">
        <v>366.18</v>
      </c>
      <c r="AI54" s="312">
        <v>1281.68</v>
      </c>
      <c r="AJ54" s="265">
        <v>1090.53</v>
      </c>
      <c r="AK54" s="265">
        <v>-827.17</v>
      </c>
      <c r="AL54" s="265">
        <v>-1.03</v>
      </c>
      <c r="AM54" s="265">
        <v>4113.8500000000004</v>
      </c>
      <c r="AN54" s="265">
        <v>17487.86</v>
      </c>
      <c r="AO54" s="265">
        <v>6472.52</v>
      </c>
      <c r="AP54" s="265">
        <v>1137.8800000000001</v>
      </c>
      <c r="AQ54" s="334">
        <v>-81.17</v>
      </c>
      <c r="AR54" s="334">
        <v>-111.53</v>
      </c>
      <c r="AS54" s="265">
        <v>126.11</v>
      </c>
      <c r="AT54" s="265">
        <v>24.92</v>
      </c>
      <c r="AU54" s="192">
        <v>279.66000000000003</v>
      </c>
      <c r="AV54" s="136"/>
      <c r="AW54" s="136"/>
      <c r="AX54" s="136"/>
      <c r="AY54" s="136"/>
      <c r="AZ54" s="136"/>
      <c r="BA54" s="53"/>
      <c r="BB54" s="112"/>
      <c r="BC54" s="70"/>
      <c r="BD54" s="71"/>
      <c r="BE54" s="112"/>
      <c r="BF54" s="421">
        <v>911.85</v>
      </c>
      <c r="BG54" s="421">
        <v>-72.53</v>
      </c>
      <c r="BH54" s="421">
        <v>38.880000000000003</v>
      </c>
      <c r="BI54" s="421">
        <v>8021.34</v>
      </c>
      <c r="BJ54" s="399">
        <v>5496.04</v>
      </c>
      <c r="BK54" s="399">
        <v>4953.43</v>
      </c>
      <c r="BL54" s="421">
        <v>-2423.3200000000002</v>
      </c>
      <c r="BM54" s="399">
        <v>970.39</v>
      </c>
      <c r="BN54" s="421">
        <v>639.94000000000005</v>
      </c>
      <c r="BO54" s="421">
        <v>0</v>
      </c>
      <c r="BP54" s="421"/>
      <c r="BQ54" s="400"/>
      <c r="BR54" s="463">
        <f t="shared" si="54"/>
        <v>-178.67999999999995</v>
      </c>
      <c r="BS54" s="398">
        <f t="shared" si="55"/>
        <v>754.64</v>
      </c>
      <c r="BT54" s="398">
        <f t="shared" si="56"/>
        <v>39.910000000000004</v>
      </c>
      <c r="BU54" s="398">
        <f t="shared" si="57"/>
        <v>3907.49</v>
      </c>
      <c r="BV54" s="398">
        <f t="shared" si="57"/>
        <v>-11991.82</v>
      </c>
      <c r="BW54" s="398">
        <f t="shared" si="57"/>
        <v>-1519.0900000000001</v>
      </c>
      <c r="BX54" s="398">
        <f t="shared" si="57"/>
        <v>-3561.2000000000003</v>
      </c>
      <c r="BY54" s="398">
        <f t="shared" si="58"/>
        <v>1051.56</v>
      </c>
      <c r="BZ54" s="398">
        <f t="shared" si="59"/>
        <v>751.47</v>
      </c>
      <c r="CA54" s="398">
        <f t="shared" si="60"/>
        <v>-126.11</v>
      </c>
      <c r="CB54" s="278"/>
      <c r="CC54" s="391"/>
    </row>
    <row r="55" spans="1:81" x14ac:dyDescent="0.25">
      <c r="A55" s="572" t="s">
        <v>38</v>
      </c>
      <c r="B55" s="140"/>
      <c r="C55" s="136"/>
      <c r="D55" s="136"/>
      <c r="E55" s="136"/>
      <c r="F55" s="136"/>
      <c r="G55" s="136"/>
      <c r="H55" s="136"/>
      <c r="I55" s="136"/>
      <c r="J55" s="136"/>
      <c r="K55" s="138"/>
      <c r="L55" s="136"/>
      <c r="M55" s="136"/>
      <c r="N55" s="136"/>
      <c r="O55" s="136"/>
      <c r="P55" s="136"/>
      <c r="Q55" s="136"/>
      <c r="R55" s="136"/>
      <c r="S55" s="136"/>
      <c r="T55" s="140"/>
      <c r="U55" s="136"/>
      <c r="V55" s="136"/>
      <c r="W55" s="136"/>
      <c r="X55" s="192"/>
      <c r="Y55" s="198"/>
      <c r="Z55" s="198"/>
      <c r="AA55" s="199"/>
      <c r="AC55" s="2"/>
      <c r="AG55" s="256"/>
      <c r="AH55">
        <v>1193.83</v>
      </c>
      <c r="AI55" s="312"/>
      <c r="AJ55" s="265"/>
      <c r="AK55" s="265"/>
      <c r="AL55" s="265"/>
      <c r="AM55" s="265"/>
      <c r="AN55" s="265"/>
      <c r="AO55" s="265"/>
      <c r="AP55" s="265"/>
      <c r="AQ55" s="265"/>
      <c r="AR55" s="265"/>
      <c r="AS55" s="265"/>
      <c r="AT55" s="265">
        <v>0</v>
      </c>
      <c r="AU55" s="328"/>
      <c r="AV55" s="136"/>
      <c r="AW55" s="136"/>
      <c r="AX55" s="136"/>
      <c r="AY55" s="136"/>
      <c r="AZ55" s="136"/>
      <c r="BA55" s="53"/>
      <c r="BB55" s="112"/>
      <c r="BC55" s="70"/>
      <c r="BD55" s="71"/>
      <c r="BE55" s="112"/>
      <c r="BF55" s="421"/>
      <c r="BG55" s="421"/>
      <c r="BH55" s="421"/>
      <c r="BI55" s="421"/>
      <c r="BJ55" s="578"/>
      <c r="BK55" s="398"/>
      <c r="BL55" s="398"/>
      <c r="BM55" s="578"/>
      <c r="BN55" s="398"/>
      <c r="BO55" s="421">
        <v>0</v>
      </c>
      <c r="BP55" s="398"/>
      <c r="BQ55" s="400"/>
      <c r="BR55" s="463">
        <f t="shared" si="54"/>
        <v>0</v>
      </c>
      <c r="BS55" s="398">
        <f t="shared" si="55"/>
        <v>0</v>
      </c>
      <c r="BT55" s="398">
        <f t="shared" si="56"/>
        <v>0</v>
      </c>
      <c r="BU55" s="398">
        <f t="shared" si="57"/>
        <v>0</v>
      </c>
      <c r="BV55" s="398">
        <f t="shared" si="57"/>
        <v>0</v>
      </c>
      <c r="BW55" s="398">
        <f t="shared" si="57"/>
        <v>0</v>
      </c>
      <c r="BX55" s="398">
        <f t="shared" si="57"/>
        <v>0</v>
      </c>
      <c r="BY55" s="398">
        <f t="shared" si="58"/>
        <v>0</v>
      </c>
      <c r="BZ55" s="398">
        <f t="shared" si="59"/>
        <v>0</v>
      </c>
      <c r="CA55" s="398">
        <f t="shared" si="60"/>
        <v>0</v>
      </c>
      <c r="CB55" s="278"/>
      <c r="CC55" s="391"/>
    </row>
    <row r="56" spans="1:81" x14ac:dyDescent="0.25">
      <c r="A56" s="572" t="s">
        <v>47</v>
      </c>
      <c r="B56" s="140"/>
      <c r="C56" s="136"/>
      <c r="D56" s="136"/>
      <c r="E56" s="136"/>
      <c r="F56" s="136"/>
      <c r="G56" s="136"/>
      <c r="H56" s="136"/>
      <c r="I56" s="136"/>
      <c r="J56" s="136"/>
      <c r="K56" s="138"/>
      <c r="L56" s="136"/>
      <c r="M56" s="136"/>
      <c r="N56" s="136"/>
      <c r="O56" s="136"/>
      <c r="P56" s="136"/>
      <c r="Q56" s="136"/>
      <c r="R56" s="136"/>
      <c r="S56" s="136"/>
      <c r="T56" s="140"/>
      <c r="U56" s="136"/>
      <c r="V56" s="136"/>
      <c r="W56" s="136"/>
      <c r="X56" s="192"/>
      <c r="Y56" s="173"/>
      <c r="Z56" s="173"/>
      <c r="AC56" s="2"/>
      <c r="AF56" s="244"/>
      <c r="AG56" s="256"/>
      <c r="AI56" s="312"/>
      <c r="AJ56" s="265"/>
      <c r="AK56" s="265"/>
      <c r="AL56" s="265"/>
      <c r="AM56" s="265"/>
      <c r="AN56" s="265"/>
      <c r="AO56" s="265"/>
      <c r="AP56" s="265"/>
      <c r="AQ56" s="265"/>
      <c r="AR56" s="265"/>
      <c r="AS56" s="265"/>
      <c r="AT56" s="265">
        <v>0</v>
      </c>
      <c r="AU56" s="328"/>
      <c r="AV56" s="136"/>
      <c r="AW56" s="136"/>
      <c r="AX56" s="136"/>
      <c r="AY56" s="136"/>
      <c r="AZ56" s="136"/>
      <c r="BA56" s="53"/>
      <c r="BB56" s="112"/>
      <c r="BC56" s="70"/>
      <c r="BD56" s="71"/>
      <c r="BE56" s="112"/>
      <c r="BF56" s="421"/>
      <c r="BG56" s="421"/>
      <c r="BH56" s="421"/>
      <c r="BI56" s="421"/>
      <c r="BJ56" s="578"/>
      <c r="BK56" s="398"/>
      <c r="BL56" s="398"/>
      <c r="BM56" s="578"/>
      <c r="BN56" s="421"/>
      <c r="BO56" s="421">
        <v>0</v>
      </c>
      <c r="BP56" s="398"/>
      <c r="BQ56" s="400"/>
      <c r="BR56" s="463">
        <f t="shared" si="54"/>
        <v>0</v>
      </c>
      <c r="BS56" s="398">
        <f t="shared" si="55"/>
        <v>0</v>
      </c>
      <c r="BT56" s="398">
        <f t="shared" si="56"/>
        <v>0</v>
      </c>
      <c r="BU56" s="398">
        <f t="shared" si="57"/>
        <v>0</v>
      </c>
      <c r="BV56" s="398">
        <f t="shared" si="57"/>
        <v>0</v>
      </c>
      <c r="BW56" s="398">
        <f t="shared" si="57"/>
        <v>0</v>
      </c>
      <c r="BX56" s="398">
        <f t="shared" si="57"/>
        <v>0</v>
      </c>
      <c r="BY56" s="398">
        <f t="shared" si="58"/>
        <v>0</v>
      </c>
      <c r="BZ56" s="398">
        <f t="shared" si="59"/>
        <v>0</v>
      </c>
      <c r="CA56" s="398">
        <f t="shared" si="60"/>
        <v>0</v>
      </c>
      <c r="CB56" s="278"/>
      <c r="CC56" s="391"/>
    </row>
    <row r="57" spans="1:81" x14ac:dyDescent="0.25">
      <c r="A57" s="572" t="s">
        <v>40</v>
      </c>
      <c r="B57" s="140">
        <f t="shared" ref="B57:BE57" si="61">SUM(B52:B56)</f>
        <v>5054.8900000000003</v>
      </c>
      <c r="C57" s="135">
        <f t="shared" si="61"/>
        <v>51940.149999999994</v>
      </c>
      <c r="D57" s="135">
        <f t="shared" si="61"/>
        <v>36895.270000000004</v>
      </c>
      <c r="E57" s="135">
        <f t="shared" si="61"/>
        <v>19878.929999999997</v>
      </c>
      <c r="F57" s="135">
        <f t="shared" si="61"/>
        <v>3364.7099999999996</v>
      </c>
      <c r="G57" s="135">
        <f t="shared" si="61"/>
        <v>1327.83</v>
      </c>
      <c r="H57" s="139">
        <f t="shared" si="61"/>
        <v>-1138.8900000000001</v>
      </c>
      <c r="I57" s="139">
        <f t="shared" si="61"/>
        <v>-5198.18</v>
      </c>
      <c r="J57" s="135">
        <f t="shared" si="61"/>
        <v>-6.1900000000000093</v>
      </c>
      <c r="K57" s="135">
        <f t="shared" si="61"/>
        <v>3136.99</v>
      </c>
      <c r="L57" s="135">
        <f t="shared" si="61"/>
        <v>5818.94</v>
      </c>
      <c r="M57" s="139">
        <f t="shared" si="61"/>
        <v>-930.24</v>
      </c>
      <c r="N57" s="139">
        <f t="shared" si="61"/>
        <v>-3419.56</v>
      </c>
      <c r="O57" s="135">
        <f t="shared" si="61"/>
        <v>40900.61</v>
      </c>
      <c r="P57" s="135">
        <f t="shared" si="61"/>
        <v>29651.949999999997</v>
      </c>
      <c r="Q57" s="135">
        <f t="shared" si="61"/>
        <v>24914.25</v>
      </c>
      <c r="R57" s="135">
        <f t="shared" si="61"/>
        <v>8692.4399999999987</v>
      </c>
      <c r="S57" s="135">
        <f t="shared" si="61"/>
        <v>2249.25</v>
      </c>
      <c r="T57" s="135">
        <f t="shared" si="61"/>
        <v>850.97</v>
      </c>
      <c r="U57" s="290">
        <f t="shared" si="61"/>
        <v>-2185.7399999999998</v>
      </c>
      <c r="V57" s="135">
        <f t="shared" si="61"/>
        <v>1761.56</v>
      </c>
      <c r="W57" s="135">
        <f t="shared" si="61"/>
        <v>5459.11</v>
      </c>
      <c r="X57" s="135">
        <f t="shared" ref="X57:AE57" si="62">SUM(X52:X56)</f>
        <v>13329.429999999998</v>
      </c>
      <c r="Y57" s="135">
        <f t="shared" si="62"/>
        <v>10410.34</v>
      </c>
      <c r="Z57" s="135">
        <f t="shared" si="62"/>
        <v>19367.169999999998</v>
      </c>
      <c r="AA57" s="135">
        <f t="shared" si="62"/>
        <v>52804.88</v>
      </c>
      <c r="AB57" s="135">
        <f t="shared" si="62"/>
        <v>22514.959999999999</v>
      </c>
      <c r="AC57" s="135">
        <f t="shared" si="62"/>
        <v>29162.3</v>
      </c>
      <c r="AD57" s="135">
        <f t="shared" si="62"/>
        <v>3234.4700000000003</v>
      </c>
      <c r="AE57" s="135">
        <f t="shared" si="62"/>
        <v>259.40000000000003</v>
      </c>
      <c r="AF57" s="160">
        <f>SUM(AF52:AF54)</f>
        <v>248.14999999999986</v>
      </c>
      <c r="AG57" s="252">
        <f>SUM(AG52:AG54)</f>
        <v>-4523.1699999999992</v>
      </c>
      <c r="AH57">
        <v>1986.99</v>
      </c>
      <c r="AI57" s="312">
        <f>SUM(AI52:AI56)</f>
        <v>3304.92</v>
      </c>
      <c r="AJ57" s="265">
        <f>SUM(AJ52:AJ56)</f>
        <v>13197.000000000002</v>
      </c>
      <c r="AK57" s="265">
        <f>SUM(AK52:AK56)</f>
        <v>2291.69</v>
      </c>
      <c r="AL57" s="265">
        <f>SUM(AL52:AL56)</f>
        <v>6606.32</v>
      </c>
      <c r="AM57" s="265">
        <f>SUM(AM52:AM56)</f>
        <v>89288.260000000009</v>
      </c>
      <c r="AN57" s="265">
        <v>74904.87</v>
      </c>
      <c r="AO57" s="265">
        <f>SUM(AO52:AO54)</f>
        <v>34936.474000000002</v>
      </c>
      <c r="AP57" s="334">
        <v>-2741.78</v>
      </c>
      <c r="AQ57" s="265">
        <v>982.77</v>
      </c>
      <c r="AR57" s="265">
        <v>3246.14</v>
      </c>
      <c r="AS57" s="334">
        <v>-13259.98</v>
      </c>
      <c r="AT57" s="265">
        <v>528.54999999999995</v>
      </c>
      <c r="AU57" s="160">
        <v>6307.32</v>
      </c>
      <c r="AV57" s="140">
        <f t="shared" si="61"/>
        <v>0</v>
      </c>
      <c r="AW57" s="135">
        <f t="shared" si="61"/>
        <v>0</v>
      </c>
      <c r="AX57" s="135">
        <f t="shared" si="61"/>
        <v>0</v>
      </c>
      <c r="AY57" s="135">
        <f t="shared" si="61"/>
        <v>0</v>
      </c>
      <c r="AZ57" s="135">
        <f t="shared" si="61"/>
        <v>0</v>
      </c>
      <c r="BA57" s="135">
        <f t="shared" si="61"/>
        <v>0</v>
      </c>
      <c r="BB57" s="135">
        <f t="shared" si="61"/>
        <v>0</v>
      </c>
      <c r="BC57" s="140">
        <f t="shared" si="61"/>
        <v>0</v>
      </c>
      <c r="BD57" s="140">
        <f t="shared" si="61"/>
        <v>0</v>
      </c>
      <c r="BE57" s="135">
        <f t="shared" si="61"/>
        <v>0</v>
      </c>
      <c r="BF57" s="421">
        <f t="shared" ref="BF57:BK57" si="63">SUM(BF52:BF54)</f>
        <v>14771.86</v>
      </c>
      <c r="BG57" s="421">
        <f t="shared" si="63"/>
        <v>4125.5600000000004</v>
      </c>
      <c r="BH57" s="421">
        <f t="shared" si="63"/>
        <v>21151.59</v>
      </c>
      <c r="BI57" s="421">
        <f t="shared" si="63"/>
        <v>88677.659999999989</v>
      </c>
      <c r="BJ57" s="399">
        <f t="shared" si="63"/>
        <v>51852</v>
      </c>
      <c r="BK57" s="421">
        <f t="shared" si="63"/>
        <v>18257.560000000001</v>
      </c>
      <c r="BL57" s="399">
        <v>7139</v>
      </c>
      <c r="BM57" s="399">
        <v>1565.11</v>
      </c>
      <c r="BN57" s="399">
        <v>1468.54</v>
      </c>
      <c r="BO57" s="567">
        <v>0</v>
      </c>
      <c r="BP57" s="398"/>
      <c r="BQ57" s="400"/>
      <c r="BR57" s="463">
        <f t="shared" si="54"/>
        <v>1574.8599999999988</v>
      </c>
      <c r="BS57" s="398">
        <f t="shared" si="55"/>
        <v>1833.8700000000003</v>
      </c>
      <c r="BT57" s="398">
        <f t="shared" si="56"/>
        <v>14545.27</v>
      </c>
      <c r="BU57" s="398">
        <f t="shared" si="57"/>
        <v>-610.60000000002037</v>
      </c>
      <c r="BV57" s="398">
        <f t="shared" si="57"/>
        <v>-23052.869999999995</v>
      </c>
      <c r="BW57" s="398">
        <f t="shared" si="57"/>
        <v>-16678.914000000001</v>
      </c>
      <c r="BX57" s="398">
        <f t="shared" si="57"/>
        <v>9880.7800000000007</v>
      </c>
      <c r="BY57" s="398">
        <f t="shared" si="58"/>
        <v>582.33999999999992</v>
      </c>
      <c r="BZ57" s="398">
        <f t="shared" si="59"/>
        <v>-1777.6</v>
      </c>
      <c r="CA57" s="398">
        <f t="shared" si="60"/>
        <v>13259.98</v>
      </c>
      <c r="CB57" s="278"/>
      <c r="CC57" s="391"/>
    </row>
    <row r="58" spans="1:81" x14ac:dyDescent="0.25">
      <c r="A58" s="573" t="s">
        <v>30</v>
      </c>
      <c r="B58" s="140"/>
      <c r="C58" s="136"/>
      <c r="D58" s="136"/>
      <c r="E58" s="136"/>
      <c r="F58" s="136"/>
      <c r="G58" s="136"/>
      <c r="H58" s="136"/>
      <c r="I58" s="136"/>
      <c r="J58" s="136"/>
      <c r="K58" s="138"/>
      <c r="L58" s="136"/>
      <c r="M58" s="136"/>
      <c r="N58" s="136"/>
      <c r="O58" s="136"/>
      <c r="P58" s="136"/>
      <c r="Q58" s="136"/>
      <c r="R58" s="136"/>
      <c r="S58" s="136"/>
      <c r="T58" s="140"/>
      <c r="U58" s="140"/>
      <c r="V58" s="140"/>
      <c r="W58" s="140"/>
      <c r="X58" s="192"/>
      <c r="Y58" s="198"/>
      <c r="Z58" s="198"/>
      <c r="AA58" s="199"/>
      <c r="AC58" s="2"/>
      <c r="AF58" s="253"/>
      <c r="AG58" s="256"/>
      <c r="AI58" s="312"/>
      <c r="AU58" s="327"/>
      <c r="AV58" s="136"/>
      <c r="AW58" s="136"/>
      <c r="AX58" s="136"/>
      <c r="AY58" s="136"/>
      <c r="AZ58" s="136"/>
      <c r="BA58" s="53"/>
      <c r="BB58" s="112"/>
      <c r="BC58" s="122"/>
      <c r="BD58" s="191"/>
      <c r="BE58" s="191"/>
      <c r="BF58" s="421"/>
      <c r="BG58" s="421"/>
      <c r="BH58" s="421"/>
      <c r="BI58" s="421"/>
      <c r="BJ58" s="578"/>
      <c r="BK58" s="398"/>
      <c r="BL58" s="398"/>
      <c r="BM58" s="578"/>
      <c r="BN58" s="567"/>
      <c r="BO58" s="421"/>
      <c r="BP58" s="398"/>
      <c r="BQ58" s="400"/>
      <c r="BR58" s="463"/>
      <c r="BS58" s="398"/>
      <c r="BT58" s="398"/>
      <c r="BU58" s="398"/>
      <c r="BV58" s="398"/>
      <c r="BW58" s="398"/>
      <c r="BX58" s="398"/>
      <c r="BY58" s="398"/>
      <c r="BZ58" s="398"/>
      <c r="CA58" s="398"/>
      <c r="CB58" s="278"/>
      <c r="CC58" s="391"/>
    </row>
    <row r="59" spans="1:81" x14ac:dyDescent="0.25">
      <c r="A59" s="572" t="s">
        <v>35</v>
      </c>
      <c r="B59" s="140">
        <v>1838.54</v>
      </c>
      <c r="C59" s="136">
        <v>4177.67</v>
      </c>
      <c r="D59" s="136">
        <v>17726.87</v>
      </c>
      <c r="E59" s="136">
        <v>21104.94</v>
      </c>
      <c r="F59" s="136">
        <v>17098.509999999998</v>
      </c>
      <c r="G59" s="136">
        <v>10611.67</v>
      </c>
      <c r="H59" s="136">
        <v>8709.65</v>
      </c>
      <c r="I59" s="136">
        <v>4615.5200000000004</v>
      </c>
      <c r="J59" s="136">
        <v>5330.94</v>
      </c>
      <c r="K59" s="141">
        <v>-3201.42</v>
      </c>
      <c r="L59" s="137">
        <v>-1645.21</v>
      </c>
      <c r="M59" s="136">
        <v>75.38</v>
      </c>
      <c r="N59" s="136">
        <v>2116.38</v>
      </c>
      <c r="O59" s="136">
        <v>1241.0999999999999</v>
      </c>
      <c r="P59" s="136">
        <v>25391.07</v>
      </c>
      <c r="Q59" s="136">
        <v>35799.24</v>
      </c>
      <c r="R59" s="136">
        <v>40488.660000000003</v>
      </c>
      <c r="S59" s="136">
        <v>38195.040000000001</v>
      </c>
      <c r="T59" s="140">
        <v>25887.97</v>
      </c>
      <c r="U59" s="136">
        <v>19602.099999999999</v>
      </c>
      <c r="V59" s="136">
        <v>20678.939999999999</v>
      </c>
      <c r="W59" s="136">
        <v>26065.84</v>
      </c>
      <c r="X59" s="192">
        <v>28125.53</v>
      </c>
      <c r="Y59" s="196">
        <v>24611.21</v>
      </c>
      <c r="Z59" s="196">
        <v>29891.9</v>
      </c>
      <c r="AA59" s="197">
        <v>9054.43</v>
      </c>
      <c r="AB59" s="194">
        <v>18287.3</v>
      </c>
      <c r="AC59" s="237">
        <v>44143.73</v>
      </c>
      <c r="AD59" s="192">
        <v>29779.21</v>
      </c>
      <c r="AE59" s="244">
        <v>25689.11</v>
      </c>
      <c r="AF59" s="244">
        <v>7045.5</v>
      </c>
      <c r="AG59" s="256">
        <v>2020.63</v>
      </c>
      <c r="AH59" s="263">
        <v>6042.56</v>
      </c>
      <c r="AI59" s="312">
        <v>1949.75</v>
      </c>
      <c r="AJ59" s="265">
        <v>1209.1099999999999</v>
      </c>
      <c r="AK59" s="265">
        <v>-435.05</v>
      </c>
      <c r="AL59" s="265">
        <v>348.84</v>
      </c>
      <c r="AM59" s="265">
        <v>-252.97</v>
      </c>
      <c r="AN59" s="265">
        <v>29377.279999999999</v>
      </c>
      <c r="AO59" s="265">
        <v>32927.949999999997</v>
      </c>
      <c r="AP59" s="265">
        <v>24915.03</v>
      </c>
      <c r="AQ59" s="265">
        <v>14023.41</v>
      </c>
      <c r="AR59" s="265">
        <v>3844.81</v>
      </c>
      <c r="AS59" s="334">
        <v>-615.04999999999995</v>
      </c>
      <c r="AT59" s="334">
        <v>-6276.32</v>
      </c>
      <c r="AU59" s="158">
        <v>-1318.37</v>
      </c>
      <c r="AV59" s="136"/>
      <c r="AW59" s="136"/>
      <c r="AX59" s="136"/>
      <c r="AY59" s="136"/>
      <c r="AZ59" s="136"/>
      <c r="BA59" s="53"/>
      <c r="BB59" s="112"/>
      <c r="BC59" s="70"/>
      <c r="BD59" s="71"/>
      <c r="BE59" s="112"/>
      <c r="BF59" s="421">
        <v>-3347.06</v>
      </c>
      <c r="BG59" s="421">
        <v>-4274.3999999999996</v>
      </c>
      <c r="BH59" s="421">
        <v>-2401.15</v>
      </c>
      <c r="BI59" s="421">
        <v>8094.93</v>
      </c>
      <c r="BJ59" s="578">
        <v>37694.339999999997</v>
      </c>
      <c r="BK59" s="399">
        <v>50769.72</v>
      </c>
      <c r="BL59" s="421">
        <v>49525.120000000003</v>
      </c>
      <c r="BM59" s="399">
        <v>5560.66</v>
      </c>
      <c r="BN59" s="421">
        <v>18804.47</v>
      </c>
      <c r="BO59" s="421">
        <v>0</v>
      </c>
      <c r="BP59" s="421"/>
      <c r="BQ59" s="400"/>
      <c r="BR59" s="463">
        <f t="shared" ref="BR59:BR64" si="64">BF59-AJ59</f>
        <v>-4556.17</v>
      </c>
      <c r="BS59" s="398">
        <f t="shared" ref="BS59:BS64" si="65">BG59-AK59</f>
        <v>-3839.3499999999995</v>
      </c>
      <c r="BT59" s="398">
        <f t="shared" ref="BT59:BT64" si="66">BH59-AL59</f>
        <v>-2749.9900000000002</v>
      </c>
      <c r="BU59" s="398">
        <f t="shared" ref="BU59:BX64" si="67">BI59-AM59</f>
        <v>8347.9</v>
      </c>
      <c r="BV59" s="398">
        <f t="shared" si="67"/>
        <v>8317.0599999999977</v>
      </c>
      <c r="BW59" s="398">
        <f t="shared" si="67"/>
        <v>17841.770000000004</v>
      </c>
      <c r="BX59" s="398">
        <f t="shared" si="67"/>
        <v>24610.090000000004</v>
      </c>
      <c r="BY59" s="398">
        <f t="shared" ref="BY59:BY64" si="68">BM59-AQ59</f>
        <v>-8462.75</v>
      </c>
      <c r="BZ59" s="398">
        <f t="shared" ref="BZ59:BZ64" si="69">BN59-AR59</f>
        <v>14959.660000000002</v>
      </c>
      <c r="CA59" s="398">
        <f t="shared" ref="CA59:CA64" si="70">BO59-AS59</f>
        <v>615.04999999999995</v>
      </c>
      <c r="CB59" s="278"/>
      <c r="CC59" s="391"/>
    </row>
    <row r="60" spans="1:81" x14ac:dyDescent="0.25">
      <c r="A60" s="572" t="s">
        <v>36</v>
      </c>
      <c r="B60" s="290">
        <v>-23.71</v>
      </c>
      <c r="C60" s="136">
        <v>65.06</v>
      </c>
      <c r="D60" s="136">
        <v>1381.64</v>
      </c>
      <c r="E60" s="137">
        <v>-562.20000000000005</v>
      </c>
      <c r="F60" s="137">
        <v>-2893.34</v>
      </c>
      <c r="G60" s="137">
        <v>-4347.83</v>
      </c>
      <c r="H60" s="137">
        <v>-5014.76</v>
      </c>
      <c r="I60" s="137">
        <v>-4391.1099999999997</v>
      </c>
      <c r="J60" s="137">
        <v>-3080.58</v>
      </c>
      <c r="K60" s="141">
        <v>-1800.91</v>
      </c>
      <c r="L60" s="137">
        <v>-805.44</v>
      </c>
      <c r="M60" s="136">
        <v>117.33</v>
      </c>
      <c r="N60" s="136">
        <v>498.87</v>
      </c>
      <c r="O60" s="136">
        <v>455.88</v>
      </c>
      <c r="P60" s="136">
        <v>2035.98</v>
      </c>
      <c r="Q60" s="136">
        <v>3369.9</v>
      </c>
      <c r="R60" s="136">
        <v>4131.97</v>
      </c>
      <c r="S60" s="136">
        <v>500.17</v>
      </c>
      <c r="T60" s="140">
        <v>920.17</v>
      </c>
      <c r="U60" s="136">
        <v>1652.79</v>
      </c>
      <c r="V60" s="136">
        <v>2016.62</v>
      </c>
      <c r="W60" s="136">
        <v>2762.63</v>
      </c>
      <c r="X60" s="192">
        <v>3250.97</v>
      </c>
      <c r="Y60" s="192">
        <v>3168.14</v>
      </c>
      <c r="Z60" s="192">
        <v>4082.17</v>
      </c>
      <c r="AA60" s="192">
        <v>1075.3800000000001</v>
      </c>
      <c r="AB60" s="192">
        <v>986.61</v>
      </c>
      <c r="AC60" s="237">
        <v>2323.54</v>
      </c>
      <c r="AD60" s="192">
        <v>4333.5200000000004</v>
      </c>
      <c r="AE60" s="253">
        <v>-2462.67</v>
      </c>
      <c r="AF60" s="253">
        <v>-3839.03</v>
      </c>
      <c r="AG60" s="260">
        <v>-3439.93</v>
      </c>
      <c r="AH60" s="264">
        <v>-1399.4</v>
      </c>
      <c r="AI60" s="312">
        <v>120.94</v>
      </c>
      <c r="AJ60" s="265">
        <v>2209.9</v>
      </c>
      <c r="AK60" s="265">
        <v>1149.48</v>
      </c>
      <c r="AL60" s="265">
        <v>-80.12</v>
      </c>
      <c r="AM60" s="265">
        <v>1222.32</v>
      </c>
      <c r="AN60" s="265">
        <v>8544.31</v>
      </c>
      <c r="AO60" s="265">
        <v>4544.79</v>
      </c>
      <c r="AP60" s="265">
        <v>6435.28</v>
      </c>
      <c r="AQ60" s="334">
        <v>-13869.73</v>
      </c>
      <c r="AR60" s="334">
        <v>-21437.96</v>
      </c>
      <c r="AS60" s="334">
        <v>-18503.810000000001</v>
      </c>
      <c r="AT60" s="334">
        <v>-11863.26</v>
      </c>
      <c r="AU60" s="158">
        <v>-4835.7700000000004</v>
      </c>
      <c r="AV60" s="136"/>
      <c r="AW60" s="136"/>
      <c r="AX60" s="136"/>
      <c r="AY60" s="136"/>
      <c r="AZ60" s="136"/>
      <c r="BA60" s="53"/>
      <c r="BB60" s="112"/>
      <c r="BC60" s="70"/>
      <c r="BD60" s="71"/>
      <c r="BE60" s="112"/>
      <c r="BF60" s="421">
        <v>-1376.18</v>
      </c>
      <c r="BG60" s="421">
        <v>-388.87</v>
      </c>
      <c r="BH60" s="421">
        <v>-451.42</v>
      </c>
      <c r="BI60" s="421">
        <v>1524.25</v>
      </c>
      <c r="BJ60" s="399">
        <v>7031.23</v>
      </c>
      <c r="BK60" s="399">
        <v>4146.4399999999996</v>
      </c>
      <c r="BL60" s="421">
        <v>-210.58</v>
      </c>
      <c r="BM60" s="399">
        <v>1150.07</v>
      </c>
      <c r="BN60" s="567">
        <v>-7384.04</v>
      </c>
      <c r="BO60" s="567">
        <v>0</v>
      </c>
      <c r="BP60" s="567"/>
      <c r="BQ60" s="400"/>
      <c r="BR60" s="463">
        <f t="shared" si="64"/>
        <v>-3586.08</v>
      </c>
      <c r="BS60" s="398">
        <f t="shared" si="65"/>
        <v>-1538.35</v>
      </c>
      <c r="BT60" s="398">
        <f t="shared" si="66"/>
        <v>-371.3</v>
      </c>
      <c r="BU60" s="398">
        <f t="shared" si="67"/>
        <v>301.93000000000006</v>
      </c>
      <c r="BV60" s="398">
        <f t="shared" si="67"/>
        <v>-1513.08</v>
      </c>
      <c r="BW60" s="398">
        <f t="shared" si="67"/>
        <v>-398.35000000000036</v>
      </c>
      <c r="BX60" s="398">
        <f t="shared" si="67"/>
        <v>-6645.86</v>
      </c>
      <c r="BY60" s="398">
        <f t="shared" si="68"/>
        <v>15019.8</v>
      </c>
      <c r="BZ60" s="398">
        <f t="shared" si="69"/>
        <v>14053.919999999998</v>
      </c>
      <c r="CA60" s="398">
        <f t="shared" si="70"/>
        <v>18503.810000000001</v>
      </c>
      <c r="CB60" s="278"/>
      <c r="CC60" s="391"/>
    </row>
    <row r="61" spans="1:81" x14ac:dyDescent="0.25">
      <c r="A61" s="572" t="s">
        <v>37</v>
      </c>
      <c r="B61" s="290">
        <v>-274.61</v>
      </c>
      <c r="C61" s="137">
        <v>-57.69</v>
      </c>
      <c r="D61" s="136">
        <v>784.84</v>
      </c>
      <c r="E61" s="136">
        <v>1103.9000000000001</v>
      </c>
      <c r="F61" s="136">
        <v>564.73</v>
      </c>
      <c r="G61" s="137">
        <v>-1.62</v>
      </c>
      <c r="H61" s="137">
        <v>-704.77</v>
      </c>
      <c r="I61" s="137">
        <v>-955.54</v>
      </c>
      <c r="J61" s="137">
        <v>-4093.03</v>
      </c>
      <c r="K61" s="141">
        <v>-2438.69</v>
      </c>
      <c r="L61" s="137">
        <v>-856.19</v>
      </c>
      <c r="M61" s="137">
        <v>-240.98</v>
      </c>
      <c r="N61" s="137">
        <v>-998.12</v>
      </c>
      <c r="O61" s="137">
        <v>-2746.04</v>
      </c>
      <c r="P61" s="136">
        <v>1005.11</v>
      </c>
      <c r="Q61" s="136">
        <v>2444.15</v>
      </c>
      <c r="R61" s="136">
        <v>352.86</v>
      </c>
      <c r="S61" s="136">
        <v>225.33</v>
      </c>
      <c r="T61" s="290">
        <v>-2759.15</v>
      </c>
      <c r="U61" s="137">
        <v>-3468.61</v>
      </c>
      <c r="V61" s="137">
        <v>-3524.46</v>
      </c>
      <c r="W61" s="137">
        <v>-3523.98</v>
      </c>
      <c r="X61" s="158">
        <v>-3219.12</v>
      </c>
      <c r="Y61" s="158">
        <v>-3684.01</v>
      </c>
      <c r="Z61" s="158">
        <v>-3152.12</v>
      </c>
      <c r="AA61" s="158">
        <v>-343.81</v>
      </c>
      <c r="AB61" s="158">
        <v>-672.54</v>
      </c>
      <c r="AC61" s="237">
        <v>-2059.31</v>
      </c>
      <c r="AD61" s="158">
        <v>-6729.51</v>
      </c>
      <c r="AE61" s="253">
        <v>-7435.2</v>
      </c>
      <c r="AF61" s="253">
        <v>-7585.14</v>
      </c>
      <c r="AG61" s="260">
        <v>-7480.07</v>
      </c>
      <c r="AH61" s="264">
        <v>-6452.47</v>
      </c>
      <c r="AI61" s="312">
        <v>-4705.07</v>
      </c>
      <c r="AJ61" s="265">
        <v>-5234.42</v>
      </c>
      <c r="AK61" s="265">
        <v>-3797.43</v>
      </c>
      <c r="AL61" s="265">
        <v>-4555.32</v>
      </c>
      <c r="AM61" s="265">
        <v>-4396.92</v>
      </c>
      <c r="AN61" s="265">
        <v>-3150.72</v>
      </c>
      <c r="AO61" s="334">
        <v>-2168.62</v>
      </c>
      <c r="AP61" s="334">
        <v>-3067.11</v>
      </c>
      <c r="AQ61" s="334">
        <v>-4611.5200000000004</v>
      </c>
      <c r="AR61" s="334">
        <v>-4705.2700000000004</v>
      </c>
      <c r="AS61" s="334">
        <v>-4989.3999999999996</v>
      </c>
      <c r="AT61" s="334">
        <v>-4886.2299999999996</v>
      </c>
      <c r="AU61" s="158">
        <v>-3920.27</v>
      </c>
      <c r="AV61" s="136"/>
      <c r="AW61" s="136"/>
      <c r="AX61" s="136"/>
      <c r="AY61" s="136"/>
      <c r="AZ61" s="136"/>
      <c r="BA61" s="53"/>
      <c r="BB61" s="112"/>
      <c r="BC61" s="70"/>
      <c r="BD61" s="71"/>
      <c r="BE61" s="112"/>
      <c r="BF61" s="421">
        <v>-3273.17</v>
      </c>
      <c r="BG61" s="421">
        <v>-3309.46</v>
      </c>
      <c r="BH61" s="421">
        <v>-3100.52</v>
      </c>
      <c r="BI61" s="421">
        <v>-2887.06</v>
      </c>
      <c r="BJ61" s="399">
        <v>-292.12</v>
      </c>
      <c r="BK61" s="399">
        <v>992.91999999999985</v>
      </c>
      <c r="BL61" s="399">
        <v>1329.41</v>
      </c>
      <c r="BM61" s="567">
        <v>-3014.5</v>
      </c>
      <c r="BN61" s="567">
        <v>-5352.06</v>
      </c>
      <c r="BO61" s="567">
        <v>0</v>
      </c>
      <c r="BP61" s="567"/>
      <c r="BQ61" s="400"/>
      <c r="BR61" s="463">
        <f t="shared" si="64"/>
        <v>1961.25</v>
      </c>
      <c r="BS61" s="398">
        <f t="shared" si="65"/>
        <v>487.9699999999998</v>
      </c>
      <c r="BT61" s="398">
        <f t="shared" si="66"/>
        <v>1454.7999999999997</v>
      </c>
      <c r="BU61" s="398">
        <f t="shared" si="67"/>
        <v>1509.8600000000001</v>
      </c>
      <c r="BV61" s="398">
        <f t="shared" si="67"/>
        <v>2858.6</v>
      </c>
      <c r="BW61" s="398">
        <f t="shared" si="67"/>
        <v>3161.54</v>
      </c>
      <c r="BX61" s="398">
        <f t="shared" si="67"/>
        <v>4396.5200000000004</v>
      </c>
      <c r="BY61" s="398">
        <f t="shared" si="68"/>
        <v>1597.0200000000004</v>
      </c>
      <c r="BZ61" s="398">
        <f t="shared" si="69"/>
        <v>-646.79</v>
      </c>
      <c r="CA61" s="398">
        <f t="shared" si="70"/>
        <v>4989.3999999999996</v>
      </c>
      <c r="CB61" s="278"/>
      <c r="CC61" s="391"/>
    </row>
    <row r="62" spans="1:81" x14ac:dyDescent="0.25">
      <c r="A62" s="572" t="s">
        <v>38</v>
      </c>
      <c r="B62" s="140"/>
      <c r="C62" s="136"/>
      <c r="D62" s="136"/>
      <c r="E62" s="136"/>
      <c r="F62" s="136"/>
      <c r="G62" s="136"/>
      <c r="H62" s="136"/>
      <c r="I62" s="136"/>
      <c r="J62" s="136"/>
      <c r="K62" s="138"/>
      <c r="L62" s="136"/>
      <c r="M62" s="136"/>
      <c r="N62" s="136"/>
      <c r="O62" s="136"/>
      <c r="P62" s="136"/>
      <c r="Q62" s="136"/>
      <c r="R62" s="136"/>
      <c r="S62" s="136"/>
      <c r="T62" s="140"/>
      <c r="U62" s="136"/>
      <c r="V62" s="136"/>
      <c r="W62" s="136"/>
      <c r="X62" s="192"/>
      <c r="Y62" s="173"/>
      <c r="Z62" s="173"/>
      <c r="AC62" s="2"/>
      <c r="AG62" s="256"/>
      <c r="AI62" s="312"/>
      <c r="AJ62" s="265"/>
      <c r="AK62" s="265"/>
      <c r="AL62" s="265"/>
      <c r="AM62" s="265"/>
      <c r="AN62" s="265"/>
      <c r="AO62" s="265"/>
      <c r="AP62" s="265"/>
      <c r="AQ62" s="265"/>
      <c r="AR62" s="265"/>
      <c r="AS62" s="265"/>
      <c r="AT62" s="265">
        <v>0</v>
      </c>
      <c r="AU62" s="328"/>
      <c r="AV62" s="136"/>
      <c r="AW62" s="136"/>
      <c r="AX62" s="136"/>
      <c r="AY62" s="136"/>
      <c r="AZ62" s="136"/>
      <c r="BA62" s="53"/>
      <c r="BB62" s="112"/>
      <c r="BC62" s="70"/>
      <c r="BD62" s="71"/>
      <c r="BE62" s="112"/>
      <c r="BF62" s="421"/>
      <c r="BG62" s="421"/>
      <c r="BH62" s="421"/>
      <c r="BI62" s="421"/>
      <c r="BJ62" s="578"/>
      <c r="BK62" s="398"/>
      <c r="BL62" s="398"/>
      <c r="BM62" s="578"/>
      <c r="BN62" s="398"/>
      <c r="BO62" s="421">
        <v>0</v>
      </c>
      <c r="BP62" s="398"/>
      <c r="BQ62" s="400"/>
      <c r="BR62" s="463">
        <f t="shared" si="64"/>
        <v>0</v>
      </c>
      <c r="BS62" s="398">
        <f t="shared" si="65"/>
        <v>0</v>
      </c>
      <c r="BT62" s="398">
        <f t="shared" si="66"/>
        <v>0</v>
      </c>
      <c r="BU62" s="398">
        <f t="shared" si="67"/>
        <v>0</v>
      </c>
      <c r="BV62" s="398">
        <f t="shared" si="67"/>
        <v>0</v>
      </c>
      <c r="BW62" s="398">
        <f t="shared" si="67"/>
        <v>0</v>
      </c>
      <c r="BX62" s="398">
        <f t="shared" si="67"/>
        <v>0</v>
      </c>
      <c r="BY62" s="398">
        <f t="shared" si="68"/>
        <v>0</v>
      </c>
      <c r="BZ62" s="398">
        <f t="shared" si="69"/>
        <v>0</v>
      </c>
      <c r="CA62" s="398">
        <f t="shared" si="70"/>
        <v>0</v>
      </c>
      <c r="CB62" s="278"/>
      <c r="CC62" s="391"/>
    </row>
    <row r="63" spans="1:81" x14ac:dyDescent="0.25">
      <c r="A63" s="572" t="s">
        <v>47</v>
      </c>
      <c r="B63" s="140"/>
      <c r="C63" s="136"/>
      <c r="D63" s="136"/>
      <c r="E63" s="136"/>
      <c r="F63" s="136"/>
      <c r="G63" s="136"/>
      <c r="H63" s="136"/>
      <c r="I63" s="136"/>
      <c r="J63" s="136"/>
      <c r="K63" s="138"/>
      <c r="L63" s="136"/>
      <c r="M63" s="136"/>
      <c r="N63" s="136"/>
      <c r="O63" s="136"/>
      <c r="P63" s="136"/>
      <c r="Q63" s="136"/>
      <c r="R63" s="136"/>
      <c r="S63" s="136"/>
      <c r="T63" s="140"/>
      <c r="U63" s="136"/>
      <c r="V63" s="136"/>
      <c r="W63" s="136"/>
      <c r="X63" s="192"/>
      <c r="Y63" s="173"/>
      <c r="Z63" s="173"/>
      <c r="AC63" s="2"/>
      <c r="AF63" s="245"/>
      <c r="AG63" s="256"/>
      <c r="AI63" s="312"/>
      <c r="AJ63" s="265"/>
      <c r="AK63" s="265"/>
      <c r="AL63" s="265"/>
      <c r="AM63" s="265"/>
      <c r="AN63" s="265"/>
      <c r="AO63" s="265"/>
      <c r="AP63" s="265"/>
      <c r="AQ63" s="265"/>
      <c r="AR63" s="265"/>
      <c r="AS63" s="265"/>
      <c r="AT63" s="265">
        <v>0</v>
      </c>
      <c r="AU63" s="328"/>
      <c r="AV63" s="136"/>
      <c r="AW63" s="136"/>
      <c r="AX63" s="136"/>
      <c r="AY63" s="136"/>
      <c r="AZ63" s="136"/>
      <c r="BA63" s="53"/>
      <c r="BB63" s="112"/>
      <c r="BC63" s="70"/>
      <c r="BD63" s="71"/>
      <c r="BE63" s="112"/>
      <c r="BF63" s="421"/>
      <c r="BG63" s="421"/>
      <c r="BH63" s="421"/>
      <c r="BI63" s="421"/>
      <c r="BJ63" s="578"/>
      <c r="BK63" s="398"/>
      <c r="BL63" s="398"/>
      <c r="BM63" s="578"/>
      <c r="BN63" s="567"/>
      <c r="BO63" s="421">
        <v>0</v>
      </c>
      <c r="BP63" s="398"/>
      <c r="BQ63" s="400"/>
      <c r="BR63" s="463">
        <f t="shared" si="64"/>
        <v>0</v>
      </c>
      <c r="BS63" s="398">
        <f t="shared" si="65"/>
        <v>0</v>
      </c>
      <c r="BT63" s="398">
        <f t="shared" si="66"/>
        <v>0</v>
      </c>
      <c r="BU63" s="398">
        <f t="shared" si="67"/>
        <v>0</v>
      </c>
      <c r="BV63" s="398">
        <f t="shared" si="67"/>
        <v>0</v>
      </c>
      <c r="BW63" s="398">
        <f t="shared" si="67"/>
        <v>0</v>
      </c>
      <c r="BX63" s="398">
        <f t="shared" si="67"/>
        <v>0</v>
      </c>
      <c r="BY63" s="398">
        <f t="shared" si="68"/>
        <v>0</v>
      </c>
      <c r="BZ63" s="398">
        <f t="shared" si="69"/>
        <v>0</v>
      </c>
      <c r="CA63" s="398">
        <f t="shared" si="70"/>
        <v>0</v>
      </c>
      <c r="CB63" s="278"/>
      <c r="CC63" s="391"/>
    </row>
    <row r="64" spans="1:81" x14ac:dyDescent="0.25">
      <c r="A64" s="572" t="s">
        <v>40</v>
      </c>
      <c r="B64" s="140">
        <f t="shared" ref="B64:BE64" si="71">SUM(B59:B63)</f>
        <v>1540.2199999999998</v>
      </c>
      <c r="C64" s="135">
        <f t="shared" si="71"/>
        <v>4185.0400000000009</v>
      </c>
      <c r="D64" s="135">
        <f t="shared" si="71"/>
        <v>19893.349999999999</v>
      </c>
      <c r="E64" s="135">
        <f t="shared" si="71"/>
        <v>21646.639999999999</v>
      </c>
      <c r="F64" s="135">
        <f t="shared" si="71"/>
        <v>14769.899999999998</v>
      </c>
      <c r="G64" s="135">
        <f t="shared" si="71"/>
        <v>6262.22</v>
      </c>
      <c r="H64" s="135">
        <f t="shared" si="71"/>
        <v>2990.1199999999994</v>
      </c>
      <c r="I64" s="139">
        <f t="shared" si="71"/>
        <v>-731.1299999999992</v>
      </c>
      <c r="J64" s="139">
        <f t="shared" si="71"/>
        <v>-1842.6700000000005</v>
      </c>
      <c r="K64" s="139">
        <f t="shared" si="71"/>
        <v>-7441.02</v>
      </c>
      <c r="L64" s="139">
        <f t="shared" si="71"/>
        <v>-3306.84</v>
      </c>
      <c r="M64" s="139">
        <f t="shared" si="71"/>
        <v>-48.27000000000001</v>
      </c>
      <c r="N64" s="135">
        <f t="shared" si="71"/>
        <v>1617.13</v>
      </c>
      <c r="O64" s="139">
        <f t="shared" si="71"/>
        <v>-1049.06</v>
      </c>
      <c r="P64" s="135">
        <f t="shared" si="71"/>
        <v>28432.16</v>
      </c>
      <c r="Q64" s="135">
        <f t="shared" si="71"/>
        <v>41613.29</v>
      </c>
      <c r="R64" s="135">
        <f t="shared" si="71"/>
        <v>44973.490000000005</v>
      </c>
      <c r="S64" s="135">
        <f t="shared" si="71"/>
        <v>38920.54</v>
      </c>
      <c r="T64" s="135">
        <f t="shared" si="71"/>
        <v>24048.989999999998</v>
      </c>
      <c r="U64" s="140">
        <f t="shared" si="71"/>
        <v>17786.28</v>
      </c>
      <c r="V64" s="135">
        <f t="shared" si="71"/>
        <v>19171.099999999999</v>
      </c>
      <c r="W64" s="135">
        <f t="shared" si="71"/>
        <v>25304.49</v>
      </c>
      <c r="X64" s="135">
        <f t="shared" ref="X64:AG64" si="72">SUM(X59:X63)</f>
        <v>28157.38</v>
      </c>
      <c r="Y64" s="135">
        <f t="shared" si="72"/>
        <v>24095.339999999997</v>
      </c>
      <c r="Z64" s="135">
        <f t="shared" si="72"/>
        <v>30821.95</v>
      </c>
      <c r="AA64" s="135">
        <f t="shared" si="72"/>
        <v>9786.0000000000018</v>
      </c>
      <c r="AB64" s="135">
        <f t="shared" si="72"/>
        <v>18601.37</v>
      </c>
      <c r="AC64" s="135">
        <f t="shared" si="72"/>
        <v>44407.960000000006</v>
      </c>
      <c r="AD64" s="135">
        <f t="shared" si="72"/>
        <v>27383.219999999994</v>
      </c>
      <c r="AE64" s="135">
        <f t="shared" si="72"/>
        <v>15791.240000000002</v>
      </c>
      <c r="AF64" s="139">
        <f t="shared" si="72"/>
        <v>-4378.67</v>
      </c>
      <c r="AG64" s="139">
        <f t="shared" si="72"/>
        <v>-8899.369999999999</v>
      </c>
      <c r="AH64">
        <v>-1809.31</v>
      </c>
      <c r="AI64" s="312">
        <f>SUM(AI59:AI63)</f>
        <v>-2634.3799999999997</v>
      </c>
      <c r="AJ64" s="265">
        <f>SUM(AJ59:AJ63)</f>
        <v>-1815.4099999999999</v>
      </c>
      <c r="AK64" s="265">
        <f>SUM(AK59:AK63)</f>
        <v>-3083</v>
      </c>
      <c r="AL64" s="265">
        <f>SUM(AL59:AL63)</f>
        <v>-4286.5999999999995</v>
      </c>
      <c r="AM64" s="265">
        <f>SUM(AM59:AM63)</f>
        <v>-3427.57</v>
      </c>
      <c r="AN64" s="265">
        <v>34770.870000000003</v>
      </c>
      <c r="AO64" s="265">
        <f>SUM(AO59:AO61)</f>
        <v>35304.119999999995</v>
      </c>
      <c r="AP64" s="265">
        <v>28283.200000000001</v>
      </c>
      <c r="AQ64" s="334">
        <v>-4457.84</v>
      </c>
      <c r="AR64" s="334">
        <v>-22298.42</v>
      </c>
      <c r="AS64" s="334">
        <f>SUM(AS59:AS63)</f>
        <v>-24108.260000000002</v>
      </c>
      <c r="AT64" s="334">
        <v>-23025.81</v>
      </c>
      <c r="AU64" s="139">
        <v>10074.41</v>
      </c>
      <c r="AV64" s="140">
        <f t="shared" si="71"/>
        <v>0</v>
      </c>
      <c r="AW64" s="135">
        <f t="shared" si="71"/>
        <v>0</v>
      </c>
      <c r="AX64" s="135">
        <f t="shared" si="71"/>
        <v>0</v>
      </c>
      <c r="AY64" s="135">
        <f t="shared" si="71"/>
        <v>0</v>
      </c>
      <c r="AZ64" s="135">
        <f t="shared" si="71"/>
        <v>0</v>
      </c>
      <c r="BA64" s="135">
        <f t="shared" si="71"/>
        <v>0</v>
      </c>
      <c r="BB64" s="135">
        <f t="shared" si="71"/>
        <v>0</v>
      </c>
      <c r="BC64" s="140">
        <f t="shared" si="71"/>
        <v>0</v>
      </c>
      <c r="BD64" s="140">
        <f t="shared" si="71"/>
        <v>0</v>
      </c>
      <c r="BE64" s="135">
        <f t="shared" si="71"/>
        <v>0</v>
      </c>
      <c r="BF64" s="421">
        <f t="shared" ref="BF64:BK64" si="73">SUM(BF59:BF61)</f>
        <v>-7996.41</v>
      </c>
      <c r="BG64" s="421">
        <f t="shared" si="73"/>
        <v>-7972.73</v>
      </c>
      <c r="BH64" s="421">
        <f t="shared" si="73"/>
        <v>-5953.09</v>
      </c>
      <c r="BI64" s="421">
        <f t="shared" si="73"/>
        <v>6732.1200000000008</v>
      </c>
      <c r="BJ64" s="399">
        <f t="shared" si="73"/>
        <v>44433.44999999999</v>
      </c>
      <c r="BK64" s="399">
        <f t="shared" si="73"/>
        <v>55909.08</v>
      </c>
      <c r="BL64" s="399">
        <v>50643.95</v>
      </c>
      <c r="BM64" s="399">
        <v>3696.23</v>
      </c>
      <c r="BN64" s="399">
        <v>6068.37</v>
      </c>
      <c r="BO64" s="567">
        <v>0</v>
      </c>
      <c r="BP64" s="398"/>
      <c r="BQ64" s="400"/>
      <c r="BR64" s="463">
        <f t="shared" si="64"/>
        <v>-6181</v>
      </c>
      <c r="BS64" s="398">
        <f t="shared" si="65"/>
        <v>-4889.7299999999996</v>
      </c>
      <c r="BT64" s="398">
        <f t="shared" si="66"/>
        <v>-1666.4900000000007</v>
      </c>
      <c r="BU64" s="398">
        <f t="shared" si="67"/>
        <v>10159.69</v>
      </c>
      <c r="BV64" s="398">
        <f t="shared" si="67"/>
        <v>9662.5799999999872</v>
      </c>
      <c r="BW64" s="398">
        <f t="shared" si="67"/>
        <v>20604.960000000006</v>
      </c>
      <c r="BX64" s="398">
        <f t="shared" si="67"/>
        <v>22360.749999999996</v>
      </c>
      <c r="BY64" s="398">
        <f t="shared" si="68"/>
        <v>8154.07</v>
      </c>
      <c r="BZ64" s="398">
        <f t="shared" si="69"/>
        <v>28366.789999999997</v>
      </c>
      <c r="CA64" s="398">
        <f t="shared" si="70"/>
        <v>24108.260000000002</v>
      </c>
      <c r="CB64" s="278"/>
      <c r="CC64" s="391"/>
    </row>
    <row r="65" spans="1:81" x14ac:dyDescent="0.25">
      <c r="A65" s="573" t="s">
        <v>41</v>
      </c>
      <c r="B65" s="140"/>
      <c r="C65" s="136"/>
      <c r="D65" s="136"/>
      <c r="E65" s="136"/>
      <c r="F65" s="136"/>
      <c r="G65" s="136"/>
      <c r="H65" s="136"/>
      <c r="I65" s="136"/>
      <c r="J65" s="136"/>
      <c r="K65" s="138"/>
      <c r="L65" s="136"/>
      <c r="M65" s="136"/>
      <c r="N65" s="136"/>
      <c r="O65" s="136"/>
      <c r="P65" s="136"/>
      <c r="Q65" s="136"/>
      <c r="R65" s="136"/>
      <c r="S65" s="136"/>
      <c r="T65" s="140"/>
      <c r="U65" s="140"/>
      <c r="V65" s="140"/>
      <c r="W65" s="140"/>
      <c r="X65" s="192"/>
      <c r="Y65" s="173"/>
      <c r="Z65" s="173"/>
      <c r="AC65" s="2"/>
      <c r="AF65" s="252"/>
      <c r="AG65" s="256"/>
      <c r="AI65" s="312"/>
      <c r="AJ65" s="265"/>
      <c r="AK65" s="265"/>
      <c r="AL65" s="265"/>
      <c r="AM65" s="265"/>
      <c r="AN65" s="265"/>
      <c r="AO65" s="265"/>
      <c r="AP65" s="265"/>
      <c r="AQ65" s="265"/>
      <c r="AR65" s="265"/>
      <c r="AS65" s="265"/>
      <c r="AT65" s="265"/>
      <c r="AU65" s="328"/>
      <c r="AV65" s="136"/>
      <c r="AW65" s="136"/>
      <c r="AX65" s="136"/>
      <c r="AY65" s="136"/>
      <c r="AZ65" s="136"/>
      <c r="BA65" s="53"/>
      <c r="BB65" s="112"/>
      <c r="BC65" s="122"/>
      <c r="BD65" s="191"/>
      <c r="BE65" s="191"/>
      <c r="BF65" s="421"/>
      <c r="BG65" s="421"/>
      <c r="BH65" s="421"/>
      <c r="BI65" s="421"/>
      <c r="BJ65" s="578"/>
      <c r="BK65" s="398"/>
      <c r="BL65" s="398"/>
      <c r="BM65" s="578"/>
      <c r="BN65" s="567"/>
      <c r="BO65" s="421"/>
      <c r="BP65" s="398"/>
      <c r="BQ65" s="400"/>
      <c r="BR65" s="463"/>
      <c r="BS65" s="398"/>
      <c r="BT65" s="398"/>
      <c r="BU65" s="398"/>
      <c r="BV65" s="398"/>
      <c r="BW65" s="398"/>
      <c r="BX65" s="398"/>
      <c r="BY65" s="398"/>
      <c r="BZ65" s="398"/>
      <c r="CA65" s="398"/>
      <c r="CB65" s="278"/>
      <c r="CC65" s="391"/>
    </row>
    <row r="66" spans="1:81" x14ac:dyDescent="0.25">
      <c r="A66" s="572" t="s">
        <v>35</v>
      </c>
      <c r="B66" s="140">
        <v>147639.79</v>
      </c>
      <c r="C66" s="142">
        <v>50446.73</v>
      </c>
      <c r="D66" s="142">
        <v>100138.32</v>
      </c>
      <c r="E66" s="142">
        <v>37719.61</v>
      </c>
      <c r="F66" s="142">
        <v>28139.1</v>
      </c>
      <c r="G66" s="142">
        <v>16155.05</v>
      </c>
      <c r="H66" s="142">
        <v>1669.31</v>
      </c>
      <c r="I66" s="142">
        <v>4787.46</v>
      </c>
      <c r="J66" s="142">
        <v>412.51</v>
      </c>
      <c r="K66" s="143">
        <v>28313.79</v>
      </c>
      <c r="L66" s="136">
        <v>37734.400000000001</v>
      </c>
      <c r="M66" s="136">
        <v>9333.43</v>
      </c>
      <c r="N66" s="136">
        <v>79581.62</v>
      </c>
      <c r="O66" s="136">
        <v>36807.660000000003</v>
      </c>
      <c r="P66" s="136">
        <v>83810.38</v>
      </c>
      <c r="Q66" s="136">
        <v>55880.82</v>
      </c>
      <c r="R66" s="136">
        <v>52550.21</v>
      </c>
      <c r="S66" s="136">
        <v>42033.49</v>
      </c>
      <c r="T66" s="132">
        <v>21953.57</v>
      </c>
      <c r="U66" s="162">
        <v>23263.96</v>
      </c>
      <c r="V66" s="161">
        <v>18625.73</v>
      </c>
      <c r="W66" s="161">
        <v>51040.62</v>
      </c>
      <c r="X66" s="192">
        <v>88162.03</v>
      </c>
      <c r="Y66" s="192">
        <v>56189.45</v>
      </c>
      <c r="Z66" s="192">
        <v>148608.04999999999</v>
      </c>
      <c r="AA66" s="192">
        <v>58625.440000000002</v>
      </c>
      <c r="AB66" s="192">
        <v>87387.42</v>
      </c>
      <c r="AC66" s="240">
        <f>SUM(AC45,AC52,AC59)</f>
        <v>90192.47</v>
      </c>
      <c r="AD66" s="192">
        <v>35482.800000000003</v>
      </c>
      <c r="AE66" s="132">
        <v>32738.01</v>
      </c>
      <c r="AF66" s="245">
        <v>-7.69</v>
      </c>
      <c r="AG66" s="256">
        <v>317.06</v>
      </c>
      <c r="AH66">
        <v>-875.88</v>
      </c>
      <c r="AI66" s="312">
        <v>44040.45</v>
      </c>
      <c r="AJ66" s="265">
        <f>SUM(AJ45+AJ52+AJ59)</f>
        <v>68174.990000000005</v>
      </c>
      <c r="AK66" s="265">
        <f>SUM(AK45+AK52+AK59)</f>
        <v>28725.62</v>
      </c>
      <c r="AL66" s="265">
        <f>SUM(AL45+AL52+AL59)</f>
        <v>162687.84999999998</v>
      </c>
      <c r="AM66" s="265">
        <f>SUM(AM45+AM52+AM59)</f>
        <v>71694.69</v>
      </c>
      <c r="AN66" s="265">
        <v>135360.25</v>
      </c>
      <c r="AO66" s="265">
        <v>57146.16</v>
      </c>
      <c r="AP66" s="265">
        <v>54117.39</v>
      </c>
      <c r="AQ66" s="265">
        <v>34245.93</v>
      </c>
      <c r="AR66" s="334">
        <v>-5378.23</v>
      </c>
      <c r="AS66" s="334">
        <v>-1413.62</v>
      </c>
      <c r="AT66" s="334">
        <v>-8079.56</v>
      </c>
      <c r="AU66" s="192">
        <v>70534.37</v>
      </c>
      <c r="AV66" s="136"/>
      <c r="AW66" s="136"/>
      <c r="AX66" s="136"/>
      <c r="AY66" s="136"/>
      <c r="AZ66" s="136"/>
      <c r="BA66" s="53"/>
      <c r="BB66" s="112"/>
      <c r="BC66" s="70"/>
      <c r="BD66" s="71"/>
      <c r="BE66" s="112"/>
      <c r="BF66" s="421">
        <f t="shared" ref="BF66:BI68" si="74">BF45+BF52+BF59</f>
        <v>101495.84000000001</v>
      </c>
      <c r="BG66" s="421">
        <f t="shared" si="74"/>
        <v>37130.649999999994</v>
      </c>
      <c r="BH66" s="421">
        <f t="shared" si="74"/>
        <v>135843.15000000002</v>
      </c>
      <c r="BI66" s="421">
        <f t="shared" si="74"/>
        <v>80027.609999999986</v>
      </c>
      <c r="BJ66" s="399">
        <v>121506.78</v>
      </c>
      <c r="BK66" s="398">
        <v>64730.3</v>
      </c>
      <c r="BL66" s="421">
        <v>72815.45</v>
      </c>
      <c r="BM66" s="399">
        <v>83473.86</v>
      </c>
      <c r="BN66" s="399">
        <v>11156.99</v>
      </c>
      <c r="BO66" s="421">
        <v>0</v>
      </c>
      <c r="BP66" s="398"/>
      <c r="BQ66" s="400"/>
      <c r="BR66" s="463">
        <f t="shared" ref="BR66:BR71" si="75">BF66-AJ66</f>
        <v>33320.850000000006</v>
      </c>
      <c r="BS66" s="398">
        <f t="shared" ref="BS66:BS71" si="76">BG66-AK66</f>
        <v>8405.0299999999952</v>
      </c>
      <c r="BT66" s="398">
        <f t="shared" ref="BT66:BT71" si="77">BH66-AL66</f>
        <v>-26844.699999999953</v>
      </c>
      <c r="BU66" s="398">
        <f t="shared" ref="BU66:BX71" si="78">BI66-AM66</f>
        <v>8332.9199999999837</v>
      </c>
      <c r="BV66" s="398">
        <f t="shared" si="78"/>
        <v>-13853.470000000001</v>
      </c>
      <c r="BW66" s="398">
        <f t="shared" si="78"/>
        <v>7584.1399999999994</v>
      </c>
      <c r="BX66" s="398">
        <f t="shared" si="78"/>
        <v>18698.059999999998</v>
      </c>
      <c r="BY66" s="398">
        <f t="shared" ref="BY66:BY71" si="79">BM66-AQ66</f>
        <v>49227.93</v>
      </c>
      <c r="BZ66" s="398">
        <f t="shared" ref="BZ66:BZ71" si="80">BN66-AR66</f>
        <v>16535.22</v>
      </c>
      <c r="CA66" s="398">
        <f t="shared" ref="CA66:CA71" si="81">BO66-AS66</f>
        <v>1413.62</v>
      </c>
      <c r="CB66" s="278"/>
      <c r="CC66" s="391"/>
    </row>
    <row r="67" spans="1:81" x14ac:dyDescent="0.25">
      <c r="A67" s="572" t="s">
        <v>36</v>
      </c>
      <c r="B67" s="140">
        <v>15234.65</v>
      </c>
      <c r="C67" s="142">
        <v>2199.38</v>
      </c>
      <c r="D67" s="142">
        <v>1398.46</v>
      </c>
      <c r="E67" s="144">
        <v>-3308.27</v>
      </c>
      <c r="F67" s="144">
        <v>-4629.87</v>
      </c>
      <c r="G67" s="144">
        <v>-5291.7</v>
      </c>
      <c r="H67" s="144">
        <v>-5288.9</v>
      </c>
      <c r="I67" s="144">
        <v>-3771.79</v>
      </c>
      <c r="J67" s="144">
        <v>-2991.12</v>
      </c>
      <c r="K67" s="140">
        <v>3761.68</v>
      </c>
      <c r="L67" s="135">
        <v>7936.96</v>
      </c>
      <c r="M67" s="142">
        <v>1247.21</v>
      </c>
      <c r="N67" s="142">
        <v>4319.03</v>
      </c>
      <c r="O67" s="142">
        <v>1848.27</v>
      </c>
      <c r="P67" s="142">
        <v>5341.64</v>
      </c>
      <c r="Q67" s="142">
        <v>4213.25</v>
      </c>
      <c r="R67" s="142">
        <v>5399.06</v>
      </c>
      <c r="S67" s="142">
        <v>1990.12</v>
      </c>
      <c r="T67" s="132">
        <v>259.23</v>
      </c>
      <c r="U67" s="162">
        <v>1841.57</v>
      </c>
      <c r="V67" s="161">
        <v>2278.35</v>
      </c>
      <c r="W67" s="161">
        <v>7957.3</v>
      </c>
      <c r="X67" s="192">
        <v>16017.82</v>
      </c>
      <c r="Y67" s="192">
        <v>14534.85</v>
      </c>
      <c r="Z67" s="192">
        <v>17680.77</v>
      </c>
      <c r="AA67" s="192">
        <v>3230.09</v>
      </c>
      <c r="AB67" s="192">
        <v>4146.55</v>
      </c>
      <c r="AC67" s="240">
        <f>SUM(AC46,AC53,AC60)</f>
        <v>-3428.55</v>
      </c>
      <c r="AD67" s="192">
        <v>230.43</v>
      </c>
      <c r="AE67" s="245">
        <v>-2538.7199999999998</v>
      </c>
      <c r="AF67" s="245">
        <v>-6785.89</v>
      </c>
      <c r="AG67" s="260">
        <v>-5353.91</v>
      </c>
      <c r="AH67" s="264">
        <v>-1099.6300000000001</v>
      </c>
      <c r="AI67" s="312">
        <v>979.68</v>
      </c>
      <c r="AJ67" s="265">
        <f t="shared" ref="AJ67:AM68" si="82">SUM(AJ46+AJ53+AJ60)</f>
        <v>83.299999999999727</v>
      </c>
      <c r="AK67" s="265">
        <f t="shared" si="82"/>
        <v>524.13000000000011</v>
      </c>
      <c r="AL67" s="265">
        <f t="shared" si="82"/>
        <v>10911.78</v>
      </c>
      <c r="AM67" s="265">
        <f t="shared" si="82"/>
        <v>12371.009999999998</v>
      </c>
      <c r="AN67" s="265">
        <v>14547.61</v>
      </c>
      <c r="AO67" s="334">
        <v>-8907.94</v>
      </c>
      <c r="AP67" s="334">
        <v>-14965.54</v>
      </c>
      <c r="AQ67" s="334">
        <v>-21558.43</v>
      </c>
      <c r="AR67" s="334">
        <v>-26110.1</v>
      </c>
      <c r="AS67" s="334">
        <v>-26409.77</v>
      </c>
      <c r="AT67" s="334">
        <v>-14568.76</v>
      </c>
      <c r="AU67" s="158">
        <v>-2429.92</v>
      </c>
      <c r="AV67" s="136"/>
      <c r="AW67" s="136"/>
      <c r="AX67" s="136"/>
      <c r="AY67" s="136"/>
      <c r="AZ67" s="136"/>
      <c r="BA67" s="53"/>
      <c r="BB67" s="112"/>
      <c r="BC67" s="70"/>
      <c r="BD67" s="71"/>
      <c r="BE67" s="112"/>
      <c r="BF67" s="421">
        <f t="shared" si="74"/>
        <v>10436.59</v>
      </c>
      <c r="BG67" s="421">
        <f t="shared" si="74"/>
        <v>5165.46</v>
      </c>
      <c r="BH67" s="421">
        <f t="shared" si="74"/>
        <v>13255.7</v>
      </c>
      <c r="BI67" s="421">
        <f t="shared" si="74"/>
        <v>5440.73</v>
      </c>
      <c r="BJ67" s="399">
        <v>4176.3999999999996</v>
      </c>
      <c r="BK67" s="398">
        <v>-17.8700000000008</v>
      </c>
      <c r="BL67" s="421">
        <v>-3739.54</v>
      </c>
      <c r="BM67" s="399">
        <v>-6675.71</v>
      </c>
      <c r="BN67" s="567">
        <v>-11101.81</v>
      </c>
      <c r="BO67" s="567">
        <v>0</v>
      </c>
      <c r="BP67" s="567"/>
      <c r="BQ67" s="400"/>
      <c r="BR67" s="463">
        <f t="shared" si="75"/>
        <v>10353.290000000001</v>
      </c>
      <c r="BS67" s="398">
        <f t="shared" si="76"/>
        <v>4641.33</v>
      </c>
      <c r="BT67" s="398">
        <f t="shared" si="77"/>
        <v>2343.92</v>
      </c>
      <c r="BU67" s="398">
        <f t="shared" si="78"/>
        <v>-6930.2799999999988</v>
      </c>
      <c r="BV67" s="398">
        <f t="shared" si="78"/>
        <v>-10371.210000000001</v>
      </c>
      <c r="BW67" s="398">
        <f t="shared" si="78"/>
        <v>8890.07</v>
      </c>
      <c r="BX67" s="398">
        <f t="shared" si="78"/>
        <v>11226</v>
      </c>
      <c r="BY67" s="398">
        <f t="shared" si="79"/>
        <v>14882.720000000001</v>
      </c>
      <c r="BZ67" s="398">
        <f t="shared" si="80"/>
        <v>15008.289999999999</v>
      </c>
      <c r="CA67" s="398">
        <f t="shared" si="81"/>
        <v>26409.77</v>
      </c>
      <c r="CB67" s="278"/>
      <c r="CC67" s="391"/>
    </row>
    <row r="68" spans="1:81" x14ac:dyDescent="0.25">
      <c r="A68" s="572" t="s">
        <v>37</v>
      </c>
      <c r="B68" s="140">
        <v>11692.34</v>
      </c>
      <c r="C68" s="142">
        <v>2846.31</v>
      </c>
      <c r="D68" s="142">
        <v>6735.68</v>
      </c>
      <c r="E68" s="142">
        <v>1512.67</v>
      </c>
      <c r="F68" s="142">
        <v>2228.2800000000002</v>
      </c>
      <c r="G68" s="142">
        <v>2575.31</v>
      </c>
      <c r="H68" s="144">
        <v>-7566.37</v>
      </c>
      <c r="I68" s="144">
        <v>-3461.79</v>
      </c>
      <c r="J68" s="144">
        <v>-4739.74</v>
      </c>
      <c r="K68" s="140">
        <v>1222.1600000000001</v>
      </c>
      <c r="L68" s="135">
        <v>8359.98</v>
      </c>
      <c r="M68" s="144">
        <v>-3679.27</v>
      </c>
      <c r="N68" s="142">
        <v>5419.03</v>
      </c>
      <c r="O68" s="144">
        <v>-388.65</v>
      </c>
      <c r="P68" s="142">
        <v>11453.58</v>
      </c>
      <c r="Q68" s="142">
        <v>5136.1000000000004</v>
      </c>
      <c r="R68" s="142">
        <v>1721.52</v>
      </c>
      <c r="S68" s="142">
        <v>1889.44</v>
      </c>
      <c r="T68" s="245">
        <v>-2537.4499999999998</v>
      </c>
      <c r="U68" s="162">
        <v>2827.3</v>
      </c>
      <c r="V68" s="202">
        <v>-3947.53</v>
      </c>
      <c r="W68" s="161">
        <v>1193.8699999999999</v>
      </c>
      <c r="X68" s="192">
        <v>14522.41</v>
      </c>
      <c r="Y68" s="158">
        <v>-1308.1099999999999</v>
      </c>
      <c r="Z68" s="192">
        <v>28217.23</v>
      </c>
      <c r="AA68" s="192">
        <v>7450.49</v>
      </c>
      <c r="AB68" s="158">
        <v>-5922.68</v>
      </c>
      <c r="AC68" s="240">
        <f>SUM(AC47,AC54,AC61)</f>
        <v>-4597.59</v>
      </c>
      <c r="AD68" s="158">
        <v>-7248.49</v>
      </c>
      <c r="AE68" s="245">
        <v>-5378.28</v>
      </c>
      <c r="AF68" s="245">
        <v>-6769.15</v>
      </c>
      <c r="AG68" s="260">
        <v>-4835.5</v>
      </c>
      <c r="AH68" s="264">
        <v>-5388.62</v>
      </c>
      <c r="AI68" s="312">
        <v>27233.84</v>
      </c>
      <c r="AJ68" s="265">
        <f t="shared" si="82"/>
        <v>5956.34</v>
      </c>
      <c r="AK68" s="265">
        <f t="shared" si="82"/>
        <v>-43.7199999999998</v>
      </c>
      <c r="AL68" s="265">
        <f t="shared" si="82"/>
        <v>7862.6999999999989</v>
      </c>
      <c r="AM68" s="265">
        <f t="shared" si="82"/>
        <v>-356.95999999999958</v>
      </c>
      <c r="AN68" s="265">
        <v>31424.99</v>
      </c>
      <c r="AO68" s="265">
        <v>4083.84</v>
      </c>
      <c r="AP68" s="265">
        <v>7276.42</v>
      </c>
      <c r="AQ68" s="334">
        <v>-3962.92</v>
      </c>
      <c r="AR68" s="334">
        <v>-4809.28</v>
      </c>
      <c r="AS68" s="334">
        <v>-1247.17</v>
      </c>
      <c r="AT68" s="334">
        <v>-5348.05</v>
      </c>
      <c r="AU68" s="192">
        <v>11048.21</v>
      </c>
      <c r="AV68" s="136"/>
      <c r="AW68" s="136"/>
      <c r="AX68" s="136"/>
      <c r="AY68" s="136"/>
      <c r="AZ68" s="136"/>
      <c r="BA68" s="53"/>
      <c r="BB68" s="112"/>
      <c r="BC68" s="70"/>
      <c r="BD68" s="71"/>
      <c r="BE68" s="112"/>
      <c r="BF68" s="421">
        <f t="shared" si="74"/>
        <v>19992.019999999997</v>
      </c>
      <c r="BG68" s="421">
        <f t="shared" si="74"/>
        <v>1211.3800000000001</v>
      </c>
      <c r="BH68" s="421">
        <f t="shared" si="74"/>
        <v>11922.089999999998</v>
      </c>
      <c r="BI68" s="421">
        <f t="shared" si="74"/>
        <v>4894.7900000000009</v>
      </c>
      <c r="BJ68" s="399">
        <v>17585.03</v>
      </c>
      <c r="BK68" s="398">
        <v>1180.92</v>
      </c>
      <c r="BL68" s="399">
        <v>5342.13</v>
      </c>
      <c r="BM68" s="399">
        <v>15401.38</v>
      </c>
      <c r="BN68" s="567">
        <v>-4912.96</v>
      </c>
      <c r="BO68" s="567">
        <v>0</v>
      </c>
      <c r="BP68" s="567"/>
      <c r="BQ68" s="400"/>
      <c r="BR68" s="463">
        <f t="shared" si="75"/>
        <v>14035.679999999997</v>
      </c>
      <c r="BS68" s="398">
        <f t="shared" si="76"/>
        <v>1255.0999999999999</v>
      </c>
      <c r="BT68" s="398">
        <f t="shared" si="77"/>
        <v>4059.3899999999994</v>
      </c>
      <c r="BU68" s="398">
        <f t="shared" si="78"/>
        <v>5251.75</v>
      </c>
      <c r="BV68" s="398">
        <f t="shared" si="78"/>
        <v>-13839.960000000003</v>
      </c>
      <c r="BW68" s="398">
        <f t="shared" si="78"/>
        <v>-2902.92</v>
      </c>
      <c r="BX68" s="398">
        <f t="shared" si="78"/>
        <v>-1934.29</v>
      </c>
      <c r="BY68" s="398">
        <f t="shared" si="79"/>
        <v>19364.3</v>
      </c>
      <c r="BZ68" s="398">
        <f t="shared" si="80"/>
        <v>-103.68000000000029</v>
      </c>
      <c r="CA68" s="398">
        <f t="shared" si="81"/>
        <v>1247.17</v>
      </c>
      <c r="CB68" s="278"/>
      <c r="CC68" s="391"/>
    </row>
    <row r="69" spans="1:81" x14ac:dyDescent="0.25">
      <c r="A69" s="572" t="s">
        <v>38</v>
      </c>
      <c r="B69" s="140"/>
      <c r="C69" s="142"/>
      <c r="D69" s="142"/>
      <c r="E69" s="142"/>
      <c r="F69" s="142"/>
      <c r="G69" s="142"/>
      <c r="H69" s="142"/>
      <c r="I69" s="142"/>
      <c r="J69" s="142"/>
      <c r="K69" s="140"/>
      <c r="L69" s="135"/>
      <c r="M69" s="142"/>
      <c r="N69" s="142"/>
      <c r="O69" s="142"/>
      <c r="P69" s="142"/>
      <c r="Q69" s="142"/>
      <c r="R69" s="142"/>
      <c r="S69" s="142"/>
      <c r="T69" s="132"/>
      <c r="U69" s="162"/>
      <c r="V69" s="161"/>
      <c r="W69" s="161"/>
      <c r="X69" s="192"/>
      <c r="Y69" s="173"/>
      <c r="Z69" s="173"/>
      <c r="AC69" s="2"/>
      <c r="AG69" s="256"/>
      <c r="AI69" s="312"/>
      <c r="AJ69" s="265"/>
      <c r="AK69" s="265"/>
      <c r="AL69" s="265"/>
      <c r="AM69" s="265"/>
      <c r="AN69" s="265"/>
      <c r="AO69" s="265"/>
      <c r="AP69" s="265"/>
      <c r="AQ69" s="265"/>
      <c r="AR69" s="265"/>
      <c r="AS69" s="265"/>
      <c r="AT69" s="265">
        <v>0</v>
      </c>
      <c r="AU69" s="328"/>
      <c r="AV69" s="136"/>
      <c r="AW69" s="136"/>
      <c r="AX69" s="136"/>
      <c r="AY69" s="136"/>
      <c r="AZ69" s="136"/>
      <c r="BA69" s="53"/>
      <c r="BB69" s="112"/>
      <c r="BC69" s="70"/>
      <c r="BD69" s="71"/>
      <c r="BE69" s="112"/>
      <c r="BF69" s="565"/>
      <c r="BG69" s="421"/>
      <c r="BH69" s="421"/>
      <c r="BI69" s="566"/>
      <c r="BJ69" s="578"/>
      <c r="BK69" s="398"/>
      <c r="BL69" s="398"/>
      <c r="BM69" s="578"/>
      <c r="BN69" s="398"/>
      <c r="BO69" s="421">
        <v>0</v>
      </c>
      <c r="BP69" s="398"/>
      <c r="BQ69" s="400"/>
      <c r="BR69" s="463">
        <f t="shared" si="75"/>
        <v>0</v>
      </c>
      <c r="BS69" s="398">
        <f t="shared" si="76"/>
        <v>0</v>
      </c>
      <c r="BT69" s="398">
        <f t="shared" si="77"/>
        <v>0</v>
      </c>
      <c r="BU69" s="398">
        <f t="shared" si="78"/>
        <v>0</v>
      </c>
      <c r="BV69" s="398">
        <f t="shared" si="78"/>
        <v>0</v>
      </c>
      <c r="BW69" s="398">
        <f t="shared" si="78"/>
        <v>0</v>
      </c>
      <c r="BX69" s="398">
        <f t="shared" si="78"/>
        <v>0</v>
      </c>
      <c r="BY69" s="398">
        <f t="shared" si="79"/>
        <v>0</v>
      </c>
      <c r="BZ69" s="398">
        <f t="shared" si="80"/>
        <v>0</v>
      </c>
      <c r="CA69" s="398">
        <f t="shared" si="81"/>
        <v>0</v>
      </c>
      <c r="CB69" s="278"/>
      <c r="CC69" s="391"/>
    </row>
    <row r="70" spans="1:81" x14ac:dyDescent="0.25">
      <c r="A70" s="572" t="s">
        <v>47</v>
      </c>
      <c r="B70" s="140"/>
      <c r="C70" s="142"/>
      <c r="D70" s="142"/>
      <c r="E70" s="142"/>
      <c r="F70" s="142"/>
      <c r="G70" s="142"/>
      <c r="H70" s="142"/>
      <c r="I70" s="142"/>
      <c r="J70" s="142"/>
      <c r="K70" s="140"/>
      <c r="L70" s="135"/>
      <c r="M70" s="142"/>
      <c r="N70" s="142"/>
      <c r="O70" s="142"/>
      <c r="P70" s="142"/>
      <c r="Q70" s="142"/>
      <c r="R70" s="142"/>
      <c r="S70" s="142"/>
      <c r="T70" s="132"/>
      <c r="U70" s="162"/>
      <c r="V70" s="161"/>
      <c r="W70" s="161"/>
      <c r="X70" s="192"/>
      <c r="Y70" s="173"/>
      <c r="Z70" s="173"/>
      <c r="AC70" s="2"/>
      <c r="AG70" s="256"/>
      <c r="AI70" s="310"/>
      <c r="AT70" s="334">
        <v>0</v>
      </c>
      <c r="AU70" s="327"/>
      <c r="AV70" s="136"/>
      <c r="AW70" s="136"/>
      <c r="AX70" s="136"/>
      <c r="AY70" s="136"/>
      <c r="AZ70" s="136"/>
      <c r="BA70" s="53"/>
      <c r="BB70" s="112"/>
      <c r="BC70" s="70"/>
      <c r="BD70" s="71"/>
      <c r="BE70" s="112"/>
      <c r="BF70" s="565"/>
      <c r="BG70" s="421"/>
      <c r="BH70" s="421"/>
      <c r="BI70" s="566"/>
      <c r="BJ70" s="578"/>
      <c r="BK70" s="398"/>
      <c r="BL70" s="398"/>
      <c r="BM70" s="578"/>
      <c r="BN70" s="398"/>
      <c r="BO70" s="421">
        <v>0</v>
      </c>
      <c r="BP70" s="398"/>
      <c r="BQ70" s="400"/>
      <c r="BR70" s="463">
        <f t="shared" si="75"/>
        <v>0</v>
      </c>
      <c r="BS70" s="398">
        <f t="shared" si="76"/>
        <v>0</v>
      </c>
      <c r="BT70" s="398">
        <f t="shared" si="77"/>
        <v>0</v>
      </c>
      <c r="BU70" s="398">
        <f t="shared" si="78"/>
        <v>0</v>
      </c>
      <c r="BV70" s="398">
        <f t="shared" si="78"/>
        <v>0</v>
      </c>
      <c r="BW70" s="398">
        <f t="shared" si="78"/>
        <v>0</v>
      </c>
      <c r="BX70" s="398">
        <f t="shared" si="78"/>
        <v>0</v>
      </c>
      <c r="BY70" s="398">
        <f t="shared" si="79"/>
        <v>0</v>
      </c>
      <c r="BZ70" s="398">
        <f t="shared" si="80"/>
        <v>0</v>
      </c>
      <c r="CA70" s="398">
        <f t="shared" si="81"/>
        <v>0</v>
      </c>
      <c r="CB70" s="278"/>
      <c r="CC70" s="391"/>
    </row>
    <row r="71" spans="1:81" ht="15.75" thickBot="1" x14ac:dyDescent="0.3">
      <c r="A71" s="574" t="s">
        <v>40</v>
      </c>
      <c r="B71" s="291">
        <f t="shared" ref="B71:BE71" si="83">SUM(B66:B70)</f>
        <v>174566.78</v>
      </c>
      <c r="C71" s="145">
        <f t="shared" si="83"/>
        <v>55492.42</v>
      </c>
      <c r="D71" s="145">
        <f t="shared" si="83"/>
        <v>108272.46000000002</v>
      </c>
      <c r="E71" s="145">
        <f t="shared" si="83"/>
        <v>35924.01</v>
      </c>
      <c r="F71" s="145">
        <f t="shared" si="83"/>
        <v>25737.51</v>
      </c>
      <c r="G71" s="145">
        <f t="shared" si="83"/>
        <v>13438.659999999998</v>
      </c>
      <c r="H71" s="146">
        <f t="shared" si="83"/>
        <v>-11185.96</v>
      </c>
      <c r="I71" s="146">
        <f t="shared" si="83"/>
        <v>-2446.12</v>
      </c>
      <c r="J71" s="146">
        <f t="shared" si="83"/>
        <v>-7318.3499999999995</v>
      </c>
      <c r="K71" s="145">
        <f t="shared" si="83"/>
        <v>33297.630000000005</v>
      </c>
      <c r="L71" s="145">
        <f t="shared" si="83"/>
        <v>54031.34</v>
      </c>
      <c r="M71" s="145">
        <f t="shared" si="83"/>
        <v>6901.369999999999</v>
      </c>
      <c r="N71" s="145">
        <f t="shared" si="83"/>
        <v>89319.679999999993</v>
      </c>
      <c r="O71" s="145">
        <f t="shared" si="83"/>
        <v>38267.279999999999</v>
      </c>
      <c r="P71" s="145">
        <f t="shared" si="83"/>
        <v>100605.6</v>
      </c>
      <c r="Q71" s="145">
        <f t="shared" si="83"/>
        <v>65230.17</v>
      </c>
      <c r="R71" s="145">
        <f t="shared" si="83"/>
        <v>59670.789999999994</v>
      </c>
      <c r="S71" s="145">
        <f t="shared" si="83"/>
        <v>45913.05</v>
      </c>
      <c r="T71" s="145">
        <f t="shared" si="83"/>
        <v>19675.349999999999</v>
      </c>
      <c r="U71" s="291">
        <f t="shared" si="83"/>
        <v>27932.829999999998</v>
      </c>
      <c r="V71" s="145">
        <f t="shared" si="83"/>
        <v>16956.55</v>
      </c>
      <c r="W71" s="145">
        <f t="shared" si="83"/>
        <v>60191.790000000008</v>
      </c>
      <c r="X71" s="145">
        <f t="shared" ref="X71:AG71" si="84">SUM(X66:X70)</f>
        <v>118702.26000000001</v>
      </c>
      <c r="Y71" s="145">
        <f t="shared" si="84"/>
        <v>69416.19</v>
      </c>
      <c r="Z71" s="145">
        <f t="shared" si="84"/>
        <v>194506.05</v>
      </c>
      <c r="AA71" s="145">
        <f t="shared" si="84"/>
        <v>69306.02</v>
      </c>
      <c r="AB71" s="145">
        <f t="shared" si="84"/>
        <v>85611.290000000008</v>
      </c>
      <c r="AC71" s="145">
        <f t="shared" si="84"/>
        <v>82166.33</v>
      </c>
      <c r="AD71" s="145">
        <f t="shared" si="84"/>
        <v>28464.740000000005</v>
      </c>
      <c r="AE71" s="145">
        <f t="shared" si="84"/>
        <v>24821.01</v>
      </c>
      <c r="AF71" s="146">
        <f t="shared" si="84"/>
        <v>-13562.73</v>
      </c>
      <c r="AG71" s="146">
        <f t="shared" si="84"/>
        <v>-9872.3499999999985</v>
      </c>
      <c r="AH71">
        <v>-7364.13</v>
      </c>
      <c r="AI71" s="314">
        <f>SUM(AI66:AI70)</f>
        <v>72253.97</v>
      </c>
      <c r="AJ71" s="267">
        <f>SUM(AJ66:AJ70)</f>
        <v>74214.63</v>
      </c>
      <c r="AK71" s="267">
        <f>SUM(AK66:AK70)</f>
        <v>29206.03</v>
      </c>
      <c r="AL71" s="267">
        <f>SUM(AL66:AL70)</f>
        <v>181462.33</v>
      </c>
      <c r="AM71" s="267">
        <f>SUM(AM66:AM70)</f>
        <v>83708.739999999991</v>
      </c>
      <c r="AN71" s="267">
        <v>181332.85</v>
      </c>
      <c r="AO71" s="267">
        <v>52322.06</v>
      </c>
      <c r="AP71" s="267">
        <v>46428.27</v>
      </c>
      <c r="AQ71" s="267">
        <v>8724.58</v>
      </c>
      <c r="AR71" s="197">
        <v>-36297.61</v>
      </c>
      <c r="AS71" s="197">
        <v>-29070.560000000001</v>
      </c>
      <c r="AT71" s="197">
        <v>-27996.37</v>
      </c>
      <c r="AU71" s="329">
        <v>79152.66</v>
      </c>
      <c r="AV71" s="291">
        <f t="shared" si="83"/>
        <v>0</v>
      </c>
      <c r="AW71" s="145">
        <f t="shared" si="83"/>
        <v>0</v>
      </c>
      <c r="AX71" s="145">
        <f t="shared" si="83"/>
        <v>0</v>
      </c>
      <c r="AY71" s="145">
        <f t="shared" si="83"/>
        <v>0</v>
      </c>
      <c r="AZ71" s="145">
        <f t="shared" si="83"/>
        <v>0</v>
      </c>
      <c r="BA71" s="145">
        <f t="shared" si="83"/>
        <v>0</v>
      </c>
      <c r="BB71" s="145">
        <f t="shared" si="83"/>
        <v>0</v>
      </c>
      <c r="BC71" s="291">
        <f t="shared" si="83"/>
        <v>0</v>
      </c>
      <c r="BD71" s="291">
        <f t="shared" si="83"/>
        <v>0</v>
      </c>
      <c r="BE71" s="145">
        <f t="shared" si="83"/>
        <v>0</v>
      </c>
      <c r="BF71" s="464">
        <f>SUM(BF66:BF68)</f>
        <v>131924.45000000001</v>
      </c>
      <c r="BG71" s="399">
        <f>SUM(BG66:BG70)</f>
        <v>43507.489999999991</v>
      </c>
      <c r="BH71" s="399">
        <f>SUM(BH66:BH70)</f>
        <v>161020.94000000003</v>
      </c>
      <c r="BI71" s="399">
        <f>SUM(BI66:BI70)</f>
        <v>90363.129999999976</v>
      </c>
      <c r="BJ71" s="399">
        <f>SUM(BJ66:BJ70)</f>
        <v>143268.21</v>
      </c>
      <c r="BK71" s="399">
        <f>SUM(BK66:BK70)</f>
        <v>65893.350000000006</v>
      </c>
      <c r="BL71" s="399">
        <v>74418.039999999994</v>
      </c>
      <c r="BM71" s="399">
        <v>92199.53</v>
      </c>
      <c r="BN71" s="567">
        <v>-4857.78</v>
      </c>
      <c r="BO71" s="567">
        <v>0</v>
      </c>
      <c r="BP71" s="398"/>
      <c r="BQ71" s="400"/>
      <c r="BR71" s="463">
        <f t="shared" si="75"/>
        <v>57709.820000000007</v>
      </c>
      <c r="BS71" s="398">
        <f t="shared" si="76"/>
        <v>14301.459999999992</v>
      </c>
      <c r="BT71" s="398">
        <f t="shared" si="77"/>
        <v>-20441.389999999956</v>
      </c>
      <c r="BU71" s="398">
        <f t="shared" si="78"/>
        <v>6654.3899999999849</v>
      </c>
      <c r="BV71" s="398">
        <f t="shared" si="78"/>
        <v>-38064.640000000014</v>
      </c>
      <c r="BW71" s="398">
        <f t="shared" si="78"/>
        <v>13571.290000000008</v>
      </c>
      <c r="BX71" s="398">
        <f t="shared" si="78"/>
        <v>27989.769999999997</v>
      </c>
      <c r="BY71" s="398">
        <f t="shared" si="79"/>
        <v>83474.95</v>
      </c>
      <c r="BZ71" s="398">
        <f t="shared" si="80"/>
        <v>31439.83</v>
      </c>
      <c r="CA71" s="398">
        <f t="shared" si="81"/>
        <v>29070.560000000001</v>
      </c>
      <c r="CB71" s="278"/>
      <c r="CC71" s="391"/>
    </row>
    <row r="72" spans="1:81" x14ac:dyDescent="0.25">
      <c r="A72" s="29" t="s">
        <v>32</v>
      </c>
      <c r="B72" s="84"/>
      <c r="C72" s="45"/>
      <c r="D72" s="45"/>
      <c r="E72" s="45"/>
      <c r="F72" s="45"/>
      <c r="G72" s="45"/>
      <c r="H72" s="45"/>
      <c r="I72" s="45"/>
      <c r="J72" s="45"/>
      <c r="K72" s="92"/>
      <c r="L72" s="45"/>
      <c r="M72" s="45"/>
      <c r="N72" s="45"/>
      <c r="O72" s="45"/>
      <c r="P72" s="45"/>
      <c r="Q72" s="45"/>
      <c r="R72" s="45"/>
      <c r="S72" s="45"/>
      <c r="T72" s="126"/>
      <c r="U72" s="126"/>
      <c r="V72" s="126"/>
      <c r="W72" s="126"/>
      <c r="X72" s="192"/>
      <c r="Y72" s="173"/>
      <c r="Z72" s="173"/>
      <c r="AC72" s="2"/>
      <c r="AG72" s="256"/>
      <c r="AI72" s="310"/>
      <c r="AQ72" s="337"/>
      <c r="AU72" s="327"/>
      <c r="AV72" s="45"/>
      <c r="AW72" s="45"/>
      <c r="AX72" s="45"/>
      <c r="AY72" s="45"/>
      <c r="AZ72" s="45"/>
      <c r="BA72" s="45"/>
      <c r="BB72" s="113"/>
      <c r="BC72" s="123"/>
      <c r="BD72" s="203"/>
      <c r="BE72" s="203"/>
      <c r="BF72" s="492"/>
      <c r="BG72" s="473"/>
      <c r="BH72" s="473"/>
      <c r="BI72" s="474"/>
      <c r="BJ72" s="475"/>
      <c r="BK72" s="388"/>
      <c r="BL72" s="475"/>
      <c r="BM72" s="585"/>
      <c r="BN72" s="475"/>
      <c r="BO72" s="476"/>
      <c r="BP72" s="475"/>
      <c r="BQ72" s="477"/>
      <c r="BR72" s="459"/>
      <c r="BS72" s="388"/>
      <c r="BT72" s="388"/>
      <c r="BU72" s="388"/>
      <c r="BV72" s="388"/>
      <c r="BW72" s="388"/>
      <c r="BX72" s="388"/>
      <c r="BY72" s="388"/>
      <c r="BZ72" s="388"/>
      <c r="CA72" s="388"/>
      <c r="CB72" s="388"/>
      <c r="CC72" s="389"/>
    </row>
    <row r="73" spans="1:81" x14ac:dyDescent="0.25">
      <c r="A73" s="24" t="s">
        <v>35</v>
      </c>
      <c r="B73" s="135">
        <v>290184.34999999998</v>
      </c>
      <c r="C73" s="136">
        <v>173694.58</v>
      </c>
      <c r="D73" s="271">
        <v>93046.57</v>
      </c>
      <c r="E73" s="271">
        <v>56249.74</v>
      </c>
      <c r="F73" s="136">
        <v>50714.32</v>
      </c>
      <c r="G73" s="136">
        <v>53585.19</v>
      </c>
      <c r="H73" s="136">
        <v>53876.92</v>
      </c>
      <c r="I73" s="136">
        <v>95539.76</v>
      </c>
      <c r="J73" s="136">
        <v>183309.73</v>
      </c>
      <c r="K73" s="138">
        <v>278139.59999999998</v>
      </c>
      <c r="L73" s="136">
        <v>323987.03999999998</v>
      </c>
      <c r="M73" s="136">
        <v>272058.15999999997</v>
      </c>
      <c r="N73" s="136">
        <v>226857.71</v>
      </c>
      <c r="O73" s="136">
        <v>193932.69</v>
      </c>
      <c r="P73" s="136">
        <v>91233.32</v>
      </c>
      <c r="Q73" s="136">
        <v>60391.040000000001</v>
      </c>
      <c r="R73" s="136">
        <v>49442.95</v>
      </c>
      <c r="S73" s="136">
        <v>49130.43</v>
      </c>
      <c r="T73" s="140">
        <v>66041.929999999993</v>
      </c>
      <c r="U73" s="140">
        <v>79599.649999999994</v>
      </c>
      <c r="V73" s="140">
        <v>167766.9</v>
      </c>
      <c r="W73" s="140">
        <v>291304.71999999997</v>
      </c>
      <c r="X73" s="192">
        <v>253256.29</v>
      </c>
      <c r="Y73" s="192">
        <v>277329.28999999998</v>
      </c>
      <c r="Z73" s="136">
        <v>237118.31</v>
      </c>
      <c r="AA73" s="204">
        <v>146383.71</v>
      </c>
      <c r="AB73" s="204">
        <v>71337.87</v>
      </c>
      <c r="AC73" s="268">
        <v>58077.84</v>
      </c>
      <c r="AD73" s="269">
        <v>55990.71</v>
      </c>
      <c r="AE73" s="255">
        <v>47334.15</v>
      </c>
      <c r="AF73" s="254">
        <v>50591.7</v>
      </c>
      <c r="AG73" s="270">
        <v>67404.27</v>
      </c>
      <c r="AH73" s="254">
        <v>236095.46</v>
      </c>
      <c r="AI73" s="315">
        <v>320297.28999999998</v>
      </c>
      <c r="AJ73" s="332">
        <v>256214.899</v>
      </c>
      <c r="AK73" s="333">
        <v>217323.29</v>
      </c>
      <c r="AL73" s="173">
        <v>175340.38500000001</v>
      </c>
      <c r="AM73" s="173">
        <v>89117.35</v>
      </c>
      <c r="AN73" s="332">
        <v>54184.161999999997</v>
      </c>
      <c r="AO73" s="332">
        <v>32784.351999999999</v>
      </c>
      <c r="AP73" s="332">
        <v>23401.308000000001</v>
      </c>
      <c r="AQ73" s="332">
        <v>26641.548999999999</v>
      </c>
      <c r="AR73" s="254">
        <v>25946.735000000001</v>
      </c>
      <c r="AS73" s="333">
        <v>49149.294000000002</v>
      </c>
      <c r="AT73" s="192"/>
      <c r="AU73" s="173">
        <v>177927.76199999999</v>
      </c>
      <c r="AV73" s="136"/>
      <c r="AW73" s="136"/>
      <c r="AX73" s="136"/>
      <c r="AY73" s="136"/>
      <c r="AZ73" s="136"/>
      <c r="BA73" s="136"/>
      <c r="BB73" s="132"/>
      <c r="BC73" s="140"/>
      <c r="BD73" s="138"/>
      <c r="BE73" s="132"/>
      <c r="BF73" s="559">
        <v>165834.87899999999</v>
      </c>
      <c r="BG73" s="560">
        <v>158556.54699999999</v>
      </c>
      <c r="BH73" s="395">
        <v>180865.30100000001</v>
      </c>
      <c r="BI73" s="561">
        <v>78060.02</v>
      </c>
      <c r="BJ73" s="395">
        <v>46410.52</v>
      </c>
      <c r="BK73" s="395">
        <v>39448.339999999997</v>
      </c>
      <c r="BL73" s="395">
        <v>23307.27</v>
      </c>
      <c r="BM73" s="395">
        <v>24683.03</v>
      </c>
      <c r="BN73" s="560">
        <v>28667.62</v>
      </c>
      <c r="BO73" s="560">
        <f>1099+35632</f>
        <v>36731</v>
      </c>
      <c r="BP73" s="284"/>
      <c r="BQ73" s="493"/>
      <c r="BR73" s="460">
        <f t="shared" ref="BR73:BR78" si="85">BF73-AJ73</f>
        <v>-90380.020000000019</v>
      </c>
      <c r="BS73" s="394">
        <f t="shared" ref="BS73:BS78" si="86">BG73-AK73</f>
        <v>-58766.743000000017</v>
      </c>
      <c r="BT73" s="394">
        <f t="shared" ref="BT73:BT78" si="87">BH73-AL73</f>
        <v>5524.9159999999974</v>
      </c>
      <c r="BU73" s="394">
        <f t="shared" ref="BU73:BX78" si="88">BI73-AM73</f>
        <v>-11057.330000000002</v>
      </c>
      <c r="BV73" s="394">
        <f t="shared" si="88"/>
        <v>-7773.6419999999998</v>
      </c>
      <c r="BW73" s="394">
        <f t="shared" si="88"/>
        <v>6663.9879999999976</v>
      </c>
      <c r="BX73" s="394">
        <f t="shared" si="88"/>
        <v>-94.038000000000466</v>
      </c>
      <c r="BY73" s="394">
        <f t="shared" ref="BY73:BY78" si="89">BM73-AQ73</f>
        <v>-1958.5190000000002</v>
      </c>
      <c r="BZ73" s="394">
        <f t="shared" ref="BZ73:BZ78" si="90">BN73-AR73</f>
        <v>2720.8849999999984</v>
      </c>
      <c r="CA73" s="394">
        <f t="shared" ref="CA73:CA78" si="91">BO73-AS73</f>
        <v>-12418.294000000002</v>
      </c>
      <c r="CB73" s="278"/>
      <c r="CC73" s="391"/>
    </row>
    <row r="74" spans="1:81" x14ac:dyDescent="0.25">
      <c r="A74" s="24" t="s">
        <v>36</v>
      </c>
      <c r="B74" s="135">
        <v>13581.98</v>
      </c>
      <c r="C74" s="136">
        <v>9607</v>
      </c>
      <c r="D74" s="271">
        <v>5084.55</v>
      </c>
      <c r="E74" s="271">
        <v>2990.51</v>
      </c>
      <c r="F74" s="136">
        <v>2900.88</v>
      </c>
      <c r="G74" s="136">
        <v>2701.9</v>
      </c>
      <c r="H74" s="136">
        <v>2814.98</v>
      </c>
      <c r="I74" s="136">
        <v>5224</v>
      </c>
      <c r="J74" s="136">
        <v>9379.4599999999991</v>
      </c>
      <c r="K74" s="138">
        <v>12396.24</v>
      </c>
      <c r="L74" s="136">
        <v>15335.48</v>
      </c>
      <c r="M74" s="136">
        <v>13625.86</v>
      </c>
      <c r="N74" s="136">
        <v>12010.88</v>
      </c>
      <c r="O74" s="136">
        <v>11024.85</v>
      </c>
      <c r="P74" s="136">
        <v>5190.42</v>
      </c>
      <c r="Q74" s="136">
        <v>3362.07</v>
      </c>
      <c r="R74" s="136">
        <v>2822.99</v>
      </c>
      <c r="S74" s="136">
        <v>2821.47</v>
      </c>
      <c r="T74" s="140">
        <v>3612.95</v>
      </c>
      <c r="U74" s="140">
        <v>4452.34</v>
      </c>
      <c r="V74" s="140">
        <v>9473.7999999999993</v>
      </c>
      <c r="W74" s="140">
        <v>17007.11</v>
      </c>
      <c r="X74" s="192">
        <v>13016.44</v>
      </c>
      <c r="Y74" s="192">
        <v>15108.74</v>
      </c>
      <c r="Z74" s="136">
        <v>16438.900000000001</v>
      </c>
      <c r="AA74" s="204">
        <v>9157.2000000000007</v>
      </c>
      <c r="AB74" s="204">
        <v>3524.43</v>
      </c>
      <c r="AC74" s="268">
        <v>2682.02</v>
      </c>
      <c r="AD74" s="269">
        <v>2658.89</v>
      </c>
      <c r="AE74" s="255">
        <v>2369.4499999999998</v>
      </c>
      <c r="AF74" s="255">
        <v>2411.52</v>
      </c>
      <c r="AG74" s="270">
        <v>3410.11</v>
      </c>
      <c r="AH74" s="254">
        <v>11665.52</v>
      </c>
      <c r="AI74" s="315">
        <v>16182.17</v>
      </c>
      <c r="AJ74" s="332">
        <v>19400.583999999999</v>
      </c>
      <c r="AK74" s="173">
        <v>15011.36</v>
      </c>
      <c r="AL74" s="173">
        <v>12092.886</v>
      </c>
      <c r="AM74" s="173">
        <v>7126.2719999999999</v>
      </c>
      <c r="AN74" s="332">
        <v>4117.3180000000002</v>
      </c>
      <c r="AO74" s="332">
        <v>2488.5239999999999</v>
      </c>
      <c r="AP74" s="332">
        <v>1784.6690000000001</v>
      </c>
      <c r="AQ74" s="332">
        <v>2114.62</v>
      </c>
      <c r="AR74" s="254">
        <v>2116.248</v>
      </c>
      <c r="AS74" s="333">
        <v>3793.049</v>
      </c>
      <c r="AT74" s="192"/>
      <c r="AU74" s="173">
        <v>13893.525</v>
      </c>
      <c r="AV74" s="136"/>
      <c r="AW74" s="136"/>
      <c r="AX74" s="136"/>
      <c r="AY74" s="136"/>
      <c r="AZ74" s="136"/>
      <c r="BA74" s="136"/>
      <c r="BB74" s="132"/>
      <c r="BC74" s="140"/>
      <c r="BD74" s="138"/>
      <c r="BE74" s="132"/>
      <c r="BF74" s="559">
        <v>13703.432000000001</v>
      </c>
      <c r="BG74" s="560">
        <v>19962.54</v>
      </c>
      <c r="BH74" s="395">
        <v>139934.81</v>
      </c>
      <c r="BI74" s="561">
        <v>6728.09</v>
      </c>
      <c r="BJ74" s="395">
        <v>4044.43</v>
      </c>
      <c r="BK74" s="395">
        <v>3119.07</v>
      </c>
      <c r="BL74" s="395">
        <v>1896.05</v>
      </c>
      <c r="BM74" s="395">
        <v>2059.33</v>
      </c>
      <c r="BN74" s="560">
        <v>2355.7800000000002</v>
      </c>
      <c r="BO74" s="560">
        <f>7+3224</f>
        <v>3231</v>
      </c>
      <c r="BP74" s="284"/>
      <c r="BQ74" s="493"/>
      <c r="BR74" s="460">
        <f t="shared" si="85"/>
        <v>-5697.1519999999982</v>
      </c>
      <c r="BS74" s="394">
        <f t="shared" si="86"/>
        <v>4951.18</v>
      </c>
      <c r="BT74" s="394">
        <f t="shared" si="87"/>
        <v>127841.924</v>
      </c>
      <c r="BU74" s="394">
        <f t="shared" si="88"/>
        <v>-398.18199999999979</v>
      </c>
      <c r="BV74" s="394">
        <f t="shared" si="88"/>
        <v>-72.888000000000375</v>
      </c>
      <c r="BW74" s="394">
        <f t="shared" si="88"/>
        <v>630.54600000000028</v>
      </c>
      <c r="BX74" s="394">
        <f t="shared" si="88"/>
        <v>111.38099999999986</v>
      </c>
      <c r="BY74" s="394">
        <f t="shared" si="89"/>
        <v>-55.289999999999964</v>
      </c>
      <c r="BZ74" s="394">
        <f t="shared" si="90"/>
        <v>239.53200000000015</v>
      </c>
      <c r="CA74" s="394">
        <f t="shared" si="91"/>
        <v>-562.04899999999998</v>
      </c>
      <c r="CB74" s="278"/>
      <c r="CC74" s="391"/>
    </row>
    <row r="75" spans="1:81" x14ac:dyDescent="0.25">
      <c r="A75" s="24" t="s">
        <v>37</v>
      </c>
      <c r="B75" s="135">
        <v>122728.26</v>
      </c>
      <c r="C75" s="136">
        <v>72701.86</v>
      </c>
      <c r="D75" s="271">
        <v>34957.949999999997</v>
      </c>
      <c r="E75" s="271">
        <v>21340.31</v>
      </c>
      <c r="F75" s="136">
        <v>20201.32</v>
      </c>
      <c r="G75" s="136">
        <v>20183.310000000001</v>
      </c>
      <c r="H75" s="136">
        <v>19164.45</v>
      </c>
      <c r="I75" s="136">
        <v>30060.639999999999</v>
      </c>
      <c r="J75" s="136">
        <v>55659.15</v>
      </c>
      <c r="K75" s="138">
        <v>85962.240000000005</v>
      </c>
      <c r="L75" s="136">
        <v>102309.03</v>
      </c>
      <c r="M75" s="136">
        <v>84980.29</v>
      </c>
      <c r="N75" s="136">
        <v>66939.490000000005</v>
      </c>
      <c r="O75" s="136">
        <v>50102.51</v>
      </c>
      <c r="P75" s="136">
        <v>24313.599999999999</v>
      </c>
      <c r="Q75" s="136">
        <v>17206.419999999998</v>
      </c>
      <c r="R75" s="136">
        <v>15466.46</v>
      </c>
      <c r="S75" s="136">
        <v>15760.55</v>
      </c>
      <c r="T75" s="140">
        <v>21939.87</v>
      </c>
      <c r="U75" s="140">
        <v>23020.49</v>
      </c>
      <c r="V75" s="140">
        <v>47388.08</v>
      </c>
      <c r="W75" s="140">
        <v>85680.89</v>
      </c>
      <c r="X75" s="192">
        <v>68215.12</v>
      </c>
      <c r="Y75" s="192">
        <v>83690.14</v>
      </c>
      <c r="Z75" s="136">
        <v>63301.95</v>
      </c>
      <c r="AA75" s="204">
        <v>40791.980000000003</v>
      </c>
      <c r="AB75" s="204">
        <v>18920.13</v>
      </c>
      <c r="AC75" s="268">
        <v>15221.07</v>
      </c>
      <c r="AD75" s="269">
        <v>17570.64</v>
      </c>
      <c r="AE75" s="255">
        <v>14266.88</v>
      </c>
      <c r="AF75" s="255">
        <v>15524.4</v>
      </c>
      <c r="AG75" s="270">
        <v>26762.15</v>
      </c>
      <c r="AH75" s="254">
        <v>96507.37</v>
      </c>
      <c r="AI75" s="315">
        <v>137760.98000000001</v>
      </c>
      <c r="AJ75" s="332">
        <v>128726.53599999999</v>
      </c>
      <c r="AK75" s="173">
        <v>109992.235</v>
      </c>
      <c r="AL75" s="173">
        <v>90048.657000000007</v>
      </c>
      <c r="AM75" s="173">
        <v>45823.671000000002</v>
      </c>
      <c r="AN75" s="332">
        <v>27553.474999999999</v>
      </c>
      <c r="AO75" s="332">
        <v>16491.481</v>
      </c>
      <c r="AP75" s="332">
        <v>10550.883</v>
      </c>
      <c r="AQ75" s="332">
        <v>13284.092000000001</v>
      </c>
      <c r="AR75" s="254">
        <v>13721.393</v>
      </c>
      <c r="AS75" s="333">
        <v>25973.805</v>
      </c>
      <c r="AT75" s="192"/>
      <c r="AU75" s="173">
        <v>84547.764999999999</v>
      </c>
      <c r="AV75" s="136"/>
      <c r="AW75" s="136"/>
      <c r="AX75" s="136"/>
      <c r="AY75" s="136"/>
      <c r="AZ75" s="136"/>
      <c r="BA75" s="136"/>
      <c r="BB75" s="132"/>
      <c r="BC75" s="140"/>
      <c r="BD75" s="138"/>
      <c r="BE75" s="132"/>
      <c r="BF75" s="559">
        <v>81153.800600000002</v>
      </c>
      <c r="BG75" s="560">
        <v>77397.36</v>
      </c>
      <c r="BH75" s="395">
        <v>87604.682000000001</v>
      </c>
      <c r="BI75" s="561">
        <v>39979.85</v>
      </c>
      <c r="BJ75" s="395">
        <v>24383.1</v>
      </c>
      <c r="BK75" s="395">
        <v>19421.14</v>
      </c>
      <c r="BL75" s="395">
        <v>11441.31</v>
      </c>
      <c r="BM75" s="395">
        <v>12953.3</v>
      </c>
      <c r="BN75" s="560">
        <v>15185.45</v>
      </c>
      <c r="BO75" s="560">
        <f>2036+6589</f>
        <v>8625</v>
      </c>
      <c r="BP75" s="284"/>
      <c r="BQ75" s="493"/>
      <c r="BR75" s="460">
        <f t="shared" si="85"/>
        <v>-47572.73539999999</v>
      </c>
      <c r="BS75" s="394">
        <f t="shared" si="86"/>
        <v>-32594.875</v>
      </c>
      <c r="BT75" s="394">
        <f t="shared" si="87"/>
        <v>-2443.9750000000058</v>
      </c>
      <c r="BU75" s="394">
        <f t="shared" si="88"/>
        <v>-5843.8210000000036</v>
      </c>
      <c r="BV75" s="394">
        <f t="shared" si="88"/>
        <v>-3170.375</v>
      </c>
      <c r="BW75" s="394">
        <f t="shared" si="88"/>
        <v>2929.6589999999997</v>
      </c>
      <c r="BX75" s="394">
        <f t="shared" si="88"/>
        <v>890.42699999999968</v>
      </c>
      <c r="BY75" s="394">
        <f t="shared" si="89"/>
        <v>-330.79200000000128</v>
      </c>
      <c r="BZ75" s="394">
        <f t="shared" si="90"/>
        <v>1464.0570000000007</v>
      </c>
      <c r="CA75" s="394">
        <f t="shared" si="91"/>
        <v>-17348.805</v>
      </c>
      <c r="CB75" s="278"/>
      <c r="CC75" s="391"/>
    </row>
    <row r="76" spans="1:81" x14ac:dyDescent="0.25">
      <c r="A76" s="24" t="s">
        <v>38</v>
      </c>
      <c r="B76" s="135"/>
      <c r="C76" s="136"/>
      <c r="D76" s="136"/>
      <c r="E76" s="136"/>
      <c r="F76" s="136"/>
      <c r="G76" s="136"/>
      <c r="H76" s="136"/>
      <c r="I76" s="136"/>
      <c r="J76" s="136"/>
      <c r="K76" s="138"/>
      <c r="L76" s="136"/>
      <c r="M76" s="136"/>
      <c r="N76" s="136"/>
      <c r="O76" s="136"/>
      <c r="P76" s="136"/>
      <c r="Q76" s="136"/>
      <c r="R76" s="136"/>
      <c r="S76" s="136"/>
      <c r="T76" s="140"/>
      <c r="U76" s="140"/>
      <c r="V76" s="140"/>
      <c r="W76" s="140"/>
      <c r="X76" s="192"/>
      <c r="Y76" s="192"/>
      <c r="Z76" s="173"/>
      <c r="AC76" s="2"/>
      <c r="AE76" s="221"/>
      <c r="AF76" s="221"/>
      <c r="AG76" s="256"/>
      <c r="AH76" s="194"/>
      <c r="AI76" s="316"/>
      <c r="AJ76" s="332"/>
      <c r="AK76" s="192"/>
      <c r="AL76" s="192"/>
      <c r="AM76" s="192"/>
      <c r="AN76" s="332"/>
      <c r="AO76" s="332"/>
      <c r="AP76" s="332"/>
      <c r="AQ76" s="332"/>
      <c r="AR76" s="254"/>
      <c r="AS76" s="333"/>
      <c r="AT76" s="192"/>
      <c r="AU76" s="330"/>
      <c r="AV76" s="136"/>
      <c r="AW76" s="136"/>
      <c r="AX76" s="136"/>
      <c r="AY76" s="136"/>
      <c r="AZ76" s="136"/>
      <c r="BA76" s="136"/>
      <c r="BB76" s="132"/>
      <c r="BC76" s="140"/>
      <c r="BD76" s="138"/>
      <c r="BE76" s="132"/>
      <c r="BF76" s="559"/>
      <c r="BG76" s="560"/>
      <c r="BH76" s="560"/>
      <c r="BI76" s="562"/>
      <c r="BJ76" s="277"/>
      <c r="BK76" s="278"/>
      <c r="BL76" s="394"/>
      <c r="BM76" s="395"/>
      <c r="BN76" s="560"/>
      <c r="BO76" s="560">
        <f>4202+3474</f>
        <v>7676</v>
      </c>
      <c r="BP76" s="282"/>
      <c r="BQ76" s="494"/>
      <c r="BR76" s="460">
        <f t="shared" si="85"/>
        <v>0</v>
      </c>
      <c r="BS76" s="394">
        <f t="shared" si="86"/>
        <v>0</v>
      </c>
      <c r="BT76" s="394">
        <f t="shared" si="87"/>
        <v>0</v>
      </c>
      <c r="BU76" s="394">
        <f t="shared" si="88"/>
        <v>0</v>
      </c>
      <c r="BV76" s="394">
        <f t="shared" si="88"/>
        <v>0</v>
      </c>
      <c r="BW76" s="394">
        <f t="shared" si="88"/>
        <v>0</v>
      </c>
      <c r="BX76" s="394">
        <f t="shared" si="88"/>
        <v>0</v>
      </c>
      <c r="BY76" s="394">
        <f t="shared" si="89"/>
        <v>0</v>
      </c>
      <c r="BZ76" s="394">
        <f t="shared" si="90"/>
        <v>0</v>
      </c>
      <c r="CA76" s="394">
        <f t="shared" si="91"/>
        <v>7676</v>
      </c>
      <c r="CB76" s="278"/>
      <c r="CC76" s="391"/>
    </row>
    <row r="77" spans="1:81" x14ac:dyDescent="0.25">
      <c r="A77" s="24" t="s">
        <v>47</v>
      </c>
      <c r="B77" s="135">
        <v>18564.060000000001</v>
      </c>
      <c r="C77" s="136">
        <v>10474.629999999999</v>
      </c>
      <c r="D77" s="136">
        <v>3427.51</v>
      </c>
      <c r="E77" s="136">
        <v>161.21</v>
      </c>
      <c r="F77" s="136">
        <v>0</v>
      </c>
      <c r="G77" s="136">
        <v>0</v>
      </c>
      <c r="H77" s="136">
        <v>2098.12</v>
      </c>
      <c r="I77" s="136">
        <v>14756.12</v>
      </c>
      <c r="J77" s="136">
        <v>30843.78</v>
      </c>
      <c r="K77" s="138">
        <v>42691.92</v>
      </c>
      <c r="L77" s="136">
        <v>53813.94</v>
      </c>
      <c r="M77" s="136">
        <v>43902.54</v>
      </c>
      <c r="N77" s="136">
        <v>27816.73</v>
      </c>
      <c r="O77" s="136">
        <v>7830.5</v>
      </c>
      <c r="P77" s="136">
        <v>1629.11</v>
      </c>
      <c r="Q77" s="136">
        <v>1328.1</v>
      </c>
      <c r="R77" s="136">
        <v>177.39</v>
      </c>
      <c r="S77" s="136">
        <v>294.79000000000002</v>
      </c>
      <c r="T77" s="140">
        <v>1938.1</v>
      </c>
      <c r="U77" s="140">
        <v>10253.629999999999</v>
      </c>
      <c r="V77" s="140">
        <v>33068.550000000003</v>
      </c>
      <c r="W77" s="140">
        <v>54115.040000000001</v>
      </c>
      <c r="X77" s="192">
        <v>41575.24</v>
      </c>
      <c r="Y77" s="192">
        <v>31966.91</v>
      </c>
      <c r="Z77" s="192">
        <v>30607.439999999999</v>
      </c>
      <c r="AA77" s="204">
        <v>11936.19</v>
      </c>
      <c r="AB77" s="204">
        <v>14237.28</v>
      </c>
      <c r="AC77" s="241">
        <v>3238.48</v>
      </c>
      <c r="AD77" s="204">
        <v>297.26</v>
      </c>
      <c r="AE77" s="221">
        <v>361.45</v>
      </c>
      <c r="AF77" s="221">
        <v>1281.24</v>
      </c>
      <c r="AG77" s="256">
        <v>0</v>
      </c>
      <c r="AH77" s="194"/>
      <c r="AI77" s="316"/>
      <c r="AJ77" s="332"/>
      <c r="AK77" s="192"/>
      <c r="AL77" s="192"/>
      <c r="AM77" s="192"/>
      <c r="AN77" s="332"/>
      <c r="AO77" s="332"/>
      <c r="AP77" s="332"/>
      <c r="AQ77" s="332"/>
      <c r="AR77" s="254"/>
      <c r="AS77" s="333"/>
      <c r="AT77" s="192"/>
      <c r="AU77" s="330"/>
      <c r="AV77" s="136"/>
      <c r="AW77" s="136"/>
      <c r="AX77" s="136"/>
      <c r="AY77" s="136"/>
      <c r="AZ77" s="136"/>
      <c r="BA77" s="136"/>
      <c r="BB77" s="132"/>
      <c r="BC77" s="140"/>
      <c r="BD77" s="138"/>
      <c r="BE77" s="132"/>
      <c r="BF77" s="559"/>
      <c r="BG77" s="560"/>
      <c r="BH77" s="560"/>
      <c r="BI77" s="562"/>
      <c r="BJ77" s="241"/>
      <c r="BK77" s="241"/>
      <c r="BL77" s="395"/>
      <c r="BM77" s="395"/>
      <c r="BN77" s="560"/>
      <c r="BO77" s="560">
        <v>0</v>
      </c>
      <c r="BP77" s="282"/>
      <c r="BQ77" s="494"/>
      <c r="BR77" s="460">
        <f t="shared" si="85"/>
        <v>0</v>
      </c>
      <c r="BS77" s="394">
        <f t="shared" si="86"/>
        <v>0</v>
      </c>
      <c r="BT77" s="394">
        <f t="shared" si="87"/>
        <v>0</v>
      </c>
      <c r="BU77" s="394">
        <f t="shared" si="88"/>
        <v>0</v>
      </c>
      <c r="BV77" s="394">
        <f t="shared" si="88"/>
        <v>0</v>
      </c>
      <c r="BW77" s="394">
        <f t="shared" si="88"/>
        <v>0</v>
      </c>
      <c r="BX77" s="394">
        <f t="shared" si="88"/>
        <v>0</v>
      </c>
      <c r="BY77" s="394">
        <f t="shared" si="89"/>
        <v>0</v>
      </c>
      <c r="BZ77" s="394">
        <f t="shared" si="90"/>
        <v>0</v>
      </c>
      <c r="CA77" s="394">
        <f t="shared" si="91"/>
        <v>0</v>
      </c>
      <c r="CB77" s="278"/>
      <c r="CC77" s="391"/>
    </row>
    <row r="78" spans="1:81" x14ac:dyDescent="0.25">
      <c r="A78" s="24" t="s">
        <v>40</v>
      </c>
      <c r="B78" s="135">
        <f>SUM(B73:B77)</f>
        <v>445058.64999999997</v>
      </c>
      <c r="C78" s="135">
        <f t="shared" ref="C78:BE78" si="92">SUM(C73:C77)</f>
        <v>266478.07</v>
      </c>
      <c r="D78" s="135">
        <f t="shared" si="92"/>
        <v>136516.58000000002</v>
      </c>
      <c r="E78" s="135">
        <f t="shared" si="92"/>
        <v>80741.77</v>
      </c>
      <c r="F78" s="135">
        <f t="shared" si="92"/>
        <v>73816.51999999999</v>
      </c>
      <c r="G78" s="135">
        <f t="shared" si="92"/>
        <v>76470.400000000009</v>
      </c>
      <c r="H78" s="135">
        <f t="shared" si="92"/>
        <v>77954.47</v>
      </c>
      <c r="I78" s="135">
        <f t="shared" si="92"/>
        <v>145580.51999999999</v>
      </c>
      <c r="J78" s="135">
        <f t="shared" si="92"/>
        <v>279192.12</v>
      </c>
      <c r="K78" s="135">
        <f t="shared" si="92"/>
        <v>419189.99999999994</v>
      </c>
      <c r="L78" s="135">
        <f t="shared" si="92"/>
        <v>495445.48999999993</v>
      </c>
      <c r="M78" s="135">
        <f t="shared" si="92"/>
        <v>414566.84999999992</v>
      </c>
      <c r="N78" s="135">
        <f t="shared" si="92"/>
        <v>333624.81</v>
      </c>
      <c r="O78" s="135">
        <f t="shared" si="92"/>
        <v>262890.55000000005</v>
      </c>
      <c r="P78" s="135">
        <f t="shared" si="92"/>
        <v>122366.45</v>
      </c>
      <c r="Q78" s="135">
        <f t="shared" si="92"/>
        <v>82287.63</v>
      </c>
      <c r="R78" s="135">
        <f t="shared" si="92"/>
        <v>67909.789999999994</v>
      </c>
      <c r="S78" s="135">
        <f t="shared" si="92"/>
        <v>68007.239999999991</v>
      </c>
      <c r="T78" s="135">
        <f t="shared" si="92"/>
        <v>93532.849999999991</v>
      </c>
      <c r="U78" s="140">
        <f t="shared" si="92"/>
        <v>117326.11</v>
      </c>
      <c r="V78" s="135">
        <f t="shared" si="92"/>
        <v>257697.32999999996</v>
      </c>
      <c r="W78" s="135">
        <f t="shared" si="92"/>
        <v>448107.75999999995</v>
      </c>
      <c r="X78" s="135">
        <f t="shared" ref="X78:AE78" si="93">SUM(X73:X77)</f>
        <v>376063.08999999997</v>
      </c>
      <c r="Y78" s="135">
        <f t="shared" si="93"/>
        <v>408095.07999999996</v>
      </c>
      <c r="Z78" s="135">
        <f t="shared" si="93"/>
        <v>347466.6</v>
      </c>
      <c r="AA78" s="135">
        <f t="shared" si="93"/>
        <v>208269.08000000002</v>
      </c>
      <c r="AB78" s="135">
        <f t="shared" si="93"/>
        <v>108019.70999999999</v>
      </c>
      <c r="AC78" s="135">
        <f t="shared" si="93"/>
        <v>79219.409999999989</v>
      </c>
      <c r="AD78" s="135">
        <f t="shared" si="93"/>
        <v>76517.499999999985</v>
      </c>
      <c r="AE78" s="135">
        <f t="shared" si="93"/>
        <v>64331.929999999993</v>
      </c>
      <c r="AF78" s="135">
        <f t="shared" ref="AF78:AM78" si="94">SUM(AF73:AF77)</f>
        <v>69808.86</v>
      </c>
      <c r="AG78" s="135">
        <f t="shared" si="94"/>
        <v>97576.53</v>
      </c>
      <c r="AH78" s="135">
        <f t="shared" si="94"/>
        <v>344268.35</v>
      </c>
      <c r="AI78" s="317">
        <f t="shared" si="94"/>
        <v>474240.43999999994</v>
      </c>
      <c r="AJ78" s="333">
        <f t="shared" si="94"/>
        <v>404342.01899999997</v>
      </c>
      <c r="AK78" s="333">
        <f t="shared" si="94"/>
        <v>342326.88500000001</v>
      </c>
      <c r="AL78" s="333">
        <f t="shared" si="94"/>
        <v>277481.92800000001</v>
      </c>
      <c r="AM78" s="333">
        <f t="shared" si="94"/>
        <v>142067.29300000001</v>
      </c>
      <c r="AN78" s="336">
        <v>85854.955000000002</v>
      </c>
      <c r="AO78" s="336">
        <v>51764.357000000004</v>
      </c>
      <c r="AP78" s="374">
        <v>35736.86</v>
      </c>
      <c r="AQ78" s="336">
        <v>42040.260999999999</v>
      </c>
      <c r="AR78" s="338">
        <v>41784.375999999997</v>
      </c>
      <c r="AS78" s="374">
        <f>SUM(AS73:AS75)</f>
        <v>78916.148000000001</v>
      </c>
      <c r="AT78" s="135"/>
      <c r="AU78" s="374">
        <f>SUM(AU73:AU77)</f>
        <v>276369.05199999997</v>
      </c>
      <c r="AV78" s="140">
        <f t="shared" si="92"/>
        <v>0</v>
      </c>
      <c r="AW78" s="135">
        <f t="shared" si="92"/>
        <v>0</v>
      </c>
      <c r="AX78" s="135">
        <f t="shared" si="92"/>
        <v>0</v>
      </c>
      <c r="AY78" s="135">
        <f t="shared" si="92"/>
        <v>0</v>
      </c>
      <c r="AZ78" s="135">
        <f t="shared" si="92"/>
        <v>0</v>
      </c>
      <c r="BA78" s="135">
        <f t="shared" si="92"/>
        <v>0</v>
      </c>
      <c r="BB78" s="135">
        <f t="shared" si="92"/>
        <v>0</v>
      </c>
      <c r="BC78" s="140">
        <f t="shared" si="92"/>
        <v>0</v>
      </c>
      <c r="BD78" s="140">
        <f t="shared" si="92"/>
        <v>0</v>
      </c>
      <c r="BE78" s="135">
        <f t="shared" si="92"/>
        <v>0</v>
      </c>
      <c r="BF78" s="462">
        <f>SUM(BF73:BF75)</f>
        <v>260692.1116</v>
      </c>
      <c r="BG78" s="395">
        <f>SUM(BG73:BG75)</f>
        <v>255916.44699999999</v>
      </c>
      <c r="BH78" s="395">
        <f t="shared" ref="BH78:BK78" si="95">SUM(BH73:BH75)</f>
        <v>408404.79300000006</v>
      </c>
      <c r="BI78" s="395">
        <f t="shared" si="95"/>
        <v>124767.95999999999</v>
      </c>
      <c r="BJ78" s="395">
        <f t="shared" si="95"/>
        <v>74838.049999999988</v>
      </c>
      <c r="BK78" s="395">
        <f t="shared" si="95"/>
        <v>61988.549999999996</v>
      </c>
      <c r="BL78" s="395">
        <v>36644.629999999997</v>
      </c>
      <c r="BM78" s="395">
        <v>39695.660000000003</v>
      </c>
      <c r="BN78" s="395">
        <v>46208.85</v>
      </c>
      <c r="BO78" s="395">
        <f>SUM(BO73:BO77)</f>
        <v>56263</v>
      </c>
      <c r="BP78" s="241"/>
      <c r="BQ78" s="495"/>
      <c r="BR78" s="460">
        <f t="shared" si="85"/>
        <v>-143649.90739999997</v>
      </c>
      <c r="BS78" s="394">
        <f t="shared" si="86"/>
        <v>-86410.438000000024</v>
      </c>
      <c r="BT78" s="394">
        <f t="shared" si="87"/>
        <v>130922.86500000005</v>
      </c>
      <c r="BU78" s="394">
        <f t="shared" si="88"/>
        <v>-17299.333000000013</v>
      </c>
      <c r="BV78" s="394">
        <f t="shared" si="88"/>
        <v>-11016.905000000013</v>
      </c>
      <c r="BW78" s="394">
        <f t="shared" si="88"/>
        <v>10224.192999999992</v>
      </c>
      <c r="BX78" s="394">
        <f t="shared" si="88"/>
        <v>907.7699999999968</v>
      </c>
      <c r="BY78" s="394">
        <f t="shared" si="89"/>
        <v>-2344.6009999999951</v>
      </c>
      <c r="BZ78" s="394">
        <f t="shared" si="90"/>
        <v>4424.474000000002</v>
      </c>
      <c r="CA78" s="394">
        <f t="shared" si="91"/>
        <v>-22653.148000000001</v>
      </c>
      <c r="CB78" s="278"/>
      <c r="CC78" s="391"/>
    </row>
    <row r="79" spans="1:81" x14ac:dyDescent="0.25">
      <c r="A79" s="30" t="s">
        <v>33</v>
      </c>
      <c r="B79" s="135"/>
      <c r="C79" s="136"/>
      <c r="D79" s="136"/>
      <c r="E79" s="136"/>
      <c r="F79" s="136"/>
      <c r="G79" s="136"/>
      <c r="H79" s="136"/>
      <c r="I79" s="136"/>
      <c r="J79" s="136"/>
      <c r="K79" s="138"/>
      <c r="L79" s="136"/>
      <c r="M79" s="136"/>
      <c r="N79" s="136"/>
      <c r="O79" s="136"/>
      <c r="P79" s="136"/>
      <c r="Q79" s="136"/>
      <c r="R79" s="136"/>
      <c r="S79" s="136"/>
      <c r="T79" s="140"/>
      <c r="U79" s="140"/>
      <c r="V79" s="140"/>
      <c r="W79" s="140"/>
      <c r="X79" s="192"/>
      <c r="Y79" s="192"/>
      <c r="Z79" s="173"/>
      <c r="AC79" s="2"/>
      <c r="AG79" s="256"/>
      <c r="AH79" s="194"/>
      <c r="AI79" s="316"/>
      <c r="AK79" s="192"/>
      <c r="AL79" s="192"/>
      <c r="AM79" s="192"/>
      <c r="AN79" s="192"/>
      <c r="AO79" s="192"/>
      <c r="AP79" s="192"/>
      <c r="AQ79" s="192"/>
      <c r="AR79" s="192"/>
      <c r="AS79" s="192"/>
      <c r="AT79" s="192"/>
      <c r="AU79" s="330"/>
      <c r="AV79" s="136"/>
      <c r="AW79" s="136"/>
      <c r="AX79" s="136"/>
      <c r="AY79" s="136"/>
      <c r="AZ79" s="136"/>
      <c r="BA79" s="136"/>
      <c r="BB79" s="132"/>
      <c r="BC79" s="307"/>
      <c r="BD79" s="204"/>
      <c r="BE79" s="204"/>
      <c r="BF79" s="489"/>
      <c r="BG79" s="281"/>
      <c r="BH79" s="276"/>
      <c r="BI79" s="480"/>
      <c r="BJ79" s="277"/>
      <c r="BK79" s="278"/>
      <c r="BL79" s="277"/>
      <c r="BM79" s="22"/>
      <c r="BN79" s="277"/>
      <c r="BO79" s="263"/>
      <c r="BP79" s="282"/>
      <c r="BQ79" s="494"/>
      <c r="BR79" s="465"/>
      <c r="BS79" s="278"/>
      <c r="BT79" s="278"/>
      <c r="BU79" s="278"/>
      <c r="BV79" s="278"/>
      <c r="BW79" s="278"/>
      <c r="BX79" s="278"/>
      <c r="BY79" s="278"/>
      <c r="BZ79" s="278"/>
      <c r="CA79" s="278"/>
      <c r="CB79" s="278"/>
      <c r="CC79" s="391"/>
    </row>
    <row r="80" spans="1:81" x14ac:dyDescent="0.25">
      <c r="A80" s="24" t="s">
        <v>35</v>
      </c>
      <c r="B80" s="135">
        <v>290184.34999999998</v>
      </c>
      <c r="C80" s="136">
        <v>173694.58</v>
      </c>
      <c r="D80" s="136">
        <v>93046.57</v>
      </c>
      <c r="E80" s="136">
        <v>56249.74</v>
      </c>
      <c r="F80" s="136">
        <v>50714.32</v>
      </c>
      <c r="G80" s="136">
        <v>53585.19</v>
      </c>
      <c r="H80" s="136">
        <v>53876.92</v>
      </c>
      <c r="I80" s="136">
        <v>95539.76</v>
      </c>
      <c r="J80" s="136">
        <v>183309.73</v>
      </c>
      <c r="K80" s="138">
        <v>278139.59999999998</v>
      </c>
      <c r="L80" s="136">
        <v>323987.03999999998</v>
      </c>
      <c r="M80" s="136">
        <v>272058.15999999997</v>
      </c>
      <c r="N80" s="136">
        <v>226857.71</v>
      </c>
      <c r="O80" s="136">
        <v>193932.69</v>
      </c>
      <c r="P80" s="136">
        <v>91233.32</v>
      </c>
      <c r="Q80" s="136">
        <v>60391.040000000001</v>
      </c>
      <c r="R80" s="136">
        <v>49442.95</v>
      </c>
      <c r="S80" s="136">
        <v>49130.43</v>
      </c>
      <c r="T80" s="140">
        <v>66041.929999999993</v>
      </c>
      <c r="U80" s="140">
        <v>79599.649999999994</v>
      </c>
      <c r="V80" s="140">
        <v>167766.9</v>
      </c>
      <c r="W80" s="140">
        <v>291304.71999999997</v>
      </c>
      <c r="X80" s="192">
        <v>253256.29</v>
      </c>
      <c r="Y80" s="192">
        <v>277329.28999999998</v>
      </c>
      <c r="Z80" s="192">
        <v>237118.31</v>
      </c>
      <c r="AA80" s="192">
        <v>146383.71</v>
      </c>
      <c r="AB80" s="192">
        <v>71337.87</v>
      </c>
      <c r="AC80" s="241">
        <v>58077.84</v>
      </c>
      <c r="AD80" s="192">
        <v>55990.71</v>
      </c>
      <c r="AE80" s="221">
        <v>47334.15</v>
      </c>
      <c r="AF80" s="254">
        <v>50591.7</v>
      </c>
      <c r="AG80" s="256">
        <v>67404.27</v>
      </c>
      <c r="AH80" s="192">
        <v>236095.46</v>
      </c>
      <c r="AI80" s="316">
        <v>320297.28999999998</v>
      </c>
      <c r="AJ80" s="192">
        <v>530097.03</v>
      </c>
      <c r="AK80" s="256">
        <v>463399.63</v>
      </c>
      <c r="AL80" s="192">
        <v>376170.26</v>
      </c>
      <c r="AM80" s="256">
        <v>201794.92</v>
      </c>
      <c r="AN80" s="192">
        <v>94995.16</v>
      </c>
      <c r="AO80" s="192">
        <v>84718.31</v>
      </c>
      <c r="AP80" s="192">
        <v>65931.27</v>
      </c>
      <c r="AQ80" s="192">
        <v>62067.32</v>
      </c>
      <c r="AR80" s="192">
        <v>60955.97</v>
      </c>
      <c r="AS80" s="192">
        <v>98148.15</v>
      </c>
      <c r="AT80" s="173">
        <v>114518.685</v>
      </c>
      <c r="AU80" s="192">
        <v>485420.6</v>
      </c>
      <c r="AV80" s="136"/>
      <c r="AW80" s="136"/>
      <c r="AX80" s="136"/>
      <c r="AY80" s="136"/>
      <c r="AZ80" s="136"/>
      <c r="BA80" s="136"/>
      <c r="BB80" s="140"/>
      <c r="BC80" s="140"/>
      <c r="BD80" s="136"/>
      <c r="BE80" s="140"/>
      <c r="BF80" s="565">
        <v>453572.85</v>
      </c>
      <c r="BG80" s="421">
        <v>273551.28999999998</v>
      </c>
      <c r="BH80" s="568">
        <v>309203.17</v>
      </c>
      <c r="BI80" s="568">
        <v>143990.59</v>
      </c>
      <c r="BJ80" s="421">
        <v>82558.679999999993</v>
      </c>
      <c r="BK80" s="421">
        <v>73358.17</v>
      </c>
      <c r="BL80" s="421">
        <v>51365.65</v>
      </c>
      <c r="BM80" s="399">
        <v>52963.55</v>
      </c>
      <c r="BN80" s="421">
        <v>58295.17</v>
      </c>
      <c r="BO80" s="421">
        <f>2671+60913</f>
        <v>63584</v>
      </c>
      <c r="BP80" s="281"/>
      <c r="BQ80" s="494"/>
      <c r="BR80" s="463">
        <f t="shared" ref="BR80:BR85" si="96">BF80-AJ80</f>
        <v>-76524.180000000051</v>
      </c>
      <c r="BS80" s="398">
        <f t="shared" ref="BS80:BS85" si="97">BG80-AK80</f>
        <v>-189848.34000000003</v>
      </c>
      <c r="BT80" s="398">
        <f t="shared" ref="BT80:BT85" si="98">BH80-AL80</f>
        <v>-66967.090000000026</v>
      </c>
      <c r="BU80" s="398">
        <f t="shared" ref="BU80:BX85" si="99">BI80-AM80</f>
        <v>-57804.330000000016</v>
      </c>
      <c r="BV80" s="398">
        <f t="shared" si="99"/>
        <v>-12436.48000000001</v>
      </c>
      <c r="BW80" s="398">
        <f t="shared" si="99"/>
        <v>-11360.14</v>
      </c>
      <c r="BX80" s="398">
        <f t="shared" si="99"/>
        <v>-14565.620000000003</v>
      </c>
      <c r="BY80" s="398">
        <f t="shared" ref="BY80:BY85" si="100">BM80-AQ80</f>
        <v>-9103.7699999999968</v>
      </c>
      <c r="BZ80" s="398">
        <f t="shared" ref="BZ80:BZ85" si="101">BN80-AR80</f>
        <v>-2660.8000000000029</v>
      </c>
      <c r="CA80" s="398">
        <f t="shared" ref="CA80:CA85" si="102">BO80-AS80</f>
        <v>-34564.149999999994</v>
      </c>
      <c r="CB80" s="278"/>
      <c r="CC80" s="391"/>
    </row>
    <row r="81" spans="1:81" x14ac:dyDescent="0.25">
      <c r="A81" s="24" t="s">
        <v>36</v>
      </c>
      <c r="B81" s="135">
        <v>13581.98</v>
      </c>
      <c r="C81" s="136">
        <v>9607</v>
      </c>
      <c r="D81" s="136">
        <v>5084.55</v>
      </c>
      <c r="E81" s="136">
        <v>2990.51</v>
      </c>
      <c r="F81" s="136">
        <v>2900.88</v>
      </c>
      <c r="G81" s="136">
        <v>2701.9</v>
      </c>
      <c r="H81" s="136">
        <v>2814.98</v>
      </c>
      <c r="I81" s="136">
        <v>5224</v>
      </c>
      <c r="J81" s="136">
        <v>9379.4599999999991</v>
      </c>
      <c r="K81" s="138">
        <v>12396.24</v>
      </c>
      <c r="L81" s="136">
        <v>15335.48</v>
      </c>
      <c r="M81" s="136">
        <v>13625.86</v>
      </c>
      <c r="N81" s="136">
        <v>12010.88</v>
      </c>
      <c r="O81" s="136">
        <v>11024.85</v>
      </c>
      <c r="P81" s="136">
        <v>5190.42</v>
      </c>
      <c r="Q81" s="136">
        <v>3362.07</v>
      </c>
      <c r="R81" s="136">
        <v>2822.99</v>
      </c>
      <c r="S81" s="136">
        <v>2821.47</v>
      </c>
      <c r="T81" s="140">
        <v>3612.95</v>
      </c>
      <c r="U81" s="140">
        <v>4452.34</v>
      </c>
      <c r="V81" s="140">
        <v>9473.7999999999993</v>
      </c>
      <c r="W81" s="140">
        <v>17007.11</v>
      </c>
      <c r="X81" s="192">
        <v>13016.44</v>
      </c>
      <c r="Y81" s="192">
        <v>15108.74</v>
      </c>
      <c r="Z81" s="192">
        <v>16438.900000000001</v>
      </c>
      <c r="AA81" s="192">
        <v>9157.2000000000007</v>
      </c>
      <c r="AB81" s="192">
        <v>3524.43</v>
      </c>
      <c r="AC81" s="241">
        <v>2682.02</v>
      </c>
      <c r="AD81" s="192">
        <v>2658.89</v>
      </c>
      <c r="AE81" s="221">
        <v>2369.4499999999998</v>
      </c>
      <c r="AF81" s="221">
        <v>2411.52</v>
      </c>
      <c r="AG81" s="256">
        <v>3410.11</v>
      </c>
      <c r="AH81" s="192">
        <v>11665.52</v>
      </c>
      <c r="AI81" s="316">
        <v>16182.17</v>
      </c>
      <c r="AJ81" s="192">
        <v>27096.83</v>
      </c>
      <c r="AK81" s="256">
        <v>31569.08</v>
      </c>
      <c r="AL81" s="192">
        <v>25923.200000000001</v>
      </c>
      <c r="AM81" s="256">
        <v>14984.74</v>
      </c>
      <c r="AN81" s="192">
        <v>5515.82</v>
      </c>
      <c r="AO81" s="192">
        <v>4899.22</v>
      </c>
      <c r="AP81" s="192">
        <v>3847.83</v>
      </c>
      <c r="AQ81" s="192">
        <v>3739.36</v>
      </c>
      <c r="AR81" s="192">
        <v>3721.95</v>
      </c>
      <c r="AS81" s="192">
        <v>5787.07</v>
      </c>
      <c r="AT81" s="173">
        <v>8767.64</v>
      </c>
      <c r="AU81" s="192">
        <v>28519.17</v>
      </c>
      <c r="AV81" s="136"/>
      <c r="AW81" s="136"/>
      <c r="AX81" s="136"/>
      <c r="AY81" s="136"/>
      <c r="AZ81" s="136"/>
      <c r="BA81" s="136"/>
      <c r="BB81" s="140"/>
      <c r="BC81" s="140"/>
      <c r="BD81" s="136"/>
      <c r="BE81" s="140"/>
      <c r="BF81" s="565">
        <v>28128.01</v>
      </c>
      <c r="BG81" s="421">
        <v>16565.09</v>
      </c>
      <c r="BH81" s="566">
        <f>24.72+25087.75-6285.31-6.2</f>
        <v>18820.96</v>
      </c>
      <c r="BI81" s="566">
        <f>12283.5-3077.61</f>
        <v>9205.89</v>
      </c>
      <c r="BJ81" s="421">
        <v>5382.11</v>
      </c>
      <c r="BK81" s="421">
        <v>4448.97</v>
      </c>
      <c r="BL81" s="421">
        <v>3226.26</v>
      </c>
      <c r="BM81" s="399">
        <v>3392.84</v>
      </c>
      <c r="BN81" s="421">
        <v>3742.27</v>
      </c>
      <c r="BO81" s="421">
        <f>15+4138</f>
        <v>4153</v>
      </c>
      <c r="BP81" s="281"/>
      <c r="BQ81" s="494"/>
      <c r="BR81" s="463">
        <f t="shared" si="96"/>
        <v>1031.1799999999967</v>
      </c>
      <c r="BS81" s="398">
        <f t="shared" si="97"/>
        <v>-15003.990000000002</v>
      </c>
      <c r="BT81" s="398">
        <f t="shared" si="98"/>
        <v>-7102.2400000000016</v>
      </c>
      <c r="BU81" s="398">
        <f t="shared" si="99"/>
        <v>-5778.85</v>
      </c>
      <c r="BV81" s="398">
        <f t="shared" si="99"/>
        <v>-133.71000000000004</v>
      </c>
      <c r="BW81" s="398">
        <f t="shared" si="99"/>
        <v>-450.25</v>
      </c>
      <c r="BX81" s="398">
        <f t="shared" si="99"/>
        <v>-621.56999999999971</v>
      </c>
      <c r="BY81" s="398">
        <f t="shared" si="100"/>
        <v>-346.52</v>
      </c>
      <c r="BZ81" s="398">
        <f t="shared" si="101"/>
        <v>20.320000000000164</v>
      </c>
      <c r="CA81" s="398">
        <f t="shared" si="102"/>
        <v>-1634.0699999999997</v>
      </c>
      <c r="CB81" s="278"/>
      <c r="CC81" s="391"/>
    </row>
    <row r="82" spans="1:81" x14ac:dyDescent="0.25">
      <c r="A82" s="24" t="s">
        <v>37</v>
      </c>
      <c r="B82" s="135">
        <v>122728.26</v>
      </c>
      <c r="C82" s="136">
        <v>72701.86</v>
      </c>
      <c r="D82" s="136">
        <v>34957.949999999997</v>
      </c>
      <c r="E82" s="136">
        <v>21340.31</v>
      </c>
      <c r="F82" s="136">
        <v>20201.32</v>
      </c>
      <c r="G82" s="136">
        <v>20183.310000000001</v>
      </c>
      <c r="H82" s="136">
        <v>19164.45</v>
      </c>
      <c r="I82" s="136">
        <v>30060.639999999999</v>
      </c>
      <c r="J82" s="136">
        <v>55659.15</v>
      </c>
      <c r="K82" s="138">
        <v>85962.240000000005</v>
      </c>
      <c r="L82" s="136">
        <v>102309.03</v>
      </c>
      <c r="M82" s="136">
        <v>84980.29</v>
      </c>
      <c r="N82" s="136">
        <v>66939.490000000005</v>
      </c>
      <c r="O82" s="136">
        <v>50102.51</v>
      </c>
      <c r="P82" s="136">
        <v>24313.599999999999</v>
      </c>
      <c r="Q82" s="136">
        <v>17206.419999999998</v>
      </c>
      <c r="R82" s="136">
        <v>15466.46</v>
      </c>
      <c r="S82" s="136">
        <v>15760.55</v>
      </c>
      <c r="T82" s="140">
        <v>21939.87</v>
      </c>
      <c r="U82" s="140">
        <v>23020.49</v>
      </c>
      <c r="V82" s="140">
        <v>47388.08</v>
      </c>
      <c r="W82" s="140">
        <v>85680.89</v>
      </c>
      <c r="X82" s="192">
        <v>68215.12</v>
      </c>
      <c r="Y82" s="192">
        <v>83690.14</v>
      </c>
      <c r="Z82" s="192">
        <v>63301.95</v>
      </c>
      <c r="AA82" s="192">
        <v>40791.980000000003</v>
      </c>
      <c r="AB82" s="192">
        <v>18920.13</v>
      </c>
      <c r="AC82" s="241">
        <v>15221.07</v>
      </c>
      <c r="AD82" s="192">
        <v>17570.64</v>
      </c>
      <c r="AE82" s="221">
        <v>14266.88</v>
      </c>
      <c r="AF82" s="255">
        <v>15524.4</v>
      </c>
      <c r="AG82" s="256">
        <v>26762.15</v>
      </c>
      <c r="AH82" s="192">
        <v>96507.37</v>
      </c>
      <c r="AI82" s="316">
        <v>137760.98000000001</v>
      </c>
      <c r="AJ82" s="192">
        <v>229004.92</v>
      </c>
      <c r="AK82" s="256">
        <v>203388.09</v>
      </c>
      <c r="AL82" s="192">
        <v>167007.07999999999</v>
      </c>
      <c r="AM82" s="256">
        <v>86618.45</v>
      </c>
      <c r="AN82" s="192">
        <v>35698.089999999997</v>
      </c>
      <c r="AO82" s="192">
        <v>32604.33</v>
      </c>
      <c r="AP82" s="192">
        <v>21836.57</v>
      </c>
      <c r="AQ82" s="192">
        <v>21268.6</v>
      </c>
      <c r="AR82" s="192">
        <v>22052.1</v>
      </c>
      <c r="AS82" s="192">
        <v>38888.79</v>
      </c>
      <c r="AT82" s="173">
        <v>54553.599000000002</v>
      </c>
      <c r="AU82" s="192">
        <v>205400.04</v>
      </c>
      <c r="AV82" s="136"/>
      <c r="AW82" s="136"/>
      <c r="AX82" s="136"/>
      <c r="AY82" s="136"/>
      <c r="AZ82" s="136"/>
      <c r="BA82" s="136"/>
      <c r="BB82" s="140"/>
      <c r="BC82" s="140"/>
      <c r="BD82" s="136"/>
      <c r="BE82" s="140"/>
      <c r="BF82" s="565">
        <v>196676.1</v>
      </c>
      <c r="BG82" s="421">
        <v>127349.58</v>
      </c>
      <c r="BH82" s="566">
        <v>144192.17000000001</v>
      </c>
      <c r="BI82" s="566">
        <v>67432.350000000006</v>
      </c>
      <c r="BJ82" s="421">
        <v>29907.599999999999</v>
      </c>
      <c r="BK82" s="421">
        <v>23960.23</v>
      </c>
      <c r="BL82" s="421">
        <v>15815.84</v>
      </c>
      <c r="BM82" s="399">
        <v>17372.490000000002</v>
      </c>
      <c r="BN82" s="421">
        <v>19766.59</v>
      </c>
      <c r="BO82" s="421">
        <f>3727+6058</f>
        <v>9785</v>
      </c>
      <c r="BP82" s="281"/>
      <c r="BQ82" s="494"/>
      <c r="BR82" s="463">
        <f t="shared" si="96"/>
        <v>-32328.820000000007</v>
      </c>
      <c r="BS82" s="398">
        <f t="shared" si="97"/>
        <v>-76038.509999999995</v>
      </c>
      <c r="BT82" s="398">
        <f t="shared" si="98"/>
        <v>-22814.909999999974</v>
      </c>
      <c r="BU82" s="398">
        <f t="shared" si="99"/>
        <v>-19186.099999999991</v>
      </c>
      <c r="BV82" s="398">
        <f t="shared" si="99"/>
        <v>-5790.489999999998</v>
      </c>
      <c r="BW82" s="398">
        <f t="shared" si="99"/>
        <v>-8644.1000000000022</v>
      </c>
      <c r="BX82" s="398">
        <f t="shared" si="99"/>
        <v>-6020.73</v>
      </c>
      <c r="BY82" s="398">
        <f t="shared" si="100"/>
        <v>-3896.1099999999969</v>
      </c>
      <c r="BZ82" s="398">
        <f t="shared" si="101"/>
        <v>-2285.5099999999984</v>
      </c>
      <c r="CA82" s="398">
        <f t="shared" si="102"/>
        <v>-29103.79</v>
      </c>
      <c r="CB82" s="278"/>
      <c r="CC82" s="391"/>
    </row>
    <row r="83" spans="1:81" x14ac:dyDescent="0.25">
      <c r="A83" s="24" t="s">
        <v>38</v>
      </c>
      <c r="B83" s="135"/>
      <c r="C83" s="136"/>
      <c r="D83" s="136"/>
      <c r="E83" s="136"/>
      <c r="F83" s="136"/>
      <c r="G83" s="136"/>
      <c r="H83" s="136"/>
      <c r="I83" s="136"/>
      <c r="J83" s="136"/>
      <c r="K83" s="138"/>
      <c r="L83" s="136"/>
      <c r="M83" s="136"/>
      <c r="N83" s="136"/>
      <c r="O83" s="136"/>
      <c r="P83" s="136"/>
      <c r="Q83" s="136"/>
      <c r="R83" s="136"/>
      <c r="S83" s="136"/>
      <c r="T83" s="140"/>
      <c r="U83" s="140"/>
      <c r="V83" s="140"/>
      <c r="W83" s="140"/>
      <c r="X83" s="192"/>
      <c r="Y83" s="192"/>
      <c r="Z83" s="192"/>
      <c r="AC83" s="2"/>
      <c r="AE83" s="221"/>
      <c r="AF83" s="221"/>
      <c r="AG83" s="256"/>
      <c r="AH83" s="192"/>
      <c r="AI83" s="310"/>
      <c r="AT83" s="173"/>
      <c r="AU83" s="327"/>
      <c r="AV83" s="136"/>
      <c r="AW83" s="136"/>
      <c r="AX83" s="136"/>
      <c r="AY83" s="136"/>
      <c r="AZ83" s="136"/>
      <c r="BA83" s="136"/>
      <c r="BB83" s="140"/>
      <c r="BC83" s="140"/>
      <c r="BD83" s="136"/>
      <c r="BE83" s="140"/>
      <c r="BF83" s="565"/>
      <c r="BG83" s="421"/>
      <c r="BH83" s="421"/>
      <c r="BI83" s="566"/>
      <c r="BJ83" s="277"/>
      <c r="BK83" s="278"/>
      <c r="BL83" s="277"/>
      <c r="BM83" s="399"/>
      <c r="BN83" s="421"/>
      <c r="BO83" s="421">
        <f>4379+3195</f>
        <v>7574</v>
      </c>
      <c r="BP83" s="281"/>
      <c r="BQ83" s="481"/>
      <c r="BR83" s="463">
        <f t="shared" si="96"/>
        <v>0</v>
      </c>
      <c r="BS83" s="398">
        <f t="shared" si="97"/>
        <v>0</v>
      </c>
      <c r="BT83" s="398">
        <f t="shared" si="98"/>
        <v>0</v>
      </c>
      <c r="BU83" s="398">
        <f t="shared" si="99"/>
        <v>0</v>
      </c>
      <c r="BV83" s="398">
        <f t="shared" si="99"/>
        <v>0</v>
      </c>
      <c r="BW83" s="398">
        <f t="shared" si="99"/>
        <v>0</v>
      </c>
      <c r="BX83" s="398">
        <f t="shared" si="99"/>
        <v>0</v>
      </c>
      <c r="BY83" s="398">
        <f t="shared" si="100"/>
        <v>0</v>
      </c>
      <c r="BZ83" s="398">
        <f t="shared" si="101"/>
        <v>0</v>
      </c>
      <c r="CA83" s="398">
        <f t="shared" si="102"/>
        <v>7574</v>
      </c>
      <c r="CB83" s="278"/>
      <c r="CC83" s="391"/>
    </row>
    <row r="84" spans="1:81" x14ac:dyDescent="0.25">
      <c r="A84" s="24" t="s">
        <v>47</v>
      </c>
      <c r="B84" s="135">
        <v>18564.060000000001</v>
      </c>
      <c r="C84" s="136">
        <v>10474.629999999999</v>
      </c>
      <c r="D84" s="136">
        <v>3427.51</v>
      </c>
      <c r="E84" s="136">
        <v>161.21</v>
      </c>
      <c r="F84" s="136">
        <v>0</v>
      </c>
      <c r="G84" s="136">
        <v>0</v>
      </c>
      <c r="H84" s="136">
        <v>2098.12</v>
      </c>
      <c r="I84" s="136">
        <v>14756.12</v>
      </c>
      <c r="J84" s="136">
        <v>30843.78</v>
      </c>
      <c r="K84" s="138">
        <v>42691.92</v>
      </c>
      <c r="L84" s="136">
        <v>53813.94</v>
      </c>
      <c r="M84" s="136">
        <v>43902.54</v>
      </c>
      <c r="N84" s="136">
        <v>27816.73</v>
      </c>
      <c r="O84" s="136">
        <v>7830.5</v>
      </c>
      <c r="P84" s="136">
        <v>1629.11</v>
      </c>
      <c r="Q84" s="136">
        <v>1328.1</v>
      </c>
      <c r="R84" s="136">
        <v>177.39</v>
      </c>
      <c r="S84" s="136">
        <v>294.79000000000002</v>
      </c>
      <c r="T84" s="140">
        <v>1938.1</v>
      </c>
      <c r="U84" s="140">
        <v>10253.629999999999</v>
      </c>
      <c r="V84" s="140">
        <v>33068.550000000003</v>
      </c>
      <c r="W84" s="140">
        <v>54115.040000000001</v>
      </c>
      <c r="X84" s="192">
        <v>41575.24</v>
      </c>
      <c r="Y84" s="192">
        <v>31966.91</v>
      </c>
      <c r="Z84" s="192">
        <v>30607.439999999999</v>
      </c>
      <c r="AA84" s="192">
        <v>11936.19</v>
      </c>
      <c r="AB84" s="192">
        <v>14237.28</v>
      </c>
      <c r="AC84" s="241">
        <v>3238.48</v>
      </c>
      <c r="AD84" s="192">
        <v>297.26</v>
      </c>
      <c r="AE84" s="221">
        <v>361.45</v>
      </c>
      <c r="AF84" s="221">
        <v>1281.24</v>
      </c>
      <c r="AG84" s="256">
        <v>0</v>
      </c>
      <c r="AH84" s="194"/>
      <c r="AI84" s="310"/>
      <c r="AT84" s="173"/>
      <c r="AU84" s="327"/>
      <c r="AV84" s="136"/>
      <c r="AW84" s="136"/>
      <c r="AX84" s="136"/>
      <c r="AY84" s="136"/>
      <c r="AZ84" s="136"/>
      <c r="BA84" s="136"/>
      <c r="BB84" s="140"/>
      <c r="BC84" s="140"/>
      <c r="BD84" s="136"/>
      <c r="BE84" s="140"/>
      <c r="BF84" s="565"/>
      <c r="BG84" s="421"/>
      <c r="BH84" s="421"/>
      <c r="BI84" s="566"/>
      <c r="BJ84" s="281"/>
      <c r="BK84" s="241"/>
      <c r="BL84" s="281"/>
      <c r="BM84" s="399"/>
      <c r="BN84" s="421"/>
      <c r="BO84" s="421">
        <v>0</v>
      </c>
      <c r="BP84" s="282"/>
      <c r="BQ84" s="481"/>
      <c r="BR84" s="463">
        <f t="shared" si="96"/>
        <v>0</v>
      </c>
      <c r="BS84" s="398">
        <f t="shared" si="97"/>
        <v>0</v>
      </c>
      <c r="BT84" s="398">
        <f t="shared" si="98"/>
        <v>0</v>
      </c>
      <c r="BU84" s="398">
        <f t="shared" si="99"/>
        <v>0</v>
      </c>
      <c r="BV84" s="398">
        <f t="shared" si="99"/>
        <v>0</v>
      </c>
      <c r="BW84" s="398">
        <f t="shared" si="99"/>
        <v>0</v>
      </c>
      <c r="BX84" s="398">
        <f t="shared" si="99"/>
        <v>0</v>
      </c>
      <c r="BY84" s="398">
        <f t="shared" si="100"/>
        <v>0</v>
      </c>
      <c r="BZ84" s="398">
        <f t="shared" si="101"/>
        <v>0</v>
      </c>
      <c r="CA84" s="398">
        <f t="shared" si="102"/>
        <v>0</v>
      </c>
      <c r="CB84" s="278"/>
      <c r="CC84" s="391"/>
    </row>
    <row r="85" spans="1:81" x14ac:dyDescent="0.25">
      <c r="A85" s="24" t="s">
        <v>40</v>
      </c>
      <c r="B85" s="148">
        <v>445058.65</v>
      </c>
      <c r="C85" s="149">
        <v>266478.07</v>
      </c>
      <c r="D85" s="149">
        <v>136516.57999999999</v>
      </c>
      <c r="E85" s="149">
        <v>80741.77</v>
      </c>
      <c r="F85" s="149">
        <v>73816.52</v>
      </c>
      <c r="G85" s="149">
        <v>76470.399999999994</v>
      </c>
      <c r="H85" s="149">
        <v>77954.47</v>
      </c>
      <c r="I85" s="149">
        <v>145580.51999999999</v>
      </c>
      <c r="J85" s="149">
        <v>279192.12</v>
      </c>
      <c r="K85" s="150">
        <v>419190</v>
      </c>
      <c r="L85" s="149">
        <v>495445.49</v>
      </c>
      <c r="M85" s="149">
        <v>414566.85</v>
      </c>
      <c r="N85" s="149">
        <v>333624.81</v>
      </c>
      <c r="O85" s="149">
        <v>262890.55</v>
      </c>
      <c r="P85" s="149">
        <v>122366.45</v>
      </c>
      <c r="Q85" s="149">
        <v>82287.63</v>
      </c>
      <c r="R85" s="149">
        <v>67909.789999999994</v>
      </c>
      <c r="S85" s="149">
        <v>68007.240000000005</v>
      </c>
      <c r="T85" s="155">
        <v>93532.85</v>
      </c>
      <c r="U85" s="151">
        <v>117326.11</v>
      </c>
      <c r="V85" s="151">
        <v>257697.33</v>
      </c>
      <c r="W85" s="151">
        <v>448107.76</v>
      </c>
      <c r="X85" s="151">
        <v>376063.09</v>
      </c>
      <c r="Y85" s="151">
        <f t="shared" ref="Y85:AH85" si="103">SUM(Y80:Y84)</f>
        <v>408095.07999999996</v>
      </c>
      <c r="Z85" s="151">
        <f t="shared" si="103"/>
        <v>347466.6</v>
      </c>
      <c r="AA85" s="151">
        <f t="shared" si="103"/>
        <v>208269.08000000002</v>
      </c>
      <c r="AB85" s="151">
        <f t="shared" si="103"/>
        <v>108019.70999999999</v>
      </c>
      <c r="AC85" s="135">
        <f t="shared" si="103"/>
        <v>79219.409999999989</v>
      </c>
      <c r="AD85" s="135">
        <f t="shared" si="103"/>
        <v>76517.499999999985</v>
      </c>
      <c r="AE85" s="135">
        <f t="shared" si="103"/>
        <v>64331.929999999993</v>
      </c>
      <c r="AF85" s="135">
        <f t="shared" si="103"/>
        <v>69808.86</v>
      </c>
      <c r="AG85" s="135">
        <f t="shared" si="103"/>
        <v>97576.53</v>
      </c>
      <c r="AH85" s="135">
        <f t="shared" si="103"/>
        <v>344268.35</v>
      </c>
      <c r="AI85" s="318">
        <f>SUM(AI80:AI84)</f>
        <v>474240.43999999994</v>
      </c>
      <c r="AJ85" s="155">
        <f>SUM(AJ80:AJ84)</f>
        <v>786198.78</v>
      </c>
      <c r="AK85" s="155">
        <f>SUM(AK80:AK84)</f>
        <v>698356.8</v>
      </c>
      <c r="AL85" s="155">
        <f t="shared" ref="AL85:AQ85" si="104">SUM(AL80:AL84)</f>
        <v>569100.54</v>
      </c>
      <c r="AM85" s="155">
        <f t="shared" si="104"/>
        <v>303398.11</v>
      </c>
      <c r="AN85" s="155">
        <f t="shared" si="104"/>
        <v>136209.07</v>
      </c>
      <c r="AO85" s="155">
        <f t="shared" si="104"/>
        <v>122221.86</v>
      </c>
      <c r="AP85" s="155">
        <f t="shared" si="104"/>
        <v>91615.670000000013</v>
      </c>
      <c r="AQ85" s="155">
        <f t="shared" si="104"/>
        <v>87075.28</v>
      </c>
      <c r="AR85" s="155">
        <v>86730.02</v>
      </c>
      <c r="AS85" s="155">
        <f>SUM(AS80:AS82)</f>
        <v>142824.01</v>
      </c>
      <c r="AT85" s="374">
        <f>SUM(AT80:AT84)</f>
        <v>177839.924</v>
      </c>
      <c r="AU85" s="135">
        <f>SUM(AU80:AU84)</f>
        <v>719339.80999999994</v>
      </c>
      <c r="AV85" s="151"/>
      <c r="AW85" s="151"/>
      <c r="AX85" s="151"/>
      <c r="AY85" s="151"/>
      <c r="AZ85" s="151"/>
      <c r="BA85" s="151"/>
      <c r="BB85" s="155"/>
      <c r="BC85" s="155"/>
      <c r="BD85" s="151"/>
      <c r="BE85" s="155"/>
      <c r="BF85" s="464">
        <f>SUM(BF80:BF82)</f>
        <v>678376.95999999996</v>
      </c>
      <c r="BG85" s="399">
        <f>SUM(BG80:BG83)</f>
        <v>417465.96</v>
      </c>
      <c r="BH85" s="399">
        <f t="shared" ref="BH85:BO85" si="105">SUM(BH80:BH83)</f>
        <v>472216.30000000005</v>
      </c>
      <c r="BI85" s="399">
        <f t="shared" si="105"/>
        <v>220628.83</v>
      </c>
      <c r="BJ85" s="399">
        <f t="shared" si="105"/>
        <v>117848.38999999998</v>
      </c>
      <c r="BK85" s="399">
        <f t="shared" si="105"/>
        <v>101767.37</v>
      </c>
      <c r="BL85" s="399">
        <f t="shared" si="105"/>
        <v>70407.75</v>
      </c>
      <c r="BM85" s="399">
        <f t="shared" si="105"/>
        <v>73728.88</v>
      </c>
      <c r="BN85" s="399">
        <f t="shared" si="105"/>
        <v>81804.03</v>
      </c>
      <c r="BO85" s="399">
        <f t="shared" si="105"/>
        <v>85096</v>
      </c>
      <c r="BP85" s="241"/>
      <c r="BQ85" s="496"/>
      <c r="BR85" s="463">
        <f t="shared" si="96"/>
        <v>-107821.82000000007</v>
      </c>
      <c r="BS85" s="398">
        <f t="shared" si="97"/>
        <v>-280890.84000000003</v>
      </c>
      <c r="BT85" s="398">
        <f t="shared" si="98"/>
        <v>-96884.239999999991</v>
      </c>
      <c r="BU85" s="398">
        <f t="shared" si="99"/>
        <v>-82769.279999999999</v>
      </c>
      <c r="BV85" s="398">
        <f t="shared" si="99"/>
        <v>-18360.680000000022</v>
      </c>
      <c r="BW85" s="398">
        <f t="shared" si="99"/>
        <v>-20454.490000000005</v>
      </c>
      <c r="BX85" s="398">
        <f t="shared" si="99"/>
        <v>-21207.920000000013</v>
      </c>
      <c r="BY85" s="398">
        <f t="shared" si="100"/>
        <v>-13346.399999999994</v>
      </c>
      <c r="BZ85" s="398">
        <f t="shared" si="101"/>
        <v>-4925.9900000000052</v>
      </c>
      <c r="CA85" s="398">
        <f t="shared" si="102"/>
        <v>-57728.010000000009</v>
      </c>
      <c r="CB85" s="278"/>
      <c r="CC85" s="391"/>
    </row>
    <row r="86" spans="1:81" x14ac:dyDescent="0.25">
      <c r="A86" s="30" t="s">
        <v>44</v>
      </c>
      <c r="B86" s="86"/>
      <c r="C86" s="63"/>
      <c r="D86" s="63"/>
      <c r="E86" s="63"/>
      <c r="F86" s="63"/>
      <c r="G86" s="63"/>
      <c r="H86" s="63"/>
      <c r="I86" s="63"/>
      <c r="J86" s="63"/>
      <c r="K86" s="94"/>
      <c r="L86" s="63"/>
      <c r="M86" s="63"/>
      <c r="N86" s="63"/>
      <c r="O86" s="63"/>
      <c r="P86" s="63"/>
      <c r="Q86" s="63"/>
      <c r="R86" s="63"/>
      <c r="S86" s="63"/>
      <c r="T86" s="128"/>
      <c r="U86" s="128"/>
      <c r="V86" s="128"/>
      <c r="W86" s="128"/>
      <c r="AI86" s="310"/>
      <c r="AU86" s="327"/>
      <c r="AV86" s="63"/>
      <c r="AW86" s="63"/>
      <c r="AX86" s="63"/>
      <c r="AY86" s="63"/>
      <c r="AZ86" s="63"/>
      <c r="BA86" s="63"/>
      <c r="BB86" s="294"/>
      <c r="BC86" s="123"/>
      <c r="BD86" s="203"/>
      <c r="BE86" s="203"/>
      <c r="BF86" s="489"/>
      <c r="BG86" s="281"/>
      <c r="BH86" s="276"/>
      <c r="BI86" s="480"/>
      <c r="BJ86" s="277"/>
      <c r="BK86" s="278"/>
      <c r="BL86" s="277"/>
      <c r="BM86" s="22"/>
      <c r="BN86" s="277"/>
      <c r="BO86" s="263"/>
      <c r="BP86" s="277"/>
      <c r="BQ86" s="481"/>
      <c r="BR86" s="465"/>
      <c r="BS86" s="278"/>
      <c r="BT86" s="278"/>
      <c r="BU86" s="278"/>
      <c r="BV86" s="278"/>
      <c r="BW86" s="278"/>
      <c r="BX86" s="278"/>
      <c r="BY86" s="278"/>
      <c r="BZ86" s="278"/>
      <c r="CA86" s="278"/>
      <c r="CB86" s="278"/>
      <c r="CC86" s="391"/>
    </row>
    <row r="87" spans="1:81" x14ac:dyDescent="0.25">
      <c r="A87" s="24" t="s">
        <v>35</v>
      </c>
      <c r="B87" s="100"/>
      <c r="C87" s="101"/>
      <c r="D87" s="101"/>
      <c r="E87" s="101"/>
      <c r="F87" s="101"/>
      <c r="G87" s="101"/>
      <c r="H87" s="101"/>
      <c r="I87" s="101"/>
      <c r="J87" s="101"/>
      <c r="K87" s="102"/>
      <c r="L87" s="101"/>
      <c r="M87" s="101"/>
      <c r="N87" s="101"/>
      <c r="O87" s="101"/>
      <c r="P87" s="101"/>
      <c r="Q87" s="101"/>
      <c r="R87" s="101"/>
      <c r="S87" s="101"/>
      <c r="T87" s="129"/>
      <c r="U87" s="129"/>
      <c r="V87" s="129"/>
      <c r="W87" s="129"/>
      <c r="X87" s="192"/>
      <c r="Y87" s="192"/>
      <c r="Z87" s="173"/>
      <c r="AC87" s="2"/>
      <c r="AG87" s="256"/>
      <c r="AI87" s="310"/>
      <c r="AU87" s="327"/>
      <c r="AV87" s="56"/>
      <c r="AW87" s="56"/>
      <c r="AX87" s="56"/>
      <c r="AY87" s="56"/>
      <c r="AZ87" s="56"/>
      <c r="BA87" s="56"/>
      <c r="BB87" s="114"/>
      <c r="BC87" s="115"/>
      <c r="BD87" s="93"/>
      <c r="BE87" s="114"/>
      <c r="BF87" s="489"/>
      <c r="BG87" s="281"/>
      <c r="BH87" s="276"/>
      <c r="BI87" s="480"/>
      <c r="BJ87" s="277"/>
      <c r="BK87" s="278"/>
      <c r="BL87" s="277"/>
      <c r="BM87" s="22"/>
      <c r="BN87" s="277"/>
      <c r="BO87" s="263"/>
      <c r="BP87" s="277"/>
      <c r="BQ87" s="481"/>
      <c r="BR87" s="465"/>
      <c r="BS87" s="278"/>
      <c r="BT87" s="278"/>
      <c r="BU87" s="278"/>
      <c r="BV87" s="278"/>
      <c r="BW87" s="278"/>
      <c r="BX87" s="278"/>
      <c r="BY87" s="278"/>
      <c r="BZ87" s="278"/>
      <c r="CA87" s="278"/>
      <c r="CB87" s="278"/>
      <c r="CC87" s="391"/>
    </row>
    <row r="88" spans="1:81" x14ac:dyDescent="0.25">
      <c r="A88" s="24" t="s">
        <v>36</v>
      </c>
      <c r="B88" s="100"/>
      <c r="C88" s="101"/>
      <c r="D88" s="101"/>
      <c r="E88" s="101"/>
      <c r="F88" s="101"/>
      <c r="G88" s="101"/>
      <c r="H88" s="101"/>
      <c r="I88" s="101"/>
      <c r="J88" s="101"/>
      <c r="K88" s="102"/>
      <c r="L88" s="101"/>
      <c r="M88" s="101"/>
      <c r="N88" s="101"/>
      <c r="O88" s="101"/>
      <c r="P88" s="101"/>
      <c r="Q88" s="101"/>
      <c r="R88" s="101"/>
      <c r="S88" s="101"/>
      <c r="T88" s="129"/>
      <c r="U88" s="129"/>
      <c r="V88" s="129"/>
      <c r="W88" s="129"/>
      <c r="X88" s="192"/>
      <c r="Y88" s="192"/>
      <c r="Z88" s="173"/>
      <c r="AC88" s="2"/>
      <c r="AG88" s="256"/>
      <c r="AI88" s="310"/>
      <c r="AU88" s="327"/>
      <c r="AV88" s="56"/>
      <c r="AW88" s="56"/>
      <c r="AX88" s="56"/>
      <c r="AY88" s="56"/>
      <c r="AZ88" s="56"/>
      <c r="BA88" s="56"/>
      <c r="BB88" s="114"/>
      <c r="BC88" s="115"/>
      <c r="BD88" s="93"/>
      <c r="BE88" s="114"/>
      <c r="BF88" s="489"/>
      <c r="BG88" s="281"/>
      <c r="BH88" s="276"/>
      <c r="BI88" s="480"/>
      <c r="BJ88" s="277"/>
      <c r="BK88" s="278"/>
      <c r="BL88" s="277"/>
      <c r="BM88" s="22"/>
      <c r="BN88" s="277"/>
      <c r="BO88" s="263"/>
      <c r="BP88" s="277"/>
      <c r="BQ88" s="481"/>
      <c r="BR88" s="465"/>
      <c r="BS88" s="278"/>
      <c r="BT88" s="278"/>
      <c r="BU88" s="278"/>
      <c r="BV88" s="278"/>
      <c r="BW88" s="278"/>
      <c r="BX88" s="278"/>
      <c r="BY88" s="278"/>
      <c r="BZ88" s="278"/>
      <c r="CA88" s="278"/>
      <c r="CB88" s="278"/>
      <c r="CC88" s="391"/>
    </row>
    <row r="89" spans="1:81" x14ac:dyDescent="0.25">
      <c r="A89" s="24" t="s">
        <v>37</v>
      </c>
      <c r="B89" s="100"/>
      <c r="C89" s="101"/>
      <c r="D89" s="101"/>
      <c r="E89" s="101"/>
      <c r="F89" s="101"/>
      <c r="G89" s="101"/>
      <c r="H89" s="101"/>
      <c r="I89" s="101"/>
      <c r="J89" s="101"/>
      <c r="K89" s="102"/>
      <c r="L89" s="101"/>
      <c r="M89" s="101"/>
      <c r="N89" s="101"/>
      <c r="O89" s="101"/>
      <c r="P89" s="101"/>
      <c r="Q89" s="101"/>
      <c r="R89" s="101"/>
      <c r="S89" s="101"/>
      <c r="T89" s="129"/>
      <c r="U89" s="129"/>
      <c r="V89" s="129"/>
      <c r="W89" s="129"/>
      <c r="X89" s="192"/>
      <c r="Y89" s="192"/>
      <c r="Z89" s="173"/>
      <c r="AC89" s="2"/>
      <c r="AG89" s="256"/>
      <c r="AI89" s="310"/>
      <c r="AU89" s="327"/>
      <c r="AV89" s="56"/>
      <c r="AW89" s="56"/>
      <c r="AX89" s="56"/>
      <c r="AY89" s="56"/>
      <c r="AZ89" s="56"/>
      <c r="BA89" s="56"/>
      <c r="BB89" s="114"/>
      <c r="BC89" s="115"/>
      <c r="BD89" s="93"/>
      <c r="BE89" s="114"/>
      <c r="BF89" s="489"/>
      <c r="BG89" s="281"/>
      <c r="BH89" s="276"/>
      <c r="BI89" s="480"/>
      <c r="BJ89" s="277"/>
      <c r="BK89" s="278"/>
      <c r="BL89" s="277"/>
      <c r="BM89" s="22"/>
      <c r="BN89" s="277"/>
      <c r="BO89" s="263"/>
      <c r="BP89" s="277"/>
      <c r="BQ89" s="481"/>
      <c r="BR89" s="465"/>
      <c r="BS89" s="278"/>
      <c r="BT89" s="278"/>
      <c r="BU89" s="278"/>
      <c r="BV89" s="278"/>
      <c r="BW89" s="278"/>
      <c r="BX89" s="278"/>
      <c r="BY89" s="278"/>
      <c r="BZ89" s="278"/>
      <c r="CA89" s="278"/>
      <c r="CB89" s="278"/>
      <c r="CC89" s="391"/>
    </row>
    <row r="90" spans="1:81" x14ac:dyDescent="0.25">
      <c r="A90" s="24" t="s">
        <v>38</v>
      </c>
      <c r="B90" s="100"/>
      <c r="C90" s="101"/>
      <c r="D90" s="101"/>
      <c r="E90" s="101"/>
      <c r="F90" s="101"/>
      <c r="G90" s="101"/>
      <c r="H90" s="101"/>
      <c r="I90" s="101"/>
      <c r="J90" s="101"/>
      <c r="K90" s="102"/>
      <c r="L90" s="101"/>
      <c r="M90" s="101"/>
      <c r="N90" s="101"/>
      <c r="O90" s="101"/>
      <c r="P90" s="101"/>
      <c r="Q90" s="101"/>
      <c r="R90" s="101"/>
      <c r="S90" s="101"/>
      <c r="T90" s="129"/>
      <c r="U90" s="129"/>
      <c r="V90" s="129"/>
      <c r="W90" s="129"/>
      <c r="X90" s="192"/>
      <c r="Y90" s="192"/>
      <c r="Z90" s="173"/>
      <c r="AC90" s="2"/>
      <c r="AG90" s="256"/>
      <c r="AI90" s="310"/>
      <c r="AU90" s="327"/>
      <c r="AV90" s="56"/>
      <c r="AW90" s="56"/>
      <c r="AX90" s="56"/>
      <c r="AY90" s="56"/>
      <c r="AZ90" s="56"/>
      <c r="BA90" s="56"/>
      <c r="BB90" s="114"/>
      <c r="BC90" s="115"/>
      <c r="BD90" s="93"/>
      <c r="BE90" s="114"/>
      <c r="BF90" s="489"/>
      <c r="BG90" s="281"/>
      <c r="BH90" s="276"/>
      <c r="BI90" s="480"/>
      <c r="BJ90" s="277"/>
      <c r="BK90" s="278"/>
      <c r="BL90" s="277"/>
      <c r="BM90" s="22"/>
      <c r="BN90" s="277"/>
      <c r="BO90" s="263"/>
      <c r="BP90" s="277"/>
      <c r="BQ90" s="481"/>
      <c r="BR90" s="465"/>
      <c r="BS90" s="278"/>
      <c r="BT90" s="278"/>
      <c r="BU90" s="278"/>
      <c r="BV90" s="278"/>
      <c r="BW90" s="278"/>
      <c r="BX90" s="278"/>
      <c r="BY90" s="278"/>
      <c r="BZ90" s="278"/>
      <c r="CA90" s="278"/>
      <c r="CB90" s="278"/>
      <c r="CC90" s="391"/>
    </row>
    <row r="91" spans="1:81" x14ac:dyDescent="0.25">
      <c r="A91" s="24" t="s">
        <v>39</v>
      </c>
      <c r="B91" s="100"/>
      <c r="C91" s="101"/>
      <c r="D91" s="101"/>
      <c r="E91" s="101"/>
      <c r="F91" s="101"/>
      <c r="G91" s="101"/>
      <c r="H91" s="101"/>
      <c r="I91" s="101"/>
      <c r="J91" s="101"/>
      <c r="K91" s="102"/>
      <c r="L91" s="101"/>
      <c r="M91" s="101"/>
      <c r="N91" s="101"/>
      <c r="O91" s="101"/>
      <c r="P91" s="101"/>
      <c r="Q91" s="101"/>
      <c r="R91" s="101"/>
      <c r="S91" s="101"/>
      <c r="T91" s="129"/>
      <c r="U91" s="129"/>
      <c r="V91" s="129"/>
      <c r="W91" s="129"/>
      <c r="X91" s="192"/>
      <c r="Y91" s="192"/>
      <c r="Z91" s="173"/>
      <c r="AC91" s="2"/>
      <c r="AG91" s="256"/>
      <c r="AI91" s="310"/>
      <c r="AU91" s="327"/>
      <c r="AV91" s="56"/>
      <c r="AW91" s="56"/>
      <c r="AX91" s="56"/>
      <c r="AY91" s="56"/>
      <c r="AZ91" s="56"/>
      <c r="BA91" s="56"/>
      <c r="BB91" s="114"/>
      <c r="BC91" s="115"/>
      <c r="BD91" s="93"/>
      <c r="BE91" s="114"/>
      <c r="BF91" s="489"/>
      <c r="BG91" s="281"/>
      <c r="BH91" s="276"/>
      <c r="BI91" s="480"/>
      <c r="BJ91" s="277"/>
      <c r="BK91" s="278"/>
      <c r="BL91" s="277"/>
      <c r="BM91" s="22"/>
      <c r="BN91" s="277"/>
      <c r="BO91" s="263"/>
      <c r="BP91" s="277"/>
      <c r="BQ91" s="481"/>
      <c r="BR91" s="465"/>
      <c r="BS91" s="278"/>
      <c r="BT91" s="278"/>
      <c r="BU91" s="278"/>
      <c r="BV91" s="278"/>
      <c r="BW91" s="278"/>
      <c r="BX91" s="278"/>
      <c r="BY91" s="278"/>
      <c r="BZ91" s="278"/>
      <c r="CA91" s="278"/>
      <c r="CB91" s="278"/>
      <c r="CC91" s="391"/>
    </row>
    <row r="92" spans="1:81" x14ac:dyDescent="0.25">
      <c r="A92" s="24" t="s">
        <v>40</v>
      </c>
      <c r="B92" s="85"/>
      <c r="C92" s="101"/>
      <c r="D92" s="101"/>
      <c r="E92" s="101"/>
      <c r="F92" s="101"/>
      <c r="G92" s="101"/>
      <c r="H92" s="101"/>
      <c r="I92" s="101"/>
      <c r="J92" s="101"/>
      <c r="K92" s="102"/>
      <c r="L92" s="101"/>
      <c r="M92" s="101"/>
      <c r="N92" s="101"/>
      <c r="O92" s="101"/>
      <c r="P92" s="101"/>
      <c r="Q92" s="101"/>
      <c r="R92" s="101"/>
      <c r="S92" s="101"/>
      <c r="T92" s="129"/>
      <c r="U92" s="129"/>
      <c r="V92" s="129"/>
      <c r="W92" s="129"/>
      <c r="X92" s="192"/>
      <c r="Y92" s="192"/>
      <c r="Z92" s="173"/>
      <c r="AC92" s="2"/>
      <c r="AG92" s="256"/>
      <c r="AI92" s="310"/>
      <c r="AU92" s="327"/>
      <c r="AV92" s="101"/>
      <c r="AW92" s="101"/>
      <c r="AX92" s="101"/>
      <c r="AY92" s="101"/>
      <c r="AZ92" s="101"/>
      <c r="BA92" s="101"/>
      <c r="BB92" s="303"/>
      <c r="BC92" s="115"/>
      <c r="BD92" s="93"/>
      <c r="BE92" s="114"/>
      <c r="BF92" s="489"/>
      <c r="BG92" s="281"/>
      <c r="BH92" s="276"/>
      <c r="BI92" s="480"/>
      <c r="BJ92" s="277"/>
      <c r="BK92" s="278"/>
      <c r="BL92" s="277"/>
      <c r="BM92" s="22"/>
      <c r="BN92" s="277"/>
      <c r="BO92" s="263"/>
      <c r="BP92" s="277"/>
      <c r="BQ92" s="481"/>
      <c r="BR92" s="465"/>
      <c r="BS92" s="278"/>
      <c r="BT92" s="278"/>
      <c r="BU92" s="278"/>
      <c r="BV92" s="278"/>
      <c r="BW92" s="278"/>
      <c r="BX92" s="278"/>
      <c r="BY92" s="278"/>
      <c r="BZ92" s="278"/>
      <c r="CA92" s="278"/>
      <c r="CB92" s="278"/>
      <c r="CC92" s="391"/>
    </row>
    <row r="93" spans="1:81" x14ac:dyDescent="0.25">
      <c r="A93" s="31" t="s">
        <v>42</v>
      </c>
      <c r="B93" s="60"/>
      <c r="C93" s="61"/>
      <c r="D93" s="61"/>
      <c r="E93" s="61"/>
      <c r="F93" s="61"/>
      <c r="G93" s="61"/>
      <c r="H93" s="61"/>
      <c r="I93" s="61"/>
      <c r="J93" s="61"/>
      <c r="K93" s="62"/>
      <c r="L93" s="63"/>
      <c r="M93" s="61"/>
      <c r="N93" s="63"/>
      <c r="O93" s="61"/>
      <c r="P93" s="61"/>
      <c r="Q93" s="61"/>
      <c r="R93" s="61"/>
      <c r="S93" s="61"/>
      <c r="T93" s="294"/>
      <c r="U93" s="128"/>
      <c r="V93" s="128"/>
      <c r="W93" s="128"/>
      <c r="X93" s="192"/>
      <c r="Y93" s="192"/>
      <c r="Z93" s="173"/>
      <c r="AC93" s="2"/>
      <c r="AG93" s="256"/>
      <c r="AI93" s="310"/>
      <c r="AU93" s="327"/>
      <c r="AV93" s="57"/>
      <c r="AW93" s="64"/>
      <c r="AX93" s="205"/>
      <c r="AY93" s="205"/>
      <c r="AZ93" s="205"/>
      <c r="BA93" s="205"/>
      <c r="BB93" s="304"/>
      <c r="BC93" s="273"/>
      <c r="BD93" s="173"/>
      <c r="BE93" s="173"/>
      <c r="BF93" s="489"/>
      <c r="BG93" s="281"/>
      <c r="BH93" s="276"/>
      <c r="BI93" s="480"/>
      <c r="BJ93" s="277"/>
      <c r="BK93" s="278"/>
      <c r="BL93" s="277"/>
      <c r="BM93" s="22"/>
      <c r="BN93" s="277"/>
      <c r="BO93" s="263"/>
      <c r="BP93" s="277"/>
      <c r="BQ93" s="481"/>
      <c r="BR93" s="465"/>
      <c r="BS93" s="278"/>
      <c r="BT93" s="278"/>
      <c r="BU93" s="278"/>
      <c r="BV93" s="278"/>
      <c r="BW93" s="278"/>
      <c r="BX93" s="278"/>
      <c r="BY93" s="278"/>
      <c r="BZ93" s="278"/>
      <c r="CA93" s="278"/>
      <c r="CB93" s="278"/>
      <c r="CC93" s="391"/>
    </row>
    <row r="94" spans="1:81" x14ac:dyDescent="0.25">
      <c r="A94" s="24" t="s">
        <v>35</v>
      </c>
      <c r="B94" s="135">
        <v>290184.34999999998</v>
      </c>
      <c r="C94" s="136">
        <v>173694.58</v>
      </c>
      <c r="D94" s="136">
        <v>93046.57</v>
      </c>
      <c r="E94" s="136">
        <v>56249.74</v>
      </c>
      <c r="F94" s="136">
        <v>50714.32</v>
      </c>
      <c r="G94" s="136">
        <v>53585.19</v>
      </c>
      <c r="H94" s="136">
        <v>53876.92</v>
      </c>
      <c r="I94" s="136">
        <v>95539.76</v>
      </c>
      <c r="J94" s="136">
        <v>183309.73</v>
      </c>
      <c r="K94" s="138">
        <v>278139.59999999998</v>
      </c>
      <c r="L94" s="136">
        <v>323987.03999999998</v>
      </c>
      <c r="M94" s="136">
        <v>272058.15999999997</v>
      </c>
      <c r="N94" s="136">
        <v>226857.71</v>
      </c>
      <c r="O94" s="136">
        <v>193932.69</v>
      </c>
      <c r="P94" s="136">
        <v>91233.32</v>
      </c>
      <c r="Q94" s="136">
        <v>60391.040000000001</v>
      </c>
      <c r="R94" s="136">
        <v>49442.95</v>
      </c>
      <c r="S94" s="136">
        <v>49130.43</v>
      </c>
      <c r="T94" s="140">
        <v>66041.929999999993</v>
      </c>
      <c r="U94" s="140">
        <v>79599.649999999994</v>
      </c>
      <c r="V94" s="140">
        <v>167766.9</v>
      </c>
      <c r="W94" s="140">
        <v>291304.71999999997</v>
      </c>
      <c r="X94" s="192">
        <v>253256.29</v>
      </c>
      <c r="Y94" s="192">
        <v>277329.28999999998</v>
      </c>
      <c r="Z94" s="192">
        <v>237118.31</v>
      </c>
      <c r="AA94" s="192">
        <v>146383.71</v>
      </c>
      <c r="AB94" s="192">
        <v>71337.87</v>
      </c>
      <c r="AC94" s="241">
        <v>58077.84</v>
      </c>
      <c r="AD94" s="192">
        <v>55990.71</v>
      </c>
      <c r="AE94" s="221">
        <v>47334.15</v>
      </c>
      <c r="AF94" s="254">
        <v>50591.7</v>
      </c>
      <c r="AG94" s="256">
        <v>67404.27</v>
      </c>
      <c r="AH94" s="192">
        <v>236095.46</v>
      </c>
      <c r="AI94" s="316">
        <v>320297.28999999998</v>
      </c>
      <c r="AJ94" s="192">
        <v>530097.03</v>
      </c>
      <c r="AK94" s="256">
        <f t="shared" ref="AK94:AL96" si="106">AK80</f>
        <v>463399.63</v>
      </c>
      <c r="AL94" s="256">
        <f t="shared" si="106"/>
        <v>376170.26</v>
      </c>
      <c r="AM94" s="256">
        <f t="shared" ref="AM94:AU94" si="107">AM80</f>
        <v>201794.92</v>
      </c>
      <c r="AN94" s="256">
        <f t="shared" si="107"/>
        <v>94995.16</v>
      </c>
      <c r="AO94" s="256">
        <f t="shared" si="107"/>
        <v>84718.31</v>
      </c>
      <c r="AP94" s="256">
        <f t="shared" si="107"/>
        <v>65931.27</v>
      </c>
      <c r="AQ94" s="256">
        <f t="shared" si="107"/>
        <v>62067.32</v>
      </c>
      <c r="AR94" s="256">
        <f t="shared" si="107"/>
        <v>60955.97</v>
      </c>
      <c r="AS94" s="256">
        <f t="shared" si="107"/>
        <v>98148.15</v>
      </c>
      <c r="AT94" s="256">
        <f t="shared" si="107"/>
        <v>114518.685</v>
      </c>
      <c r="AU94" s="256">
        <f t="shared" si="107"/>
        <v>485420.6</v>
      </c>
      <c r="AV94" s="59"/>
      <c r="AW94" s="59"/>
      <c r="AX94" s="59"/>
      <c r="AY94" s="59"/>
      <c r="AZ94" s="59"/>
      <c r="BA94" s="59"/>
      <c r="BB94" s="116"/>
      <c r="BC94" s="66"/>
      <c r="BD94" s="67"/>
      <c r="BE94" s="116"/>
      <c r="BF94" s="565">
        <f>BF80</f>
        <v>453572.85</v>
      </c>
      <c r="BG94" s="421">
        <f>BG80</f>
        <v>273551.28999999998</v>
      </c>
      <c r="BH94" s="421">
        <f t="shared" ref="BH94:BI94" si="108">BH80</f>
        <v>309203.17</v>
      </c>
      <c r="BI94" s="421">
        <f t="shared" si="108"/>
        <v>143990.59</v>
      </c>
      <c r="BJ94" s="421">
        <f t="shared" ref="BJ94:BK94" si="109">BJ80</f>
        <v>82558.679999999993</v>
      </c>
      <c r="BK94" s="421">
        <f t="shared" si="109"/>
        <v>73358.17</v>
      </c>
      <c r="BL94" s="421">
        <f t="shared" ref="BL94:BO94" si="110">BL80</f>
        <v>51365.65</v>
      </c>
      <c r="BM94" s="421">
        <f t="shared" si="110"/>
        <v>52963.55</v>
      </c>
      <c r="BN94" s="421">
        <f t="shared" si="110"/>
        <v>58295.17</v>
      </c>
      <c r="BO94" s="421">
        <f t="shared" si="110"/>
        <v>63584</v>
      </c>
      <c r="BP94" s="281"/>
      <c r="BQ94" s="494"/>
      <c r="BR94" s="463">
        <f t="shared" ref="BR94:BR99" si="111">BF94-AJ94</f>
        <v>-76524.180000000051</v>
      </c>
      <c r="BS94" s="398">
        <f t="shared" ref="BS94:BS99" si="112">BG94-AK94</f>
        <v>-189848.34000000003</v>
      </c>
      <c r="BT94" s="398">
        <f t="shared" ref="BT94:BT99" si="113">BH94-AL94</f>
        <v>-66967.090000000026</v>
      </c>
      <c r="BU94" s="398">
        <f t="shared" ref="BU94:BX99" si="114">BI94-AM94</f>
        <v>-57804.330000000016</v>
      </c>
      <c r="BV94" s="398">
        <f t="shared" si="114"/>
        <v>-12436.48000000001</v>
      </c>
      <c r="BW94" s="398">
        <f t="shared" si="114"/>
        <v>-11360.14</v>
      </c>
      <c r="BX94" s="398">
        <f t="shared" si="114"/>
        <v>-14565.620000000003</v>
      </c>
      <c r="BY94" s="398">
        <f t="shared" ref="BY94:BY99" si="115">BM94-AQ94</f>
        <v>-9103.7699999999968</v>
      </c>
      <c r="BZ94" s="398">
        <f t="shared" ref="BZ94:BZ99" si="116">BN94-AR94</f>
        <v>-2660.8000000000029</v>
      </c>
      <c r="CA94" s="398">
        <f t="shared" ref="CA94:CA99" si="117">BO94-AS94</f>
        <v>-34564.149999999994</v>
      </c>
      <c r="CB94" s="278"/>
      <c r="CC94" s="391"/>
    </row>
    <row r="95" spans="1:81" x14ac:dyDescent="0.25">
      <c r="A95" s="24" t="s">
        <v>36</v>
      </c>
      <c r="B95" s="135">
        <v>13581.98</v>
      </c>
      <c r="C95" s="136">
        <v>9607</v>
      </c>
      <c r="D95" s="136">
        <v>5084.55</v>
      </c>
      <c r="E95" s="136">
        <v>2990.51</v>
      </c>
      <c r="F95" s="136">
        <v>2900.88</v>
      </c>
      <c r="G95" s="136">
        <v>2701.9</v>
      </c>
      <c r="H95" s="136">
        <v>2814.98</v>
      </c>
      <c r="I95" s="136">
        <v>5224</v>
      </c>
      <c r="J95" s="136">
        <v>9379.4599999999991</v>
      </c>
      <c r="K95" s="138">
        <v>12396.24</v>
      </c>
      <c r="L95" s="136">
        <v>15335.48</v>
      </c>
      <c r="M95" s="136">
        <v>13625.86</v>
      </c>
      <c r="N95" s="136">
        <v>12010.88</v>
      </c>
      <c r="O95" s="136">
        <v>11024.85</v>
      </c>
      <c r="P95" s="136">
        <v>5190.42</v>
      </c>
      <c r="Q95" s="136">
        <v>3362.07</v>
      </c>
      <c r="R95" s="136">
        <v>2822.99</v>
      </c>
      <c r="S95" s="136">
        <v>2821.47</v>
      </c>
      <c r="T95" s="140">
        <v>3612.95</v>
      </c>
      <c r="U95" s="140">
        <v>4452.34</v>
      </c>
      <c r="V95" s="140">
        <v>9473.7999999999993</v>
      </c>
      <c r="W95" s="140">
        <v>17007.11</v>
      </c>
      <c r="X95" s="192">
        <v>13016.44</v>
      </c>
      <c r="Y95" s="192">
        <v>15108.74</v>
      </c>
      <c r="Z95" s="192">
        <v>16438.900000000001</v>
      </c>
      <c r="AA95" s="192">
        <v>9157.2000000000007</v>
      </c>
      <c r="AB95" s="192">
        <v>3524.43</v>
      </c>
      <c r="AC95" s="241">
        <v>2682.02</v>
      </c>
      <c r="AD95" s="192">
        <v>2658.89</v>
      </c>
      <c r="AE95" s="221">
        <v>2369.4499999999998</v>
      </c>
      <c r="AF95" s="221">
        <v>2411.52</v>
      </c>
      <c r="AG95" s="256">
        <v>3410.11</v>
      </c>
      <c r="AH95" s="192">
        <v>11665.52</v>
      </c>
      <c r="AI95" s="316">
        <v>16182.17</v>
      </c>
      <c r="AJ95" s="192">
        <v>27096.83</v>
      </c>
      <c r="AK95" s="256">
        <f t="shared" si="106"/>
        <v>31569.08</v>
      </c>
      <c r="AL95" s="256">
        <f t="shared" si="106"/>
        <v>25923.200000000001</v>
      </c>
      <c r="AM95" s="256">
        <f t="shared" ref="AM95:AU95" si="118">AM81</f>
        <v>14984.74</v>
      </c>
      <c r="AN95" s="256">
        <f t="shared" si="118"/>
        <v>5515.82</v>
      </c>
      <c r="AO95" s="256">
        <f t="shared" si="118"/>
        <v>4899.22</v>
      </c>
      <c r="AP95" s="256">
        <f t="shared" si="118"/>
        <v>3847.83</v>
      </c>
      <c r="AQ95" s="256">
        <f t="shared" si="118"/>
        <v>3739.36</v>
      </c>
      <c r="AR95" s="256">
        <f t="shared" si="118"/>
        <v>3721.95</v>
      </c>
      <c r="AS95" s="256">
        <f t="shared" si="118"/>
        <v>5787.07</v>
      </c>
      <c r="AT95" s="256">
        <f t="shared" si="118"/>
        <v>8767.64</v>
      </c>
      <c r="AU95" s="256">
        <f t="shared" si="118"/>
        <v>28519.17</v>
      </c>
      <c r="AV95" s="59"/>
      <c r="AW95" s="59"/>
      <c r="AX95" s="59"/>
      <c r="AY95" s="59"/>
      <c r="AZ95" s="59"/>
      <c r="BA95" s="59"/>
      <c r="BB95" s="116"/>
      <c r="BC95" s="66"/>
      <c r="BD95" s="67"/>
      <c r="BE95" s="116"/>
      <c r="BF95" s="565">
        <f>BF81</f>
        <v>28128.01</v>
      </c>
      <c r="BG95" s="421">
        <f t="shared" ref="BG95:BI95" si="119">BG81</f>
        <v>16565.09</v>
      </c>
      <c r="BH95" s="421">
        <f t="shared" si="119"/>
        <v>18820.96</v>
      </c>
      <c r="BI95" s="421">
        <f t="shared" si="119"/>
        <v>9205.89</v>
      </c>
      <c r="BJ95" s="421">
        <f t="shared" ref="BJ95:BK95" si="120">BJ81</f>
        <v>5382.11</v>
      </c>
      <c r="BK95" s="421">
        <f t="shared" si="120"/>
        <v>4448.97</v>
      </c>
      <c r="BL95" s="421">
        <f t="shared" ref="BL95:BO95" si="121">BL81</f>
        <v>3226.26</v>
      </c>
      <c r="BM95" s="421">
        <f t="shared" si="121"/>
        <v>3392.84</v>
      </c>
      <c r="BN95" s="421">
        <f t="shared" si="121"/>
        <v>3742.27</v>
      </c>
      <c r="BO95" s="421">
        <f t="shared" si="121"/>
        <v>4153</v>
      </c>
      <c r="BP95" s="281"/>
      <c r="BQ95" s="494"/>
      <c r="BR95" s="463">
        <f t="shared" si="111"/>
        <v>1031.1799999999967</v>
      </c>
      <c r="BS95" s="398">
        <f t="shared" si="112"/>
        <v>-15003.990000000002</v>
      </c>
      <c r="BT95" s="398">
        <f t="shared" si="113"/>
        <v>-7102.2400000000016</v>
      </c>
      <c r="BU95" s="398">
        <f t="shared" si="114"/>
        <v>-5778.85</v>
      </c>
      <c r="BV95" s="398">
        <f t="shared" si="114"/>
        <v>-133.71000000000004</v>
      </c>
      <c r="BW95" s="398">
        <f t="shared" si="114"/>
        <v>-450.25</v>
      </c>
      <c r="BX95" s="398">
        <f t="shared" si="114"/>
        <v>-621.56999999999971</v>
      </c>
      <c r="BY95" s="398">
        <f t="shared" si="115"/>
        <v>-346.52</v>
      </c>
      <c r="BZ95" s="398">
        <f t="shared" si="116"/>
        <v>20.320000000000164</v>
      </c>
      <c r="CA95" s="398">
        <f t="shared" si="117"/>
        <v>-1634.0699999999997</v>
      </c>
      <c r="CB95" s="278"/>
      <c r="CC95" s="391"/>
    </row>
    <row r="96" spans="1:81" x14ac:dyDescent="0.25">
      <c r="A96" s="24" t="s">
        <v>37</v>
      </c>
      <c r="B96" s="135">
        <v>122728.26</v>
      </c>
      <c r="C96" s="136">
        <v>72701.86</v>
      </c>
      <c r="D96" s="136">
        <v>34957.949999999997</v>
      </c>
      <c r="E96" s="136">
        <v>21340.31</v>
      </c>
      <c r="F96" s="136">
        <v>20201.32</v>
      </c>
      <c r="G96" s="136">
        <v>20183.310000000001</v>
      </c>
      <c r="H96" s="136">
        <v>19164.45</v>
      </c>
      <c r="I96" s="136">
        <v>30060.639999999999</v>
      </c>
      <c r="J96" s="136">
        <v>55659.15</v>
      </c>
      <c r="K96" s="138">
        <v>85962.240000000005</v>
      </c>
      <c r="L96" s="136">
        <v>102309.03</v>
      </c>
      <c r="M96" s="136">
        <v>84980.29</v>
      </c>
      <c r="N96" s="136">
        <v>66939.490000000005</v>
      </c>
      <c r="O96" s="136">
        <v>50102.51</v>
      </c>
      <c r="P96" s="136">
        <v>24313.599999999999</v>
      </c>
      <c r="Q96" s="136">
        <v>17206.419999999998</v>
      </c>
      <c r="R96" s="136">
        <v>15466.46</v>
      </c>
      <c r="S96" s="136">
        <v>15760.55</v>
      </c>
      <c r="T96" s="140">
        <v>21939.87</v>
      </c>
      <c r="U96" s="140">
        <v>23020.49</v>
      </c>
      <c r="V96" s="140">
        <v>47388.08</v>
      </c>
      <c r="W96" s="140">
        <v>85680.89</v>
      </c>
      <c r="X96" s="192">
        <v>68215.12</v>
      </c>
      <c r="Y96" s="192">
        <v>83690.14</v>
      </c>
      <c r="Z96" s="192">
        <v>63301.95</v>
      </c>
      <c r="AA96" s="192">
        <v>40791.980000000003</v>
      </c>
      <c r="AB96" s="192">
        <v>18920.13</v>
      </c>
      <c r="AC96" s="241">
        <v>15221.07</v>
      </c>
      <c r="AD96" s="192">
        <v>17570.64</v>
      </c>
      <c r="AE96" s="221">
        <v>14266.88</v>
      </c>
      <c r="AF96" s="255">
        <v>15524.4</v>
      </c>
      <c r="AG96" s="256">
        <v>26762.15</v>
      </c>
      <c r="AH96" s="192">
        <v>96507.37</v>
      </c>
      <c r="AI96" s="316">
        <v>137760.98000000001</v>
      </c>
      <c r="AJ96" s="192">
        <v>229004.92</v>
      </c>
      <c r="AK96" s="256">
        <f t="shared" si="106"/>
        <v>203388.09</v>
      </c>
      <c r="AL96" s="256">
        <f t="shared" si="106"/>
        <v>167007.07999999999</v>
      </c>
      <c r="AM96" s="256">
        <f t="shared" ref="AM96:AU96" si="122">AM82</f>
        <v>86618.45</v>
      </c>
      <c r="AN96" s="256">
        <f t="shared" si="122"/>
        <v>35698.089999999997</v>
      </c>
      <c r="AO96" s="256">
        <f t="shared" si="122"/>
        <v>32604.33</v>
      </c>
      <c r="AP96" s="256">
        <f t="shared" si="122"/>
        <v>21836.57</v>
      </c>
      <c r="AQ96" s="256">
        <f t="shared" si="122"/>
        <v>21268.6</v>
      </c>
      <c r="AR96" s="256">
        <f t="shared" si="122"/>
        <v>22052.1</v>
      </c>
      <c r="AS96" s="256">
        <f t="shared" si="122"/>
        <v>38888.79</v>
      </c>
      <c r="AT96" s="256">
        <f t="shared" si="122"/>
        <v>54553.599000000002</v>
      </c>
      <c r="AU96" s="256">
        <f t="shared" si="122"/>
        <v>205400.04</v>
      </c>
      <c r="AV96" s="59"/>
      <c r="AW96" s="59"/>
      <c r="AX96" s="59"/>
      <c r="AY96" s="59"/>
      <c r="AZ96" s="59"/>
      <c r="BA96" s="59"/>
      <c r="BB96" s="116"/>
      <c r="BC96" s="66"/>
      <c r="BD96" s="67"/>
      <c r="BE96" s="116"/>
      <c r="BF96" s="565">
        <f>BF82</f>
        <v>196676.1</v>
      </c>
      <c r="BG96" s="421">
        <f t="shared" ref="BG96:BI96" si="123">BG82</f>
        <v>127349.58</v>
      </c>
      <c r="BH96" s="421">
        <f t="shared" si="123"/>
        <v>144192.17000000001</v>
      </c>
      <c r="BI96" s="421">
        <f t="shared" si="123"/>
        <v>67432.350000000006</v>
      </c>
      <c r="BJ96" s="421">
        <f t="shared" ref="BJ96:BK96" si="124">BJ82</f>
        <v>29907.599999999999</v>
      </c>
      <c r="BK96" s="421">
        <f t="shared" si="124"/>
        <v>23960.23</v>
      </c>
      <c r="BL96" s="421">
        <f t="shared" ref="BL96:BO98" si="125">BL82</f>
        <v>15815.84</v>
      </c>
      <c r="BM96" s="421">
        <f t="shared" si="125"/>
        <v>17372.490000000002</v>
      </c>
      <c r="BN96" s="421">
        <f t="shared" si="125"/>
        <v>19766.59</v>
      </c>
      <c r="BO96" s="421">
        <f t="shared" si="125"/>
        <v>9785</v>
      </c>
      <c r="BP96" s="281"/>
      <c r="BQ96" s="494"/>
      <c r="BR96" s="463">
        <f t="shared" si="111"/>
        <v>-32328.820000000007</v>
      </c>
      <c r="BS96" s="398">
        <f t="shared" si="112"/>
        <v>-76038.509999999995</v>
      </c>
      <c r="BT96" s="398">
        <f t="shared" si="113"/>
        <v>-22814.909999999974</v>
      </c>
      <c r="BU96" s="398">
        <f t="shared" si="114"/>
        <v>-19186.099999999991</v>
      </c>
      <c r="BV96" s="398">
        <f t="shared" si="114"/>
        <v>-5790.489999999998</v>
      </c>
      <c r="BW96" s="398">
        <f t="shared" si="114"/>
        <v>-8644.1000000000022</v>
      </c>
      <c r="BX96" s="398">
        <f t="shared" si="114"/>
        <v>-6020.73</v>
      </c>
      <c r="BY96" s="398">
        <f t="shared" si="115"/>
        <v>-3896.1099999999969</v>
      </c>
      <c r="BZ96" s="398">
        <f t="shared" si="116"/>
        <v>-2285.5099999999984</v>
      </c>
      <c r="CA96" s="398">
        <f t="shared" si="117"/>
        <v>-29103.79</v>
      </c>
      <c r="CB96" s="278"/>
      <c r="CC96" s="391"/>
    </row>
    <row r="97" spans="1:81" x14ac:dyDescent="0.25">
      <c r="A97" s="24" t="s">
        <v>38</v>
      </c>
      <c r="B97" s="135"/>
      <c r="C97" s="136"/>
      <c r="D97" s="136"/>
      <c r="E97" s="136"/>
      <c r="F97" s="136"/>
      <c r="G97" s="136"/>
      <c r="H97" s="136"/>
      <c r="I97" s="136"/>
      <c r="J97" s="136"/>
      <c r="K97" s="138"/>
      <c r="L97" s="136"/>
      <c r="M97" s="136"/>
      <c r="N97" s="136"/>
      <c r="O97" s="136"/>
      <c r="P97" s="136"/>
      <c r="Q97" s="136"/>
      <c r="R97" s="136"/>
      <c r="S97" s="136"/>
      <c r="T97" s="140"/>
      <c r="U97" s="140"/>
      <c r="V97" s="140"/>
      <c r="W97" s="140"/>
      <c r="X97" s="192"/>
      <c r="Y97" s="192"/>
      <c r="Z97" s="173"/>
      <c r="AC97" s="2"/>
      <c r="AE97" s="221"/>
      <c r="AF97" s="221"/>
      <c r="AG97" s="256"/>
      <c r="AH97" s="194"/>
      <c r="AI97" s="310"/>
      <c r="AT97" s="173"/>
      <c r="AU97" s="327"/>
      <c r="AV97" s="59"/>
      <c r="AW97" s="59"/>
      <c r="AX97" s="59"/>
      <c r="AY97" s="59"/>
      <c r="AZ97" s="59"/>
      <c r="BA97" s="59"/>
      <c r="BB97" s="116"/>
      <c r="BC97" s="66"/>
      <c r="BD97" s="67"/>
      <c r="BE97" s="116"/>
      <c r="BF97" s="565"/>
      <c r="BG97" s="421"/>
      <c r="BH97" s="421"/>
      <c r="BI97" s="566"/>
      <c r="BJ97" s="566"/>
      <c r="BK97" s="278"/>
      <c r="BL97" s="277"/>
      <c r="BM97" s="241"/>
      <c r="BN97" s="281"/>
      <c r="BO97" s="421">
        <f t="shared" si="125"/>
        <v>7574</v>
      </c>
      <c r="BP97" s="282"/>
      <c r="BQ97" s="481"/>
      <c r="BR97" s="463">
        <f t="shared" si="111"/>
        <v>0</v>
      </c>
      <c r="BS97" s="398">
        <f t="shared" si="112"/>
        <v>0</v>
      </c>
      <c r="BT97" s="398">
        <f t="shared" si="113"/>
        <v>0</v>
      </c>
      <c r="BU97" s="398">
        <f t="shared" si="114"/>
        <v>0</v>
      </c>
      <c r="BV97" s="398">
        <f t="shared" si="114"/>
        <v>0</v>
      </c>
      <c r="BW97" s="398">
        <f t="shared" si="114"/>
        <v>0</v>
      </c>
      <c r="BX97" s="398">
        <f t="shared" si="114"/>
        <v>0</v>
      </c>
      <c r="BY97" s="398">
        <f t="shared" si="115"/>
        <v>0</v>
      </c>
      <c r="BZ97" s="398">
        <f t="shared" si="116"/>
        <v>0</v>
      </c>
      <c r="CA97" s="398">
        <f t="shared" si="117"/>
        <v>7574</v>
      </c>
      <c r="CB97" s="278"/>
      <c r="CC97" s="391"/>
    </row>
    <row r="98" spans="1:81" x14ac:dyDescent="0.25">
      <c r="A98" s="24" t="s">
        <v>47</v>
      </c>
      <c r="B98" s="135">
        <v>18564.060000000001</v>
      </c>
      <c r="C98" s="136">
        <v>10474.629999999999</v>
      </c>
      <c r="D98" s="136">
        <v>3427.51</v>
      </c>
      <c r="E98" s="136">
        <v>161.21</v>
      </c>
      <c r="F98" s="136">
        <v>0</v>
      </c>
      <c r="G98" s="136">
        <v>0</v>
      </c>
      <c r="H98" s="136">
        <v>2098.12</v>
      </c>
      <c r="I98" s="136">
        <v>14756.12</v>
      </c>
      <c r="J98" s="136">
        <v>30843.78</v>
      </c>
      <c r="K98" s="138">
        <v>42691.92</v>
      </c>
      <c r="L98" s="136">
        <v>53813.94</v>
      </c>
      <c r="M98" s="136">
        <v>43902.54</v>
      </c>
      <c r="N98" s="136">
        <v>27816.73</v>
      </c>
      <c r="O98" s="136">
        <v>7830.5</v>
      </c>
      <c r="P98" s="136">
        <v>1629.11</v>
      </c>
      <c r="Q98" s="136">
        <v>1328.1</v>
      </c>
      <c r="R98" s="136">
        <v>177.39</v>
      </c>
      <c r="S98" s="136">
        <v>294.79000000000002</v>
      </c>
      <c r="T98" s="140">
        <v>1938.1</v>
      </c>
      <c r="U98" s="140">
        <v>10253.629999999999</v>
      </c>
      <c r="V98" s="140">
        <v>33068.550000000003</v>
      </c>
      <c r="W98" s="140">
        <v>54115.040000000001</v>
      </c>
      <c r="X98" s="192">
        <v>41575.24</v>
      </c>
      <c r="Y98" s="192">
        <v>31966.91</v>
      </c>
      <c r="Z98" s="192">
        <v>30607.439999999999</v>
      </c>
      <c r="AA98" s="192">
        <v>11936.19</v>
      </c>
      <c r="AB98" s="192">
        <v>14237.28</v>
      </c>
      <c r="AC98" s="241">
        <v>3238.48</v>
      </c>
      <c r="AD98" s="192">
        <v>297.26</v>
      </c>
      <c r="AE98" s="221">
        <v>361.45</v>
      </c>
      <c r="AF98" s="221">
        <v>1281.24</v>
      </c>
      <c r="AG98" s="256">
        <v>0</v>
      </c>
      <c r="AH98" s="194"/>
      <c r="AI98" s="310"/>
      <c r="AT98" s="173"/>
      <c r="AU98" s="327"/>
      <c r="AV98" s="59"/>
      <c r="AW98" s="59"/>
      <c r="AX98" s="59"/>
      <c r="AY98" s="59"/>
      <c r="AZ98" s="59"/>
      <c r="BA98" s="59"/>
      <c r="BB98" s="116"/>
      <c r="BC98" s="66"/>
      <c r="BD98" s="67"/>
      <c r="BE98" s="116"/>
      <c r="BF98" s="565"/>
      <c r="BG98" s="421"/>
      <c r="BH98" s="421"/>
      <c r="BI98" s="566"/>
      <c r="BJ98" s="566"/>
      <c r="BK98" s="241"/>
      <c r="BL98" s="281"/>
      <c r="BM98" s="241"/>
      <c r="BN98" s="281"/>
      <c r="BO98" s="421">
        <f t="shared" si="125"/>
        <v>0</v>
      </c>
      <c r="BP98" s="282"/>
      <c r="BQ98" s="481"/>
      <c r="BR98" s="463">
        <f t="shared" si="111"/>
        <v>0</v>
      </c>
      <c r="BS98" s="398">
        <f t="shared" si="112"/>
        <v>0</v>
      </c>
      <c r="BT98" s="398">
        <f t="shared" si="113"/>
        <v>0</v>
      </c>
      <c r="BU98" s="398">
        <f t="shared" si="114"/>
        <v>0</v>
      </c>
      <c r="BV98" s="398">
        <f t="shared" si="114"/>
        <v>0</v>
      </c>
      <c r="BW98" s="398">
        <f t="shared" si="114"/>
        <v>0</v>
      </c>
      <c r="BX98" s="398">
        <f t="shared" si="114"/>
        <v>0</v>
      </c>
      <c r="BY98" s="398">
        <f t="shared" si="115"/>
        <v>0</v>
      </c>
      <c r="BZ98" s="398">
        <f t="shared" si="116"/>
        <v>0</v>
      </c>
      <c r="CA98" s="398">
        <f t="shared" si="117"/>
        <v>0</v>
      </c>
      <c r="CB98" s="278"/>
      <c r="CC98" s="391"/>
    </row>
    <row r="99" spans="1:81" ht="15.75" thickBot="1" x14ac:dyDescent="0.3">
      <c r="A99" s="497" t="s">
        <v>40</v>
      </c>
      <c r="B99" s="148">
        <f>SUM(B94:B98)</f>
        <v>445058.64999999997</v>
      </c>
      <c r="C99" s="149">
        <v>266478.07</v>
      </c>
      <c r="D99" s="149">
        <v>136516.57999999999</v>
      </c>
      <c r="E99" s="149">
        <v>80741.77</v>
      </c>
      <c r="F99" s="149">
        <v>73816.52</v>
      </c>
      <c r="G99" s="149">
        <v>76470.399999999994</v>
      </c>
      <c r="H99" s="149">
        <v>77954.47</v>
      </c>
      <c r="I99" s="149">
        <v>145580.51999999999</v>
      </c>
      <c r="J99" s="149">
        <v>279192.12</v>
      </c>
      <c r="K99" s="150">
        <v>419190</v>
      </c>
      <c r="L99" s="149">
        <v>495445.49</v>
      </c>
      <c r="M99" s="149">
        <v>414566.85</v>
      </c>
      <c r="N99" s="149">
        <v>333624.81</v>
      </c>
      <c r="O99" s="149">
        <v>262890.55</v>
      </c>
      <c r="P99" s="149">
        <v>122366.45</v>
      </c>
      <c r="Q99" s="149">
        <v>82287.63</v>
      </c>
      <c r="R99" s="149">
        <v>67909.789999999994</v>
      </c>
      <c r="S99" s="149">
        <v>68007.240000000005</v>
      </c>
      <c r="T99" s="155">
        <v>93532.85</v>
      </c>
      <c r="U99" s="151">
        <v>117326.11</v>
      </c>
      <c r="V99" s="151">
        <v>257697.33</v>
      </c>
      <c r="W99" s="151">
        <v>448107.76</v>
      </c>
      <c r="X99" s="192">
        <v>376063.09</v>
      </c>
      <c r="Y99" s="192">
        <f t="shared" ref="Y99:AH99" si="126">SUM(Y94:Y98)</f>
        <v>408095.07999999996</v>
      </c>
      <c r="Z99" s="192">
        <f t="shared" si="126"/>
        <v>347466.6</v>
      </c>
      <c r="AA99" s="192">
        <f t="shared" si="126"/>
        <v>208269.08000000002</v>
      </c>
      <c r="AB99" s="192">
        <f t="shared" si="126"/>
        <v>108019.70999999999</v>
      </c>
      <c r="AC99" s="148">
        <f t="shared" si="126"/>
        <v>79219.409999999989</v>
      </c>
      <c r="AD99" s="148">
        <f t="shared" si="126"/>
        <v>76517.499999999985</v>
      </c>
      <c r="AE99" s="148">
        <f t="shared" si="126"/>
        <v>64331.929999999993</v>
      </c>
      <c r="AF99" s="148">
        <f t="shared" si="126"/>
        <v>69808.86</v>
      </c>
      <c r="AG99" s="148">
        <f t="shared" si="126"/>
        <v>97576.53</v>
      </c>
      <c r="AH99" s="148">
        <f t="shared" si="126"/>
        <v>344268.35</v>
      </c>
      <c r="AI99" s="319">
        <f t="shared" ref="AI99:AO99" si="127">SUM(AI94:AI97)</f>
        <v>474240.43999999994</v>
      </c>
      <c r="AJ99" s="319">
        <f t="shared" si="127"/>
        <v>786198.78</v>
      </c>
      <c r="AK99" s="319">
        <f t="shared" si="127"/>
        <v>698356.8</v>
      </c>
      <c r="AL99" s="319">
        <f t="shared" si="127"/>
        <v>569100.54</v>
      </c>
      <c r="AM99" s="319">
        <f t="shared" si="127"/>
        <v>303398.11</v>
      </c>
      <c r="AN99" s="319">
        <f t="shared" si="127"/>
        <v>136209.07</v>
      </c>
      <c r="AO99" s="319">
        <f t="shared" si="127"/>
        <v>122221.86</v>
      </c>
      <c r="AP99" s="319">
        <f t="shared" ref="AP99:AU99" si="128">SUM(AP94:AP97)</f>
        <v>91615.670000000013</v>
      </c>
      <c r="AQ99" s="319">
        <f t="shared" si="128"/>
        <v>87075.28</v>
      </c>
      <c r="AR99" s="319">
        <f t="shared" si="128"/>
        <v>86730.01999999999</v>
      </c>
      <c r="AS99" s="319">
        <f t="shared" si="128"/>
        <v>142824.01</v>
      </c>
      <c r="AT99" s="319">
        <f t="shared" si="128"/>
        <v>177839.924</v>
      </c>
      <c r="AU99" s="319">
        <f t="shared" si="128"/>
        <v>719339.80999999994</v>
      </c>
      <c r="AV99" s="59"/>
      <c r="AW99" s="59"/>
      <c r="AX99" s="59"/>
      <c r="AY99" s="59"/>
      <c r="AZ99" s="59"/>
      <c r="BA99" s="59"/>
      <c r="BB99" s="116"/>
      <c r="BC99" s="66"/>
      <c r="BD99" s="67"/>
      <c r="BE99" s="116"/>
      <c r="BF99" s="464">
        <f>SUM(BF94:BF96)</f>
        <v>678376.95999999996</v>
      </c>
      <c r="BG99" s="399">
        <f>SUM(BG94:BG97)</f>
        <v>417465.96</v>
      </c>
      <c r="BH99" s="569">
        <f>SUM(BH94:BH98)</f>
        <v>472216.30000000005</v>
      </c>
      <c r="BI99" s="569">
        <f t="shared" ref="BI99:BO99" si="129">SUM(BI94:BI98)</f>
        <v>220628.83</v>
      </c>
      <c r="BJ99" s="569">
        <f t="shared" si="129"/>
        <v>117848.38999999998</v>
      </c>
      <c r="BK99" s="569">
        <f t="shared" si="129"/>
        <v>101767.37</v>
      </c>
      <c r="BL99" s="569">
        <f t="shared" si="129"/>
        <v>70407.75</v>
      </c>
      <c r="BM99" s="569">
        <f t="shared" si="129"/>
        <v>73728.88</v>
      </c>
      <c r="BN99" s="569">
        <f t="shared" si="129"/>
        <v>81804.03</v>
      </c>
      <c r="BO99" s="569">
        <f t="shared" si="129"/>
        <v>85096</v>
      </c>
      <c r="BP99" s="241"/>
      <c r="BQ99" s="498"/>
      <c r="BR99" s="463">
        <f t="shared" si="111"/>
        <v>-107821.82000000007</v>
      </c>
      <c r="BS99" s="398">
        <f t="shared" si="112"/>
        <v>-280890.84000000003</v>
      </c>
      <c r="BT99" s="398">
        <f t="shared" si="113"/>
        <v>-96884.239999999991</v>
      </c>
      <c r="BU99" s="398">
        <f t="shared" si="114"/>
        <v>-82769.279999999999</v>
      </c>
      <c r="BV99" s="398">
        <f t="shared" si="114"/>
        <v>-18360.680000000022</v>
      </c>
      <c r="BW99" s="398">
        <f t="shared" si="114"/>
        <v>-20454.490000000005</v>
      </c>
      <c r="BX99" s="398">
        <f t="shared" si="114"/>
        <v>-21207.920000000013</v>
      </c>
      <c r="BY99" s="398">
        <f t="shared" si="115"/>
        <v>-13346.399999999994</v>
      </c>
      <c r="BZ99" s="398">
        <f t="shared" si="116"/>
        <v>-4925.9899999999907</v>
      </c>
      <c r="CA99" s="398">
        <f t="shared" si="117"/>
        <v>-57728.010000000009</v>
      </c>
      <c r="CB99" s="375"/>
      <c r="CC99" s="448"/>
    </row>
    <row r="100" spans="1:81" x14ac:dyDescent="0.25">
      <c r="A100" s="499" t="s">
        <v>34</v>
      </c>
      <c r="B100" s="500"/>
      <c r="C100" s="501"/>
      <c r="D100" s="501"/>
      <c r="E100" s="501"/>
      <c r="F100" s="501"/>
      <c r="G100" s="501"/>
      <c r="H100" s="501"/>
      <c r="I100" s="501"/>
      <c r="J100" s="501"/>
      <c r="K100" s="502"/>
      <c r="L100" s="95"/>
      <c r="M100" s="501"/>
      <c r="N100" s="95"/>
      <c r="O100" s="501"/>
      <c r="P100" s="501"/>
      <c r="Q100" s="501"/>
      <c r="R100" s="501"/>
      <c r="S100" s="501"/>
      <c r="T100" s="503"/>
      <c r="U100" s="504"/>
      <c r="V100" s="504"/>
      <c r="W100" s="504"/>
      <c r="X100" s="505"/>
      <c r="Y100" s="505"/>
      <c r="Z100" s="506"/>
      <c r="AA100" s="474"/>
      <c r="AB100" s="474"/>
      <c r="AC100" s="507"/>
      <c r="AD100" s="474"/>
      <c r="AE100" s="474"/>
      <c r="AF100" s="474"/>
      <c r="AG100" s="508"/>
      <c r="AH100" s="509"/>
      <c r="AI100" s="510"/>
      <c r="AJ100" s="474"/>
      <c r="AK100" s="474"/>
      <c r="AL100" s="474"/>
      <c r="AM100" s="474"/>
      <c r="AN100" s="474"/>
      <c r="AO100" s="474"/>
      <c r="AP100" s="474"/>
      <c r="AQ100" s="474"/>
      <c r="AR100" s="474"/>
      <c r="AS100" s="474"/>
      <c r="AT100" s="474"/>
      <c r="AU100" s="511"/>
      <c r="AV100" s="95"/>
      <c r="AW100" s="69"/>
      <c r="AX100" s="206"/>
      <c r="AY100" s="206"/>
      <c r="AZ100" s="206"/>
      <c r="BA100" s="206"/>
      <c r="BB100" s="305"/>
      <c r="BC100" s="512"/>
      <c r="BD100" s="512"/>
      <c r="BE100" s="512"/>
      <c r="BF100" s="513"/>
      <c r="BG100" s="513"/>
      <c r="BH100" s="473"/>
      <c r="BI100" s="474"/>
      <c r="BJ100" s="475"/>
      <c r="BK100" s="388"/>
      <c r="BL100" s="475"/>
      <c r="BM100" s="585"/>
      <c r="BN100" s="475"/>
      <c r="BO100" s="476"/>
      <c r="BP100" s="514"/>
      <c r="BQ100" s="477"/>
      <c r="BR100" s="459"/>
      <c r="BS100" s="388"/>
      <c r="BT100" s="388"/>
      <c r="BU100" s="451"/>
      <c r="BV100" s="451"/>
      <c r="BW100" s="451"/>
      <c r="BX100" s="451"/>
      <c r="BY100" s="451"/>
      <c r="BZ100" s="451"/>
      <c r="CA100" s="451"/>
      <c r="CB100" s="388"/>
      <c r="CC100" s="389"/>
    </row>
    <row r="101" spans="1:81" s="194" customFormat="1" x14ac:dyDescent="0.25">
      <c r="A101" s="515" t="s">
        <v>35</v>
      </c>
      <c r="B101" s="152">
        <v>312299.93</v>
      </c>
      <c r="C101" s="153">
        <v>306692.46999999997</v>
      </c>
      <c r="D101" s="153">
        <v>208377.03</v>
      </c>
      <c r="E101" s="149">
        <v>133672.04</v>
      </c>
      <c r="F101" s="153">
        <v>93684.800000000003</v>
      </c>
      <c r="G101" s="153">
        <v>69040.89</v>
      </c>
      <c r="H101" s="153">
        <v>66621.649999999994</v>
      </c>
      <c r="I101" s="153">
        <v>69371.039999999994</v>
      </c>
      <c r="J101" s="153">
        <v>94902.36</v>
      </c>
      <c r="K101" s="154">
        <v>165565.26999999999</v>
      </c>
      <c r="L101" s="149">
        <v>261746.59</v>
      </c>
      <c r="M101" s="153">
        <v>275788</v>
      </c>
      <c r="N101" s="149">
        <v>257676.24</v>
      </c>
      <c r="O101" s="153">
        <v>222244.98</v>
      </c>
      <c r="P101" s="153">
        <v>188608.55</v>
      </c>
      <c r="Q101" s="153">
        <v>104872.07</v>
      </c>
      <c r="R101" s="153">
        <v>81013.100000000006</v>
      </c>
      <c r="S101" s="153">
        <v>65935.67</v>
      </c>
      <c r="T101" s="275">
        <v>72072.56</v>
      </c>
      <c r="U101" s="155">
        <v>78692.86</v>
      </c>
      <c r="V101" s="155">
        <v>86940.39</v>
      </c>
      <c r="W101" s="155">
        <v>155853.99</v>
      </c>
      <c r="X101" s="490">
        <v>241753.86</v>
      </c>
      <c r="Y101" s="490">
        <v>178475.53</v>
      </c>
      <c r="Z101" s="490">
        <v>257187.79</v>
      </c>
      <c r="AA101" s="491">
        <v>224881.08</v>
      </c>
      <c r="AB101" s="491">
        <v>164221.64000000001</v>
      </c>
      <c r="AC101" s="516">
        <v>117637.54</v>
      </c>
      <c r="AD101" s="517">
        <v>86382.5</v>
      </c>
      <c r="AE101" s="491">
        <v>74683.850000000006</v>
      </c>
      <c r="AF101" s="491">
        <v>75638.100000000006</v>
      </c>
      <c r="AG101" s="518">
        <v>63240.51</v>
      </c>
      <c r="AH101" s="490">
        <v>72445.06</v>
      </c>
      <c r="AI101" s="316">
        <v>204085.95</v>
      </c>
      <c r="AJ101" s="490">
        <v>294858.52</v>
      </c>
      <c r="AK101" s="490">
        <v>428372.22</v>
      </c>
      <c r="AL101" s="490">
        <v>474530.81</v>
      </c>
      <c r="AM101" s="490">
        <v>352099.33</v>
      </c>
      <c r="AN101" s="490">
        <v>236735.13</v>
      </c>
      <c r="AO101" s="490">
        <v>146342.53</v>
      </c>
      <c r="AP101" s="490">
        <v>110471.29</v>
      </c>
      <c r="AQ101" s="490">
        <v>98355.23</v>
      </c>
      <c r="AR101" s="490">
        <v>82603.100000000006</v>
      </c>
      <c r="AS101" s="490">
        <v>87800.7</v>
      </c>
      <c r="AT101" s="490">
        <v>106101.15</v>
      </c>
      <c r="AU101" s="490">
        <v>249193.09</v>
      </c>
      <c r="AV101" s="149"/>
      <c r="AW101" s="149"/>
      <c r="AX101" s="149"/>
      <c r="AY101" s="149"/>
      <c r="AZ101" s="149"/>
      <c r="BA101" s="149"/>
      <c r="BB101" s="275"/>
      <c r="BC101" s="155"/>
      <c r="BD101" s="150"/>
      <c r="BE101" s="275"/>
      <c r="BF101" s="568">
        <v>438963.52</v>
      </c>
      <c r="BG101" s="421">
        <v>377501.2</v>
      </c>
      <c r="BH101" s="566">
        <v>302290.09999999998</v>
      </c>
      <c r="BI101" s="566">
        <v>258192.91</v>
      </c>
      <c r="BJ101" s="398">
        <v>195259.44</v>
      </c>
      <c r="BK101" s="398">
        <v>121531.33</v>
      </c>
      <c r="BL101" s="581">
        <v>82275.31</v>
      </c>
      <c r="BM101" s="578">
        <v>20833.89</v>
      </c>
      <c r="BN101" s="398">
        <v>68671.710000000006</v>
      </c>
      <c r="BO101" s="581">
        <v>48773.25</v>
      </c>
      <c r="BP101" s="281"/>
      <c r="BQ101" s="494"/>
      <c r="BR101" s="463">
        <f t="shared" ref="BR101" si="130">BF101-AJ101</f>
        <v>144105</v>
      </c>
      <c r="BS101" s="398">
        <f t="shared" ref="BS101" si="131">BG101-AK101</f>
        <v>-50871.01999999996</v>
      </c>
      <c r="BT101" s="398">
        <f t="shared" ref="BT101" si="132">BH101-AL101</f>
        <v>-172240.71000000002</v>
      </c>
      <c r="BU101" s="398">
        <f t="shared" ref="BU101:BX101" si="133">BI101-AM101</f>
        <v>-93906.420000000013</v>
      </c>
      <c r="BV101" s="398">
        <f t="shared" si="133"/>
        <v>-41475.69</v>
      </c>
      <c r="BW101" s="398">
        <f t="shared" si="133"/>
        <v>-24811.199999999997</v>
      </c>
      <c r="BX101" s="398">
        <f t="shared" si="133"/>
        <v>-28195.979999999996</v>
      </c>
      <c r="BY101" s="398">
        <f t="shared" ref="BY101:BY103" si="134">BM101-AQ101</f>
        <v>-77521.34</v>
      </c>
      <c r="BZ101" s="398">
        <f t="shared" ref="BZ101:BZ103" si="135">BN101-AR101</f>
        <v>-13931.39</v>
      </c>
      <c r="CA101" s="398">
        <f t="shared" ref="CA101:CA103" si="136">BO101-AS101</f>
        <v>-39027.449999999997</v>
      </c>
      <c r="CB101" s="278"/>
      <c r="CC101" s="391"/>
    </row>
    <row r="102" spans="1:81" s="194" customFormat="1" x14ac:dyDescent="0.25">
      <c r="A102" s="515" t="s">
        <v>36</v>
      </c>
      <c r="B102" s="152">
        <v>25692.12</v>
      </c>
      <c r="C102" s="153">
        <v>30821.72</v>
      </c>
      <c r="D102" s="153">
        <v>12464.11</v>
      </c>
      <c r="E102" s="149">
        <v>11125.44</v>
      </c>
      <c r="F102" s="153">
        <v>4488.04</v>
      </c>
      <c r="G102" s="153">
        <v>4333.3999999999996</v>
      </c>
      <c r="H102" s="153">
        <v>2736.66</v>
      </c>
      <c r="I102" s="153">
        <v>3063.32</v>
      </c>
      <c r="J102" s="153">
        <v>4617.88</v>
      </c>
      <c r="K102" s="154">
        <v>5893.7</v>
      </c>
      <c r="L102" s="149">
        <v>13971</v>
      </c>
      <c r="M102" s="153">
        <v>30047.98</v>
      </c>
      <c r="N102" s="149">
        <v>18215.57</v>
      </c>
      <c r="O102" s="153">
        <v>11964.83</v>
      </c>
      <c r="P102" s="153">
        <v>7559.42</v>
      </c>
      <c r="Q102" s="153">
        <v>3705.66</v>
      </c>
      <c r="R102" s="153">
        <v>3230.64</v>
      </c>
      <c r="S102" s="153">
        <v>8154.27</v>
      </c>
      <c r="T102" s="275">
        <v>3407.25</v>
      </c>
      <c r="U102" s="155">
        <v>2896.3</v>
      </c>
      <c r="V102" s="155">
        <v>3271.6</v>
      </c>
      <c r="W102" s="155">
        <v>5690.18</v>
      </c>
      <c r="X102" s="490">
        <v>9135.36</v>
      </c>
      <c r="Y102" s="519">
        <v>4767.24</v>
      </c>
      <c r="Z102" s="490">
        <v>25217.99</v>
      </c>
      <c r="AA102" s="491">
        <v>19011.3</v>
      </c>
      <c r="AB102" s="491">
        <v>13622.72</v>
      </c>
      <c r="AC102" s="516">
        <v>4388.7299999999996</v>
      </c>
      <c r="AD102" s="517">
        <v>3604.13</v>
      </c>
      <c r="AE102" s="491">
        <v>10211.73</v>
      </c>
      <c r="AF102" s="491">
        <v>3976.04</v>
      </c>
      <c r="AG102" s="518">
        <v>2025.42</v>
      </c>
      <c r="AH102" s="490">
        <v>1793.6</v>
      </c>
      <c r="AI102" s="316">
        <v>33656.58</v>
      </c>
      <c r="AJ102" s="490">
        <v>13299.88</v>
      </c>
      <c r="AK102" s="490">
        <v>21651.86</v>
      </c>
      <c r="AL102" s="490">
        <v>11172.89</v>
      </c>
      <c r="AM102" s="490">
        <v>5485.93</v>
      </c>
      <c r="AN102" s="490">
        <v>36048.639999999999</v>
      </c>
      <c r="AO102" s="490">
        <v>24409.9</v>
      </c>
      <c r="AP102" s="490">
        <v>4277.51</v>
      </c>
      <c r="AQ102" s="490">
        <v>13164.9</v>
      </c>
      <c r="AR102" s="490">
        <v>9347.39</v>
      </c>
      <c r="AS102" s="490">
        <v>2954.35</v>
      </c>
      <c r="AT102" s="490">
        <v>2899.99</v>
      </c>
      <c r="AU102" s="490">
        <v>4689.3100000000004</v>
      </c>
      <c r="AV102" s="149"/>
      <c r="AW102" s="149"/>
      <c r="AX102" s="149"/>
      <c r="AY102" s="149"/>
      <c r="AZ102" s="149"/>
      <c r="BA102" s="149"/>
      <c r="BB102" s="275"/>
      <c r="BC102" s="155"/>
      <c r="BD102" s="150"/>
      <c r="BE102" s="275"/>
      <c r="BF102" s="568">
        <v>18104.68</v>
      </c>
      <c r="BG102" s="421">
        <v>24640</v>
      </c>
      <c r="BH102" s="566">
        <v>17684.740000000002</v>
      </c>
      <c r="BI102" s="566">
        <v>20712.05</v>
      </c>
      <c r="BJ102" s="398">
        <v>6960.73</v>
      </c>
      <c r="BK102" s="398">
        <v>16471.73</v>
      </c>
      <c r="BL102" s="581">
        <v>2275.14</v>
      </c>
      <c r="BM102" s="578">
        <v>4030.22</v>
      </c>
      <c r="BN102" s="398">
        <v>9091.09</v>
      </c>
      <c r="BO102" s="581"/>
      <c r="BP102" s="281"/>
      <c r="BQ102" s="494"/>
      <c r="BR102" s="463">
        <f t="shared" ref="BR102:BR103" si="137">BF102-AJ102</f>
        <v>4804.8000000000011</v>
      </c>
      <c r="BS102" s="398">
        <f t="shared" ref="BS102:BS103" si="138">BG102-AK102</f>
        <v>2988.1399999999994</v>
      </c>
      <c r="BT102" s="398">
        <f t="shared" ref="BT102:BT103" si="139">BH102-AL102</f>
        <v>6511.8500000000022</v>
      </c>
      <c r="BU102" s="398">
        <f t="shared" ref="BU102:BX103" si="140">BI102-AM102</f>
        <v>15226.119999999999</v>
      </c>
      <c r="BV102" s="398">
        <f t="shared" si="140"/>
        <v>-29087.91</v>
      </c>
      <c r="BW102" s="398">
        <f t="shared" si="140"/>
        <v>-7938.1700000000019</v>
      </c>
      <c r="BX102" s="398">
        <f t="shared" si="140"/>
        <v>-2002.3700000000003</v>
      </c>
      <c r="BY102" s="398">
        <f t="shared" si="134"/>
        <v>-9134.68</v>
      </c>
      <c r="BZ102" s="398">
        <f t="shared" si="135"/>
        <v>-256.29999999999927</v>
      </c>
      <c r="CA102" s="398">
        <f t="shared" si="136"/>
        <v>-2954.35</v>
      </c>
      <c r="CB102" s="278"/>
      <c r="CC102" s="391"/>
    </row>
    <row r="103" spans="1:81" s="194" customFormat="1" x14ac:dyDescent="0.25">
      <c r="A103" s="515" t="s">
        <v>37</v>
      </c>
      <c r="B103" s="152">
        <v>121656.59</v>
      </c>
      <c r="C103" s="153">
        <v>97674.32</v>
      </c>
      <c r="D103" s="153">
        <v>58676.23</v>
      </c>
      <c r="E103" s="149">
        <v>32630.57</v>
      </c>
      <c r="F103" s="153">
        <v>22898.16</v>
      </c>
      <c r="G103" s="153">
        <v>27231.54</v>
      </c>
      <c r="H103" s="153">
        <v>20706.919999999998</v>
      </c>
      <c r="I103" s="153">
        <v>20527.82</v>
      </c>
      <c r="J103" s="153">
        <v>29008.78</v>
      </c>
      <c r="K103" s="154">
        <v>57704.68</v>
      </c>
      <c r="L103" s="149">
        <v>87149.67</v>
      </c>
      <c r="M103" s="153">
        <v>98111.29</v>
      </c>
      <c r="N103" s="149">
        <v>86176.3</v>
      </c>
      <c r="O103" s="153">
        <v>64450.22</v>
      </c>
      <c r="P103" s="153">
        <v>52489.15</v>
      </c>
      <c r="Q103" s="153">
        <v>31045.85</v>
      </c>
      <c r="R103" s="153">
        <v>20841.48</v>
      </c>
      <c r="S103" s="153">
        <v>15772.39</v>
      </c>
      <c r="T103" s="275">
        <v>19538.150000000001</v>
      </c>
      <c r="U103" s="155">
        <v>23887.13</v>
      </c>
      <c r="V103" s="155">
        <v>23691.200000000001</v>
      </c>
      <c r="W103" s="155">
        <v>44419.1</v>
      </c>
      <c r="X103" s="490">
        <v>77002.679999999993</v>
      </c>
      <c r="Y103" s="519">
        <v>41062.68</v>
      </c>
      <c r="Z103" s="490">
        <v>109215.52</v>
      </c>
      <c r="AA103" s="491">
        <v>75600.83</v>
      </c>
      <c r="AB103" s="491">
        <v>39234.14</v>
      </c>
      <c r="AC103" s="516">
        <v>30916.01</v>
      </c>
      <c r="AD103" s="517">
        <v>12458.29</v>
      </c>
      <c r="AE103" s="491">
        <v>18647.169999999998</v>
      </c>
      <c r="AF103" s="491">
        <v>14878.47</v>
      </c>
      <c r="AG103" s="518">
        <v>16796.07</v>
      </c>
      <c r="AH103" s="490">
        <v>26082.82</v>
      </c>
      <c r="AI103" s="316">
        <v>77490.929999999993</v>
      </c>
      <c r="AJ103" s="490">
        <v>154862.64000000001</v>
      </c>
      <c r="AK103" s="490">
        <v>85990.67</v>
      </c>
      <c r="AL103" s="490">
        <v>297380.49</v>
      </c>
      <c r="AM103" s="490">
        <v>104604.61</v>
      </c>
      <c r="AN103" s="490">
        <v>127583.05</v>
      </c>
      <c r="AO103" s="490">
        <v>55814.86</v>
      </c>
      <c r="AP103" s="490">
        <v>39286.18</v>
      </c>
      <c r="AQ103" s="490">
        <v>28279.96</v>
      </c>
      <c r="AR103" s="490">
        <v>12046.24</v>
      </c>
      <c r="AS103" s="490">
        <v>32200.65</v>
      </c>
      <c r="AT103" s="490">
        <v>36259.06</v>
      </c>
      <c r="AU103" s="520">
        <v>124238.57</v>
      </c>
      <c r="AV103" s="149"/>
      <c r="AW103" s="149"/>
      <c r="AX103" s="149"/>
      <c r="AY103" s="149"/>
      <c r="AZ103" s="149"/>
      <c r="BA103" s="149"/>
      <c r="BB103" s="132"/>
      <c r="BC103" s="155"/>
      <c r="BD103" s="150"/>
      <c r="BE103" s="275"/>
      <c r="BF103" s="568">
        <v>202286.98</v>
      </c>
      <c r="BG103" s="421">
        <v>134573.9</v>
      </c>
      <c r="BH103" s="566">
        <v>195997.52</v>
      </c>
      <c r="BI103" s="566">
        <v>76139.490000000005</v>
      </c>
      <c r="BJ103" s="398">
        <v>139842.04999999999</v>
      </c>
      <c r="BK103" s="398">
        <v>33642.67</v>
      </c>
      <c r="BL103" s="581">
        <v>23471.59</v>
      </c>
      <c r="BM103" s="578">
        <v>5742.9</v>
      </c>
      <c r="BN103" s="398">
        <v>15850.04</v>
      </c>
      <c r="BO103" s="581"/>
      <c r="BP103" s="281"/>
      <c r="BQ103" s="494"/>
      <c r="BR103" s="463">
        <f t="shared" si="137"/>
        <v>47424.34</v>
      </c>
      <c r="BS103" s="398">
        <f t="shared" si="138"/>
        <v>48583.229999999996</v>
      </c>
      <c r="BT103" s="398">
        <f t="shared" si="139"/>
        <v>-101382.97</v>
      </c>
      <c r="BU103" s="398">
        <f t="shared" si="140"/>
        <v>-28465.119999999995</v>
      </c>
      <c r="BV103" s="398">
        <f t="shared" si="140"/>
        <v>12258.999999999985</v>
      </c>
      <c r="BW103" s="398">
        <f t="shared" si="140"/>
        <v>-22172.190000000002</v>
      </c>
      <c r="BX103" s="398">
        <f t="shared" si="140"/>
        <v>-15814.59</v>
      </c>
      <c r="BY103" s="398">
        <f t="shared" si="134"/>
        <v>-22537.059999999998</v>
      </c>
      <c r="BZ103" s="398">
        <f t="shared" si="135"/>
        <v>3803.8000000000011</v>
      </c>
      <c r="CA103" s="398">
        <f t="shared" si="136"/>
        <v>-32200.65</v>
      </c>
      <c r="CB103" s="278"/>
      <c r="CC103" s="391"/>
    </row>
    <row r="104" spans="1:81" s="194" customFormat="1" x14ac:dyDescent="0.25">
      <c r="A104" s="515" t="s">
        <v>38</v>
      </c>
      <c r="B104" s="152"/>
      <c r="C104" s="153"/>
      <c r="D104" s="153"/>
      <c r="E104" s="149"/>
      <c r="F104" s="153"/>
      <c r="G104" s="153"/>
      <c r="H104" s="153"/>
      <c r="I104" s="153"/>
      <c r="J104" s="153"/>
      <c r="K104" s="154"/>
      <c r="L104" s="149"/>
      <c r="M104" s="153"/>
      <c r="N104" s="149"/>
      <c r="O104" s="153"/>
      <c r="P104" s="153"/>
      <c r="Q104" s="153"/>
      <c r="R104" s="153"/>
      <c r="S104" s="153"/>
      <c r="T104" s="275"/>
      <c r="U104" s="155"/>
      <c r="V104" s="155"/>
      <c r="W104" s="155"/>
      <c r="X104" s="490"/>
      <c r="Y104" s="519"/>
      <c r="Z104" s="490"/>
      <c r="AA104" s="491"/>
      <c r="AB104" s="491"/>
      <c r="AC104" s="516"/>
      <c r="AD104" s="517"/>
      <c r="AE104" s="491"/>
      <c r="AF104" s="491"/>
      <c r="AG104" s="518"/>
      <c r="AH104" s="490"/>
      <c r="AI104" s="319"/>
      <c r="AJ104" s="490"/>
      <c r="AK104" s="490"/>
      <c r="AL104" s="490"/>
      <c r="AM104" s="490"/>
      <c r="AN104" s="490"/>
      <c r="AO104" s="490"/>
      <c r="AP104" s="490"/>
      <c r="AQ104" s="490"/>
      <c r="AR104" s="490"/>
      <c r="AS104" s="480"/>
      <c r="AT104" s="490"/>
      <c r="AU104" s="330"/>
      <c r="AV104" s="149"/>
      <c r="AW104" s="149"/>
      <c r="AX104" s="149"/>
      <c r="AY104" s="149"/>
      <c r="AZ104" s="149"/>
      <c r="BA104" s="149"/>
      <c r="BB104" s="155"/>
      <c r="BC104" s="155"/>
      <c r="BD104" s="150"/>
      <c r="BE104" s="275"/>
      <c r="BF104" s="568"/>
      <c r="BG104" s="421"/>
      <c r="BH104" s="421"/>
      <c r="BI104" s="566"/>
      <c r="BJ104" s="282"/>
      <c r="BK104" s="285"/>
      <c r="BL104" s="286"/>
      <c r="BM104" s="587"/>
      <c r="BN104" s="282"/>
      <c r="BO104" s="287"/>
      <c r="BP104" s="281"/>
      <c r="BQ104" s="498"/>
      <c r="BR104" s="465"/>
      <c r="BS104" s="278"/>
      <c r="BT104" s="278"/>
      <c r="BU104" s="398"/>
      <c r="BV104" s="398"/>
      <c r="BW104" s="398"/>
      <c r="BX104" s="398"/>
      <c r="BY104" s="398"/>
      <c r="BZ104" s="398"/>
      <c r="CA104" s="398"/>
      <c r="CB104" s="278"/>
      <c r="CC104" s="391"/>
    </row>
    <row r="105" spans="1:81" s="194" customFormat="1" x14ac:dyDescent="0.25">
      <c r="A105" s="515" t="s">
        <v>47</v>
      </c>
      <c r="B105" s="152">
        <v>65320.31</v>
      </c>
      <c r="C105" s="153">
        <v>48205.78</v>
      </c>
      <c r="D105" s="153">
        <v>22073.61</v>
      </c>
      <c r="E105" s="149">
        <v>13184.66</v>
      </c>
      <c r="F105" s="153">
        <v>2947</v>
      </c>
      <c r="G105" s="153">
        <v>1444.57</v>
      </c>
      <c r="H105" s="153">
        <v>656.25</v>
      </c>
      <c r="I105" s="153">
        <v>1947.93</v>
      </c>
      <c r="J105" s="153">
        <v>11469.58</v>
      </c>
      <c r="K105" s="154">
        <v>33964.15</v>
      </c>
      <c r="L105" s="149">
        <v>42651.92</v>
      </c>
      <c r="M105" s="153">
        <v>53853.94</v>
      </c>
      <c r="N105" s="149">
        <v>43902.54</v>
      </c>
      <c r="O105" s="153">
        <v>27816.73</v>
      </c>
      <c r="P105" s="153">
        <v>7830.5</v>
      </c>
      <c r="Q105" s="153">
        <v>1629.11</v>
      </c>
      <c r="R105" s="153">
        <v>1328.1</v>
      </c>
      <c r="S105" s="153">
        <v>177.39</v>
      </c>
      <c r="T105" s="275">
        <v>320.79000000000002</v>
      </c>
      <c r="U105" s="155">
        <v>1242.21</v>
      </c>
      <c r="V105" s="155">
        <v>10922.31</v>
      </c>
      <c r="W105" s="155">
        <v>33068.550000000003</v>
      </c>
      <c r="X105" s="490">
        <v>54115.040000000001</v>
      </c>
      <c r="Y105" s="519">
        <v>31966.91</v>
      </c>
      <c r="Z105" s="490">
        <v>65234.75</v>
      </c>
      <c r="AA105" s="491">
        <v>1500</v>
      </c>
      <c r="AB105" s="491">
        <v>38914.839999999997</v>
      </c>
      <c r="AC105" s="516">
        <v>26173.47</v>
      </c>
      <c r="AD105" s="517">
        <v>3238.48</v>
      </c>
      <c r="AE105" s="491">
        <v>297.26</v>
      </c>
      <c r="AF105" s="491">
        <v>361.45</v>
      </c>
      <c r="AG105" s="518">
        <v>0</v>
      </c>
      <c r="AH105" s="490"/>
      <c r="AI105" s="319"/>
      <c r="AJ105" s="490"/>
      <c r="AK105" s="490"/>
      <c r="AL105" s="490"/>
      <c r="AM105" s="490"/>
      <c r="AN105" s="490"/>
      <c r="AO105" s="490"/>
      <c r="AP105" s="490"/>
      <c r="AQ105" s="490"/>
      <c r="AR105" s="490"/>
      <c r="AS105" s="480"/>
      <c r="AT105" s="490"/>
      <c r="AU105" s="330"/>
      <c r="AV105" s="149"/>
      <c r="AW105" s="149"/>
      <c r="AX105" s="149"/>
      <c r="AY105" s="149"/>
      <c r="AZ105" s="149"/>
      <c r="BA105" s="149"/>
      <c r="BB105" s="155"/>
      <c r="BC105" s="155"/>
      <c r="BD105" s="150"/>
      <c r="BE105" s="275"/>
      <c r="BF105" s="568"/>
      <c r="BG105" s="421"/>
      <c r="BH105" s="421"/>
      <c r="BI105" s="566"/>
      <c r="BJ105" s="282"/>
      <c r="BK105" s="285"/>
      <c r="BL105" s="286"/>
      <c r="BM105" s="587"/>
      <c r="BN105" s="282"/>
      <c r="BO105" s="287"/>
      <c r="BP105" s="281"/>
      <c r="BQ105" s="498"/>
      <c r="BR105" s="465"/>
      <c r="BS105" s="278"/>
      <c r="BT105" s="278"/>
      <c r="BU105" s="398"/>
      <c r="BV105" s="398"/>
      <c r="BW105" s="398"/>
      <c r="BX105" s="398"/>
      <c r="BY105" s="398"/>
      <c r="BZ105" s="398"/>
      <c r="CA105" s="398"/>
      <c r="CB105" s="278"/>
      <c r="CC105" s="391"/>
    </row>
    <row r="106" spans="1:81" s="194" customFormat="1" x14ac:dyDescent="0.25">
      <c r="A106" s="515" t="s">
        <v>40</v>
      </c>
      <c r="B106" s="135">
        <f>SUM(B101:B105)</f>
        <v>524968.94999999995</v>
      </c>
      <c r="C106" s="135">
        <f t="shared" ref="C106:BE106" si="141">SUM(C101:C105)</f>
        <v>483394.28999999992</v>
      </c>
      <c r="D106" s="135">
        <f t="shared" si="141"/>
        <v>301590.98</v>
      </c>
      <c r="E106" s="135">
        <f t="shared" si="141"/>
        <v>190612.71000000002</v>
      </c>
      <c r="F106" s="135">
        <f t="shared" si="141"/>
        <v>124018</v>
      </c>
      <c r="G106" s="135">
        <f t="shared" si="141"/>
        <v>102050.4</v>
      </c>
      <c r="H106" s="135">
        <f t="shared" si="141"/>
        <v>90721.48</v>
      </c>
      <c r="I106" s="135">
        <f t="shared" si="141"/>
        <v>94910.109999999986</v>
      </c>
      <c r="J106" s="135">
        <f t="shared" si="141"/>
        <v>139998.6</v>
      </c>
      <c r="K106" s="135">
        <f t="shared" si="141"/>
        <v>263127.8</v>
      </c>
      <c r="L106" s="135">
        <f t="shared" si="141"/>
        <v>405519.17999999993</v>
      </c>
      <c r="M106" s="135">
        <f t="shared" si="141"/>
        <v>457801.20999999996</v>
      </c>
      <c r="N106" s="135">
        <f t="shared" si="141"/>
        <v>405970.64999999997</v>
      </c>
      <c r="O106" s="135">
        <f t="shared" si="141"/>
        <v>326476.76</v>
      </c>
      <c r="P106" s="135">
        <f t="shared" si="141"/>
        <v>256487.62</v>
      </c>
      <c r="Q106" s="135">
        <f t="shared" si="141"/>
        <v>141252.69</v>
      </c>
      <c r="R106" s="135">
        <f t="shared" si="141"/>
        <v>106413.32</v>
      </c>
      <c r="S106" s="135">
        <f t="shared" si="141"/>
        <v>90039.72</v>
      </c>
      <c r="T106" s="135">
        <f t="shared" si="141"/>
        <v>95338.749999999985</v>
      </c>
      <c r="U106" s="140">
        <f t="shared" si="141"/>
        <v>106718.50000000001</v>
      </c>
      <c r="V106" s="135">
        <f t="shared" si="141"/>
        <v>124825.5</v>
      </c>
      <c r="W106" s="135">
        <f t="shared" si="141"/>
        <v>239031.82</v>
      </c>
      <c r="X106" s="135">
        <f>SUM(X101:X105)</f>
        <v>382006.93999999994</v>
      </c>
      <c r="Y106" s="491">
        <f t="shared" ref="Y106:AE106" si="142">SUM(Y101:Y105)</f>
        <v>256272.36</v>
      </c>
      <c r="Z106" s="491">
        <f t="shared" si="142"/>
        <v>456856.05000000005</v>
      </c>
      <c r="AA106" s="491">
        <f t="shared" si="142"/>
        <v>320993.20999999996</v>
      </c>
      <c r="AB106" s="491">
        <f t="shared" si="142"/>
        <v>255993.34</v>
      </c>
      <c r="AC106" s="516">
        <f t="shared" si="142"/>
        <v>179115.75</v>
      </c>
      <c r="AD106" s="517">
        <f t="shared" si="142"/>
        <v>105683.40000000001</v>
      </c>
      <c r="AE106" s="517">
        <f t="shared" si="142"/>
        <v>103840.01</v>
      </c>
      <c r="AF106" s="517">
        <f t="shared" ref="AF106:AM106" si="143">SUM(AF101:AF105)</f>
        <v>94854.06</v>
      </c>
      <c r="AG106" s="517">
        <f t="shared" si="143"/>
        <v>82062</v>
      </c>
      <c r="AH106" s="490">
        <f t="shared" si="143"/>
        <v>100321.48000000001</v>
      </c>
      <c r="AI106" s="316">
        <f t="shared" si="143"/>
        <v>315233.46000000002</v>
      </c>
      <c r="AJ106" s="490">
        <f t="shared" si="143"/>
        <v>463021.04000000004</v>
      </c>
      <c r="AK106" s="490">
        <f t="shared" si="143"/>
        <v>536014.75</v>
      </c>
      <c r="AL106" s="490">
        <f t="shared" si="143"/>
        <v>783084.19</v>
      </c>
      <c r="AM106" s="490">
        <f t="shared" si="143"/>
        <v>462189.87</v>
      </c>
      <c r="AN106" s="490">
        <v>400366.82</v>
      </c>
      <c r="AO106" s="490">
        <v>226567.29</v>
      </c>
      <c r="AP106" s="490">
        <v>154034.98000000001</v>
      </c>
      <c r="AQ106" s="490">
        <v>139800.09</v>
      </c>
      <c r="AR106" s="490">
        <v>103996.73</v>
      </c>
      <c r="AS106" s="490">
        <v>122955.7</v>
      </c>
      <c r="AT106" s="490">
        <f>SUM(AT101:AT105)</f>
        <v>145260.20000000001</v>
      </c>
      <c r="AU106" s="490">
        <f>SUM(AU101:AU105)</f>
        <v>378120.97</v>
      </c>
      <c r="AV106" s="140">
        <f t="shared" si="141"/>
        <v>0</v>
      </c>
      <c r="AW106" s="135">
        <f t="shared" si="141"/>
        <v>0</v>
      </c>
      <c r="AX106" s="135">
        <f t="shared" si="141"/>
        <v>0</v>
      </c>
      <c r="AY106" s="135">
        <f t="shared" si="141"/>
        <v>0</v>
      </c>
      <c r="AZ106" s="135">
        <f t="shared" si="141"/>
        <v>0</v>
      </c>
      <c r="BA106" s="135">
        <f t="shared" si="141"/>
        <v>0</v>
      </c>
      <c r="BB106" s="135">
        <f t="shared" si="141"/>
        <v>0</v>
      </c>
      <c r="BC106" s="140">
        <f t="shared" si="141"/>
        <v>0</v>
      </c>
      <c r="BD106" s="140">
        <f t="shared" si="141"/>
        <v>0</v>
      </c>
      <c r="BE106" s="135">
        <f t="shared" si="141"/>
        <v>0</v>
      </c>
      <c r="BF106" s="568">
        <f>SUM(BF101:BF105)</f>
        <v>659355.18000000005</v>
      </c>
      <c r="BG106" s="398">
        <f>SUM(BG101:BG104)</f>
        <v>536715.1</v>
      </c>
      <c r="BH106" s="568">
        <f>SUM(BH101:BH105)</f>
        <v>515972.36</v>
      </c>
      <c r="BI106" s="568">
        <f t="shared" ref="BI106:BO106" si="144">SUM(BI101:BI105)</f>
        <v>355044.45</v>
      </c>
      <c r="BJ106" s="568">
        <f t="shared" si="144"/>
        <v>342062.22</v>
      </c>
      <c r="BK106" s="568">
        <f t="shared" si="144"/>
        <v>171645.72999999998</v>
      </c>
      <c r="BL106" s="568">
        <f t="shared" si="144"/>
        <v>108022.04</v>
      </c>
      <c r="BM106" s="568">
        <f t="shared" si="144"/>
        <v>30607.010000000002</v>
      </c>
      <c r="BN106" s="568">
        <f t="shared" si="144"/>
        <v>93612.84</v>
      </c>
      <c r="BO106" s="568">
        <f t="shared" si="144"/>
        <v>48773.25</v>
      </c>
      <c r="BP106" s="281"/>
      <c r="BQ106" s="494"/>
      <c r="BR106" s="463">
        <f t="shared" ref="BR106" si="145">BF106-AJ106</f>
        <v>196334.14</v>
      </c>
      <c r="BS106" s="398">
        <f t="shared" ref="BS106" si="146">BG106-AK106</f>
        <v>700.34999999997672</v>
      </c>
      <c r="BT106" s="398">
        <f t="shared" ref="BT106" si="147">BH106-AL106</f>
        <v>-267111.82999999996</v>
      </c>
      <c r="BU106" s="398">
        <f t="shared" ref="BU106:BX106" si="148">BI106-AM106</f>
        <v>-107145.41999999998</v>
      </c>
      <c r="BV106" s="398">
        <f t="shared" si="148"/>
        <v>-58304.600000000035</v>
      </c>
      <c r="BW106" s="398">
        <f t="shared" si="148"/>
        <v>-54921.560000000027</v>
      </c>
      <c r="BX106" s="398">
        <f t="shared" si="148"/>
        <v>-46012.940000000017</v>
      </c>
      <c r="BY106" s="398">
        <f t="shared" ref="BY106" si="149">BM106-AQ106</f>
        <v>-109193.07999999999</v>
      </c>
      <c r="BZ106" s="398">
        <f t="shared" ref="BZ106" si="150">BN106-AR106</f>
        <v>-10383.89</v>
      </c>
      <c r="CA106" s="398">
        <f t="shared" ref="CA106" si="151">BO106-AS106</f>
        <v>-74182.45</v>
      </c>
      <c r="CB106" s="278"/>
      <c r="CC106" s="391"/>
    </row>
    <row r="107" spans="1:81" x14ac:dyDescent="0.25">
      <c r="A107" s="521" t="s">
        <v>31</v>
      </c>
      <c r="B107" s="72"/>
      <c r="C107" s="73"/>
      <c r="D107" s="73"/>
      <c r="E107" s="74"/>
      <c r="F107" s="73"/>
      <c r="G107" s="73"/>
      <c r="H107" s="73"/>
      <c r="I107" s="73"/>
      <c r="J107" s="73"/>
      <c r="K107" s="75"/>
      <c r="L107" s="74"/>
      <c r="M107" s="73"/>
      <c r="N107" s="74"/>
      <c r="O107" s="73"/>
      <c r="P107" s="73"/>
      <c r="Q107" s="73"/>
      <c r="R107" s="73"/>
      <c r="S107" s="73"/>
      <c r="T107" s="295"/>
      <c r="U107" s="130"/>
      <c r="V107" s="130"/>
      <c r="W107" s="130"/>
      <c r="X107" s="480"/>
      <c r="Y107" s="480"/>
      <c r="Z107" s="480"/>
      <c r="AA107" s="480"/>
      <c r="AB107" s="480"/>
      <c r="AC107" s="480"/>
      <c r="AD107" s="480"/>
      <c r="AE107" s="480"/>
      <c r="AF107" s="480"/>
      <c r="AG107" s="480"/>
      <c r="AH107" s="480"/>
      <c r="AI107" s="310"/>
      <c r="AJ107" s="480"/>
      <c r="AK107" s="480"/>
      <c r="AL107" s="480"/>
      <c r="AM107" s="480"/>
      <c r="AN107" s="480"/>
      <c r="AO107" s="480"/>
      <c r="AP107" s="480"/>
      <c r="AQ107" s="480"/>
      <c r="AR107" s="480"/>
      <c r="AS107" s="480"/>
      <c r="AT107" s="480"/>
      <c r="AU107" s="327"/>
      <c r="AV107" s="74"/>
      <c r="AW107" s="76"/>
      <c r="AX107" s="207"/>
      <c r="AY107" s="207"/>
      <c r="AZ107" s="207"/>
      <c r="BA107" s="207"/>
      <c r="BB107" s="246"/>
      <c r="BC107" s="308"/>
      <c r="BD107" s="308"/>
      <c r="BE107" s="308"/>
      <c r="BF107" s="281"/>
      <c r="BG107" s="276"/>
      <c r="BH107" s="276"/>
      <c r="BI107" s="480"/>
      <c r="BJ107" s="277"/>
      <c r="BK107" s="278"/>
      <c r="BL107" s="277"/>
      <c r="BM107" s="22"/>
      <c r="BN107" s="277"/>
      <c r="BO107" s="263"/>
      <c r="BP107" s="277"/>
      <c r="BQ107" s="481"/>
      <c r="BR107" s="465"/>
      <c r="BS107" s="278"/>
      <c r="BT107" s="278"/>
      <c r="BU107" s="398"/>
      <c r="BV107" s="278"/>
      <c r="BW107" s="278"/>
      <c r="BX107" s="278"/>
      <c r="BY107" s="278"/>
      <c r="BZ107" s="278"/>
      <c r="CA107" s="278"/>
      <c r="CB107" s="278"/>
      <c r="CC107" s="391"/>
    </row>
    <row r="108" spans="1:81" x14ac:dyDescent="0.25">
      <c r="A108" s="522" t="s">
        <v>35</v>
      </c>
      <c r="B108" s="77"/>
      <c r="C108" s="78"/>
      <c r="D108" s="78"/>
      <c r="E108" s="79"/>
      <c r="F108" s="78"/>
      <c r="G108" s="78"/>
      <c r="H108" s="78"/>
      <c r="I108" s="78"/>
      <c r="J108" s="78"/>
      <c r="K108" s="80"/>
      <c r="L108" s="79"/>
      <c r="M108" s="78"/>
      <c r="N108" s="79"/>
      <c r="O108" s="78"/>
      <c r="P108" s="78"/>
      <c r="Q108" s="78"/>
      <c r="R108" s="78"/>
      <c r="S108" s="78"/>
      <c r="T108" s="117"/>
      <c r="U108" s="131"/>
      <c r="V108" s="131"/>
      <c r="W108" s="131"/>
      <c r="X108" s="131"/>
      <c r="Y108" s="131"/>
      <c r="Z108" s="131"/>
      <c r="AA108" s="131"/>
      <c r="AB108" s="131"/>
      <c r="AC108" s="131"/>
      <c r="AD108" s="131"/>
      <c r="AE108" s="131"/>
      <c r="AF108" s="131"/>
      <c r="AG108" s="131"/>
      <c r="AH108" s="131"/>
      <c r="AI108" s="320"/>
      <c r="AJ108" s="131"/>
      <c r="AK108" s="131"/>
      <c r="AL108" s="131"/>
      <c r="AM108" s="131"/>
      <c r="AN108" s="131"/>
      <c r="AO108" s="131"/>
      <c r="AP108" s="131"/>
      <c r="AQ108" s="131"/>
      <c r="AR108" s="131"/>
      <c r="AS108" s="131"/>
      <c r="AT108" s="131"/>
      <c r="AU108" s="157"/>
      <c r="AV108" s="79"/>
      <c r="AW108" s="79"/>
      <c r="AX108" s="79"/>
      <c r="AY108" s="79"/>
      <c r="AZ108" s="79"/>
      <c r="BA108" s="79"/>
      <c r="BB108" s="117"/>
      <c r="BC108" s="131"/>
      <c r="BD108" s="157"/>
      <c r="BE108" s="117"/>
      <c r="BF108" s="276"/>
      <c r="BG108" s="276"/>
      <c r="BH108" s="276"/>
      <c r="BI108" s="480"/>
      <c r="BJ108" s="277"/>
      <c r="BK108" s="278"/>
      <c r="BL108" s="277"/>
      <c r="BM108" s="22"/>
      <c r="BN108" s="277"/>
      <c r="BO108" s="560">
        <v>717</v>
      </c>
      <c r="BP108" s="277"/>
      <c r="BQ108" s="481"/>
      <c r="BR108" s="460"/>
      <c r="BS108" s="394"/>
      <c r="BT108" s="394"/>
      <c r="BU108" s="394"/>
      <c r="BV108" s="278"/>
      <c r="BW108" s="278"/>
      <c r="BX108" s="278"/>
      <c r="BY108" s="278"/>
      <c r="BZ108" s="278"/>
      <c r="CA108" s="278"/>
      <c r="CB108" s="278"/>
      <c r="CC108" s="391"/>
    </row>
    <row r="109" spans="1:81" x14ac:dyDescent="0.25">
      <c r="A109" s="522" t="s">
        <v>36</v>
      </c>
      <c r="B109" s="77"/>
      <c r="C109" s="78"/>
      <c r="D109" s="78"/>
      <c r="E109" s="79"/>
      <c r="F109" s="78"/>
      <c r="G109" s="78"/>
      <c r="H109" s="78"/>
      <c r="I109" s="78"/>
      <c r="J109" s="78"/>
      <c r="K109" s="80"/>
      <c r="L109" s="79"/>
      <c r="M109" s="78"/>
      <c r="N109" s="79"/>
      <c r="O109" s="78"/>
      <c r="P109" s="78"/>
      <c r="Q109" s="78"/>
      <c r="R109" s="78"/>
      <c r="S109" s="78"/>
      <c r="T109" s="117"/>
      <c r="U109" s="131"/>
      <c r="V109" s="131"/>
      <c r="W109" s="131"/>
      <c r="X109" s="131"/>
      <c r="Y109" s="131"/>
      <c r="Z109" s="131"/>
      <c r="AA109" s="131"/>
      <c r="AB109" s="131"/>
      <c r="AC109" s="131"/>
      <c r="AD109" s="131"/>
      <c r="AE109" s="131"/>
      <c r="AF109" s="131"/>
      <c r="AG109" s="131"/>
      <c r="AH109" s="131"/>
      <c r="AI109" s="320"/>
      <c r="AJ109" s="131"/>
      <c r="AK109" s="131"/>
      <c r="AL109" s="131"/>
      <c r="AM109" s="131"/>
      <c r="AN109" s="131"/>
      <c r="AO109" s="131"/>
      <c r="AP109" s="131"/>
      <c r="AQ109" s="131"/>
      <c r="AR109" s="131"/>
      <c r="AS109" s="131"/>
      <c r="AT109" s="131"/>
      <c r="AU109" s="157"/>
      <c r="AV109" s="79"/>
      <c r="AW109" s="79"/>
      <c r="AX109" s="79"/>
      <c r="AY109" s="79"/>
      <c r="AZ109" s="79"/>
      <c r="BA109" s="79"/>
      <c r="BB109" s="117"/>
      <c r="BC109" s="131"/>
      <c r="BD109" s="157"/>
      <c r="BE109" s="117"/>
      <c r="BF109" s="276"/>
      <c r="BG109" s="276"/>
      <c r="BH109" s="276"/>
      <c r="BI109" s="480"/>
      <c r="BJ109" s="277"/>
      <c r="BK109" s="278"/>
      <c r="BL109" s="277"/>
      <c r="BM109" s="22"/>
      <c r="BN109" s="277"/>
      <c r="BO109" s="263"/>
      <c r="BP109" s="277"/>
      <c r="BQ109" s="481"/>
      <c r="BR109" s="460"/>
      <c r="BS109" s="394"/>
      <c r="BT109" s="394"/>
      <c r="BU109" s="394"/>
      <c r="BV109" s="278"/>
      <c r="BW109" s="278"/>
      <c r="BX109" s="278"/>
      <c r="BY109" s="278"/>
      <c r="BZ109" s="278"/>
      <c r="CA109" s="278"/>
      <c r="CB109" s="278"/>
      <c r="CC109" s="391"/>
    </row>
    <row r="110" spans="1:81" x14ac:dyDescent="0.25">
      <c r="A110" s="522" t="s">
        <v>37</v>
      </c>
      <c r="B110" s="77"/>
      <c r="C110" s="78"/>
      <c r="D110" s="78"/>
      <c r="E110" s="79"/>
      <c r="F110" s="78"/>
      <c r="G110" s="78"/>
      <c r="H110" s="78"/>
      <c r="I110" s="78"/>
      <c r="J110" s="78"/>
      <c r="K110" s="80"/>
      <c r="L110" s="79"/>
      <c r="M110" s="78"/>
      <c r="N110" s="79"/>
      <c r="O110" s="78"/>
      <c r="P110" s="78"/>
      <c r="Q110" s="78"/>
      <c r="R110" s="78"/>
      <c r="S110" s="78"/>
      <c r="T110" s="117"/>
      <c r="U110" s="131"/>
      <c r="V110" s="131"/>
      <c r="W110" s="131"/>
      <c r="X110" s="131"/>
      <c r="Y110" s="131"/>
      <c r="Z110" s="131"/>
      <c r="AA110" s="131"/>
      <c r="AB110" s="131"/>
      <c r="AC110" s="131"/>
      <c r="AD110" s="131"/>
      <c r="AE110" s="131"/>
      <c r="AF110" s="131"/>
      <c r="AG110" s="131"/>
      <c r="AH110" s="131"/>
      <c r="AI110" s="320"/>
      <c r="AJ110" s="131"/>
      <c r="AK110" s="131"/>
      <c r="AL110" s="131"/>
      <c r="AM110" s="131"/>
      <c r="AN110" s="131"/>
      <c r="AO110" s="131"/>
      <c r="AP110" s="131"/>
      <c r="AQ110" s="131"/>
      <c r="AR110" s="131"/>
      <c r="AS110" s="131"/>
      <c r="AT110" s="131"/>
      <c r="AU110" s="157"/>
      <c r="AV110" s="79"/>
      <c r="AW110" s="79"/>
      <c r="AX110" s="79"/>
      <c r="AY110" s="79"/>
      <c r="AZ110" s="79"/>
      <c r="BA110" s="79"/>
      <c r="BB110" s="117"/>
      <c r="BC110" s="131"/>
      <c r="BD110" s="157"/>
      <c r="BE110" s="117"/>
      <c r="BF110" s="276"/>
      <c r="BG110" s="276"/>
      <c r="BH110" s="276"/>
      <c r="BI110" s="480"/>
      <c r="BJ110" s="277"/>
      <c r="BK110" s="278"/>
      <c r="BL110" s="277"/>
      <c r="BM110" s="22"/>
      <c r="BN110" s="277"/>
      <c r="BO110" s="263"/>
      <c r="BP110" s="277"/>
      <c r="BQ110" s="481"/>
      <c r="BR110" s="460"/>
      <c r="BS110" s="394"/>
      <c r="BT110" s="394"/>
      <c r="BU110" s="394"/>
      <c r="BV110" s="278"/>
      <c r="BW110" s="278"/>
      <c r="BX110" s="278"/>
      <c r="BY110" s="278"/>
      <c r="BZ110" s="278"/>
      <c r="CA110" s="278"/>
      <c r="CB110" s="278"/>
      <c r="CC110" s="391"/>
    </row>
    <row r="111" spans="1:81" x14ac:dyDescent="0.25">
      <c r="A111" s="522" t="s">
        <v>38</v>
      </c>
      <c r="B111" s="77"/>
      <c r="C111" s="78"/>
      <c r="D111" s="78"/>
      <c r="E111" s="79"/>
      <c r="F111" s="78"/>
      <c r="G111" s="78"/>
      <c r="H111" s="78"/>
      <c r="I111" s="78"/>
      <c r="J111" s="78"/>
      <c r="K111" s="80"/>
      <c r="L111" s="79"/>
      <c r="M111" s="78"/>
      <c r="N111" s="79"/>
      <c r="O111" s="78"/>
      <c r="P111" s="78"/>
      <c r="Q111" s="78"/>
      <c r="R111" s="78"/>
      <c r="S111" s="78"/>
      <c r="T111" s="117"/>
      <c r="U111" s="131"/>
      <c r="V111" s="131"/>
      <c r="W111" s="131"/>
      <c r="X111" s="131"/>
      <c r="Y111" s="131"/>
      <c r="Z111" s="131"/>
      <c r="AA111" s="131"/>
      <c r="AB111" s="131"/>
      <c r="AC111" s="131"/>
      <c r="AD111" s="131"/>
      <c r="AE111" s="131"/>
      <c r="AF111" s="131"/>
      <c r="AG111" s="131"/>
      <c r="AH111" s="131"/>
      <c r="AI111" s="320"/>
      <c r="AJ111" s="131"/>
      <c r="AK111" s="131"/>
      <c r="AL111" s="131"/>
      <c r="AM111" s="131"/>
      <c r="AN111" s="131"/>
      <c r="AO111" s="131"/>
      <c r="AP111" s="131"/>
      <c r="AQ111" s="131"/>
      <c r="AR111" s="131"/>
      <c r="AS111" s="131"/>
      <c r="AT111" s="131"/>
      <c r="AU111" s="157"/>
      <c r="AV111" s="79"/>
      <c r="AW111" s="79"/>
      <c r="AX111" s="79"/>
      <c r="AY111" s="79"/>
      <c r="AZ111" s="79"/>
      <c r="BA111" s="79"/>
      <c r="BB111" s="117"/>
      <c r="BC111" s="131"/>
      <c r="BD111" s="157"/>
      <c r="BE111" s="117"/>
      <c r="BF111" s="276"/>
      <c r="BG111" s="276"/>
      <c r="BH111" s="276"/>
      <c r="BI111" s="480"/>
      <c r="BJ111" s="277"/>
      <c r="BK111" s="278"/>
      <c r="BL111" s="277"/>
      <c r="BM111" s="22"/>
      <c r="BN111" s="277"/>
      <c r="BO111" s="263"/>
      <c r="BP111" s="277"/>
      <c r="BQ111" s="481"/>
      <c r="BR111" s="460"/>
      <c r="BS111" s="394"/>
      <c r="BT111" s="394"/>
      <c r="BU111" s="394"/>
      <c r="BV111" s="278"/>
      <c r="BW111" s="278"/>
      <c r="BX111" s="278"/>
      <c r="BY111" s="278"/>
      <c r="BZ111" s="278"/>
      <c r="CA111" s="278"/>
      <c r="CB111" s="278"/>
      <c r="CC111" s="391"/>
    </row>
    <row r="112" spans="1:81" x14ac:dyDescent="0.25">
      <c r="A112" s="522" t="s">
        <v>39</v>
      </c>
      <c r="B112" s="77"/>
      <c r="C112" s="78"/>
      <c r="D112" s="78"/>
      <c r="E112" s="79"/>
      <c r="F112" s="78"/>
      <c r="G112" s="78"/>
      <c r="H112" s="78"/>
      <c r="I112" s="78"/>
      <c r="J112" s="78"/>
      <c r="K112" s="80"/>
      <c r="L112" s="79"/>
      <c r="M112" s="78"/>
      <c r="N112" s="79"/>
      <c r="O112" s="78"/>
      <c r="P112" s="78"/>
      <c r="Q112" s="78"/>
      <c r="R112" s="78"/>
      <c r="S112" s="78"/>
      <c r="T112" s="117"/>
      <c r="U112" s="131"/>
      <c r="V112" s="131"/>
      <c r="W112" s="131"/>
      <c r="X112" s="131"/>
      <c r="Y112" s="131"/>
      <c r="Z112" s="131"/>
      <c r="AA112" s="131"/>
      <c r="AB112" s="131"/>
      <c r="AC112" s="131"/>
      <c r="AD112" s="131"/>
      <c r="AE112" s="131"/>
      <c r="AF112" s="131"/>
      <c r="AG112" s="131"/>
      <c r="AH112" s="131"/>
      <c r="AI112" s="320"/>
      <c r="AJ112" s="131"/>
      <c r="AK112" s="131"/>
      <c r="AL112" s="131"/>
      <c r="AM112" s="131"/>
      <c r="AN112" s="131"/>
      <c r="AO112" s="131"/>
      <c r="AP112" s="131"/>
      <c r="AQ112" s="131"/>
      <c r="AR112" s="131"/>
      <c r="AS112" s="131"/>
      <c r="AT112" s="131"/>
      <c r="AU112" s="157"/>
      <c r="AV112" s="79"/>
      <c r="AW112" s="79"/>
      <c r="AX112" s="79"/>
      <c r="AY112" s="79"/>
      <c r="AZ112" s="79"/>
      <c r="BA112" s="79"/>
      <c r="BB112" s="117"/>
      <c r="BC112" s="131"/>
      <c r="BD112" s="157"/>
      <c r="BE112" s="117"/>
      <c r="BF112" s="276"/>
      <c r="BG112" s="276"/>
      <c r="BH112" s="276"/>
      <c r="BI112" s="480"/>
      <c r="BJ112" s="277"/>
      <c r="BK112" s="278"/>
      <c r="BL112" s="277"/>
      <c r="BM112" s="22"/>
      <c r="BN112" s="277"/>
      <c r="BO112" s="263"/>
      <c r="BP112" s="277"/>
      <c r="BQ112" s="481"/>
      <c r="BR112" s="460"/>
      <c r="BS112" s="394"/>
      <c r="BT112" s="394"/>
      <c r="BU112" s="394"/>
      <c r="BV112" s="278"/>
      <c r="BW112" s="278"/>
      <c r="BX112" s="278"/>
      <c r="BY112" s="278"/>
      <c r="BZ112" s="278"/>
      <c r="CA112" s="278"/>
      <c r="CB112" s="278"/>
      <c r="CC112" s="391"/>
    </row>
    <row r="113" spans="1:81" ht="15.75" thickBot="1" x14ac:dyDescent="0.3">
      <c r="A113" s="523" t="s">
        <v>40</v>
      </c>
      <c r="B113" s="81"/>
      <c r="C113" s="147"/>
      <c r="D113" s="291"/>
      <c r="E113" s="291"/>
      <c r="F113" s="147"/>
      <c r="G113" s="291"/>
      <c r="H113" s="291"/>
      <c r="I113" s="291"/>
      <c r="J113" s="291"/>
      <c r="K113" s="524"/>
      <c r="L113" s="147"/>
      <c r="M113" s="147"/>
      <c r="N113" s="291"/>
      <c r="O113" s="291"/>
      <c r="P113" s="291"/>
      <c r="Q113" s="291"/>
      <c r="R113" s="291"/>
      <c r="S113" s="147"/>
      <c r="T113" s="291"/>
      <c r="U113" s="236"/>
      <c r="V113" s="236"/>
      <c r="W113" s="236"/>
      <c r="X113" s="291"/>
      <c r="Y113" s="291"/>
      <c r="Z113" s="291"/>
      <c r="AA113" s="291"/>
      <c r="AB113" s="291"/>
      <c r="AC113" s="291"/>
      <c r="AD113" s="291"/>
      <c r="AE113" s="291"/>
      <c r="AF113" s="291"/>
      <c r="AG113" s="291"/>
      <c r="AH113" s="291"/>
      <c r="AI113" s="236"/>
      <c r="AJ113" s="291"/>
      <c r="AK113" s="291"/>
      <c r="AL113" s="291"/>
      <c r="AM113" s="291"/>
      <c r="AN113" s="291"/>
      <c r="AO113" s="291"/>
      <c r="AP113" s="291"/>
      <c r="AQ113" s="291"/>
      <c r="AR113" s="291"/>
      <c r="AS113" s="291"/>
      <c r="AT113" s="291"/>
      <c r="AU113" s="524"/>
      <c r="AV113" s="41"/>
      <c r="AW113" s="41"/>
      <c r="AX113" s="41"/>
      <c r="AY113" s="41"/>
      <c r="AZ113" s="41"/>
      <c r="BA113" s="41"/>
      <c r="BB113" s="118"/>
      <c r="BC113" s="110"/>
      <c r="BD113" s="90"/>
      <c r="BE113" s="118"/>
      <c r="BF113" s="482"/>
      <c r="BG113" s="482"/>
      <c r="BH113" s="482"/>
      <c r="BI113" s="525"/>
      <c r="BJ113" s="486"/>
      <c r="BK113" s="375"/>
      <c r="BL113" s="486"/>
      <c r="BM113" s="586"/>
      <c r="BN113" s="486"/>
      <c r="BO113" s="487"/>
      <c r="BP113" s="486"/>
      <c r="BQ113" s="488"/>
      <c r="BR113" s="460"/>
      <c r="BS113" s="394"/>
      <c r="BT113" s="394"/>
      <c r="BU113" s="394"/>
      <c r="BV113" s="375"/>
      <c r="BW113" s="375"/>
      <c r="BX113" s="375"/>
      <c r="BY113" s="375"/>
      <c r="BZ113" s="375"/>
      <c r="CA113" s="375"/>
      <c r="CB113" s="375"/>
      <c r="CC113" s="448"/>
    </row>
    <row r="114" spans="1:81" x14ac:dyDescent="0.25">
      <c r="A114" s="526" t="s">
        <v>43</v>
      </c>
      <c r="B114" s="527"/>
      <c r="C114" s="528"/>
      <c r="D114" s="528"/>
      <c r="E114" s="529"/>
      <c r="F114" s="528"/>
      <c r="G114" s="528"/>
      <c r="H114" s="528"/>
      <c r="I114" s="528"/>
      <c r="J114" s="528"/>
      <c r="K114" s="530"/>
      <c r="L114" s="529"/>
      <c r="M114" s="528"/>
      <c r="N114" s="529"/>
      <c r="O114" s="528"/>
      <c r="P114" s="528"/>
      <c r="Q114" s="528"/>
      <c r="R114" s="528"/>
      <c r="S114" s="528"/>
      <c r="T114" s="531"/>
      <c r="U114" s="532"/>
      <c r="V114" s="532"/>
      <c r="W114" s="532"/>
      <c r="X114" s="532"/>
      <c r="Y114" s="532"/>
      <c r="Z114" s="532"/>
      <c r="AA114" s="532"/>
      <c r="AB114" s="532"/>
      <c r="AC114" s="532"/>
      <c r="AD114" s="532"/>
      <c r="AE114" s="532"/>
      <c r="AF114" s="532"/>
      <c r="AG114" s="532"/>
      <c r="AH114" s="532"/>
      <c r="AI114" s="533"/>
      <c r="AJ114" s="532"/>
      <c r="AK114" s="532"/>
      <c r="AL114" s="532"/>
      <c r="AM114" s="532"/>
      <c r="AN114" s="532"/>
      <c r="AO114" s="532"/>
      <c r="AP114" s="532"/>
      <c r="AQ114" s="532"/>
      <c r="AR114" s="532"/>
      <c r="AS114" s="532"/>
      <c r="AT114" s="532"/>
      <c r="AU114" s="534"/>
      <c r="AV114" s="529"/>
      <c r="AW114" s="535"/>
      <c r="AX114" s="536"/>
      <c r="AY114" s="536"/>
      <c r="AZ114" s="536"/>
      <c r="BA114" s="536"/>
      <c r="BB114" s="306"/>
      <c r="BC114" s="506"/>
      <c r="BD114" s="506"/>
      <c r="BE114" s="506"/>
      <c r="BF114" s="473"/>
      <c r="BG114" s="473"/>
      <c r="BH114" s="473"/>
      <c r="BI114" s="474"/>
      <c r="BJ114" s="475"/>
      <c r="BK114" s="388"/>
      <c r="BL114" s="475"/>
      <c r="BM114" s="585"/>
      <c r="BN114" s="475"/>
      <c r="BO114" s="476"/>
      <c r="BP114" s="475"/>
      <c r="BQ114" s="477"/>
      <c r="BR114" s="459"/>
      <c r="BS114" s="388"/>
      <c r="BT114" s="388"/>
      <c r="BU114" s="388"/>
      <c r="BV114" s="388"/>
      <c r="BW114" s="388"/>
      <c r="BX114" s="388"/>
      <c r="BY114" s="388"/>
      <c r="BZ114" s="388"/>
      <c r="CA114" s="388"/>
      <c r="CB114" s="388"/>
      <c r="CC114" s="389"/>
    </row>
    <row r="115" spans="1:81" x14ac:dyDescent="0.25">
      <c r="A115" s="522" t="s">
        <v>35</v>
      </c>
      <c r="B115" s="65"/>
      <c r="C115" s="59"/>
      <c r="D115" s="59"/>
      <c r="E115" s="59"/>
      <c r="F115" s="59"/>
      <c r="G115" s="59"/>
      <c r="H115" s="59"/>
      <c r="I115" s="59"/>
      <c r="J115" s="59"/>
      <c r="K115" s="67"/>
      <c r="L115" s="59"/>
      <c r="M115" s="58"/>
      <c r="N115" s="59"/>
      <c r="O115" s="59"/>
      <c r="P115" s="59"/>
      <c r="Q115" s="59"/>
      <c r="R115" s="59"/>
      <c r="S115" s="59"/>
      <c r="T115" s="112"/>
      <c r="U115" s="96"/>
      <c r="V115" s="99"/>
      <c r="W115" s="99"/>
      <c r="X115" s="66"/>
      <c r="Y115" s="66"/>
      <c r="Z115" s="66"/>
      <c r="AA115" s="66"/>
      <c r="AB115" s="66"/>
      <c r="AC115" s="66"/>
      <c r="AD115" s="66"/>
      <c r="AE115" s="66"/>
      <c r="AF115" s="66"/>
      <c r="AG115" s="66"/>
      <c r="AH115" s="66"/>
      <c r="AI115" s="98"/>
      <c r="AJ115" s="66"/>
      <c r="AK115" s="66"/>
      <c r="AL115" s="66"/>
      <c r="AM115" s="66"/>
      <c r="AN115" s="66"/>
      <c r="AO115" s="66"/>
      <c r="AP115" s="66"/>
      <c r="AQ115" s="66"/>
      <c r="AR115" s="66"/>
      <c r="AS115" s="66"/>
      <c r="AT115" s="66"/>
      <c r="AU115" s="67"/>
      <c r="AV115" s="59"/>
      <c r="AW115" s="59"/>
      <c r="AX115" s="59"/>
      <c r="AY115" s="59"/>
      <c r="AZ115" s="59"/>
      <c r="BA115" s="59"/>
      <c r="BB115" s="116"/>
      <c r="BC115" s="66"/>
      <c r="BD115" s="67"/>
      <c r="BE115" s="116"/>
      <c r="BF115" s="276"/>
      <c r="BG115" s="276"/>
      <c r="BH115" s="276"/>
      <c r="BI115" s="480"/>
      <c r="BJ115" s="277"/>
      <c r="BK115" s="278"/>
      <c r="BL115" s="277"/>
      <c r="BM115" s="22"/>
      <c r="BN115" s="277"/>
      <c r="BO115" s="263"/>
      <c r="BP115" s="277"/>
      <c r="BQ115" s="481"/>
      <c r="BR115" s="463"/>
      <c r="BS115" s="398"/>
      <c r="BT115" s="398"/>
      <c r="BU115" s="398"/>
      <c r="BV115" s="278"/>
      <c r="BW115" s="278"/>
      <c r="BX115" s="278"/>
      <c r="BY115" s="278"/>
      <c r="BZ115" s="278"/>
      <c r="CA115" s="278"/>
      <c r="CB115" s="278"/>
      <c r="CC115" s="391"/>
    </row>
    <row r="116" spans="1:81" x14ac:dyDescent="0.25">
      <c r="A116" s="522" t="s">
        <v>36</v>
      </c>
      <c r="B116" s="65"/>
      <c r="C116" s="59"/>
      <c r="D116" s="59"/>
      <c r="E116" s="59"/>
      <c r="F116" s="59"/>
      <c r="G116" s="59"/>
      <c r="H116" s="59"/>
      <c r="I116" s="59"/>
      <c r="J116" s="59"/>
      <c r="K116" s="67"/>
      <c r="L116" s="59"/>
      <c r="M116" s="58"/>
      <c r="N116" s="59"/>
      <c r="O116" s="59"/>
      <c r="P116" s="59"/>
      <c r="Q116" s="59"/>
      <c r="R116" s="59"/>
      <c r="S116" s="59"/>
      <c r="T116" s="116"/>
      <c r="U116" s="96"/>
      <c r="V116" s="99"/>
      <c r="W116" s="99"/>
      <c r="X116" s="66"/>
      <c r="Y116" s="66"/>
      <c r="Z116" s="66"/>
      <c r="AA116" s="66"/>
      <c r="AB116" s="66"/>
      <c r="AC116" s="66"/>
      <c r="AD116" s="66"/>
      <c r="AE116" s="66"/>
      <c r="AF116" s="66"/>
      <c r="AG116" s="66"/>
      <c r="AH116" s="66"/>
      <c r="AI116" s="98"/>
      <c r="AJ116" s="66"/>
      <c r="AK116" s="66"/>
      <c r="AL116" s="66"/>
      <c r="AM116" s="66"/>
      <c r="AN116" s="66"/>
      <c r="AO116" s="66"/>
      <c r="AP116" s="66"/>
      <c r="AQ116" s="66"/>
      <c r="AR116" s="66"/>
      <c r="AS116" s="66"/>
      <c r="AT116" s="66"/>
      <c r="AU116" s="67"/>
      <c r="AV116" s="59"/>
      <c r="AW116" s="59"/>
      <c r="AX116" s="59"/>
      <c r="AY116" s="59"/>
      <c r="AZ116" s="59"/>
      <c r="BA116" s="59"/>
      <c r="BB116" s="116"/>
      <c r="BC116" s="66"/>
      <c r="BD116" s="67"/>
      <c r="BE116" s="116"/>
      <c r="BF116" s="276"/>
      <c r="BG116" s="276"/>
      <c r="BH116" s="276"/>
      <c r="BI116" s="480"/>
      <c r="BJ116" s="277"/>
      <c r="BK116" s="278"/>
      <c r="BL116" s="277"/>
      <c r="BM116" s="22"/>
      <c r="BN116" s="277"/>
      <c r="BO116" s="263"/>
      <c r="BP116" s="277"/>
      <c r="BQ116" s="481"/>
      <c r="BR116" s="463"/>
      <c r="BS116" s="398"/>
      <c r="BT116" s="398"/>
      <c r="BU116" s="398"/>
      <c r="BV116" s="278"/>
      <c r="BW116" s="278"/>
      <c r="BX116" s="278"/>
      <c r="BY116" s="278"/>
      <c r="BZ116" s="278"/>
      <c r="CA116" s="278"/>
      <c r="CB116" s="278"/>
      <c r="CC116" s="391"/>
    </row>
    <row r="117" spans="1:81" x14ac:dyDescent="0.25">
      <c r="A117" s="522" t="s">
        <v>37</v>
      </c>
      <c r="B117" s="65"/>
      <c r="C117" s="59"/>
      <c r="D117" s="59"/>
      <c r="E117" s="59"/>
      <c r="F117" s="59"/>
      <c r="G117" s="59"/>
      <c r="H117" s="59"/>
      <c r="I117" s="59"/>
      <c r="J117" s="59"/>
      <c r="K117" s="67"/>
      <c r="L117" s="59"/>
      <c r="M117" s="58"/>
      <c r="N117" s="59"/>
      <c r="O117" s="59"/>
      <c r="P117" s="59"/>
      <c r="Q117" s="59"/>
      <c r="R117" s="59"/>
      <c r="S117" s="59"/>
      <c r="T117" s="116"/>
      <c r="U117" s="96"/>
      <c r="V117" s="99"/>
      <c r="W117" s="99"/>
      <c r="X117" s="66"/>
      <c r="Y117" s="66"/>
      <c r="Z117" s="66"/>
      <c r="AA117" s="66"/>
      <c r="AB117" s="66"/>
      <c r="AC117" s="66"/>
      <c r="AD117" s="66"/>
      <c r="AE117" s="66"/>
      <c r="AF117" s="66"/>
      <c r="AG117" s="66"/>
      <c r="AH117" s="66"/>
      <c r="AI117" s="98"/>
      <c r="AJ117" s="66"/>
      <c r="AK117" s="66"/>
      <c r="AL117" s="66"/>
      <c r="AM117" s="66"/>
      <c r="AN117" s="66"/>
      <c r="AO117" s="66"/>
      <c r="AP117" s="66"/>
      <c r="AQ117" s="66"/>
      <c r="AR117" s="66"/>
      <c r="AS117" s="66"/>
      <c r="AT117" s="66"/>
      <c r="AU117" s="67"/>
      <c r="AV117" s="59"/>
      <c r="AW117" s="59"/>
      <c r="AX117" s="59"/>
      <c r="AY117" s="59"/>
      <c r="AZ117" s="59"/>
      <c r="BA117" s="59"/>
      <c r="BB117" s="116"/>
      <c r="BC117" s="66"/>
      <c r="BD117" s="67"/>
      <c r="BE117" s="116"/>
      <c r="BF117" s="276"/>
      <c r="BG117" s="276"/>
      <c r="BH117" s="276"/>
      <c r="BI117" s="480"/>
      <c r="BJ117" s="277"/>
      <c r="BK117" s="278"/>
      <c r="BL117" s="277"/>
      <c r="BM117" s="22"/>
      <c r="BN117" s="277"/>
      <c r="BO117" s="263"/>
      <c r="BP117" s="277"/>
      <c r="BQ117" s="481"/>
      <c r="BR117" s="463"/>
      <c r="BS117" s="398"/>
      <c r="BT117" s="398"/>
      <c r="BU117" s="398"/>
      <c r="BV117" s="278"/>
      <c r="BW117" s="278"/>
      <c r="BX117" s="278"/>
      <c r="BY117" s="278"/>
      <c r="BZ117" s="278"/>
      <c r="CA117" s="278"/>
      <c r="CB117" s="278"/>
      <c r="CC117" s="391"/>
    </row>
    <row r="118" spans="1:81" x14ac:dyDescent="0.25">
      <c r="A118" s="522" t="s">
        <v>38</v>
      </c>
      <c r="B118" s="65"/>
      <c r="C118" s="59"/>
      <c r="D118" s="59"/>
      <c r="E118" s="59"/>
      <c r="F118" s="59"/>
      <c r="G118" s="59"/>
      <c r="H118" s="59"/>
      <c r="I118" s="59"/>
      <c r="J118" s="59"/>
      <c r="K118" s="67"/>
      <c r="L118" s="59"/>
      <c r="M118" s="58"/>
      <c r="N118" s="59"/>
      <c r="O118" s="59"/>
      <c r="P118" s="59"/>
      <c r="Q118" s="59"/>
      <c r="R118" s="59"/>
      <c r="S118" s="59"/>
      <c r="T118" s="116"/>
      <c r="U118" s="96"/>
      <c r="V118" s="99"/>
      <c r="W118" s="99"/>
      <c r="X118" s="66"/>
      <c r="Y118" s="66"/>
      <c r="Z118" s="66"/>
      <c r="AA118" s="66"/>
      <c r="AB118" s="66"/>
      <c r="AC118" s="66"/>
      <c r="AD118" s="66"/>
      <c r="AE118" s="66"/>
      <c r="AF118" s="66"/>
      <c r="AG118" s="66"/>
      <c r="AH118" s="66"/>
      <c r="AI118" s="98"/>
      <c r="AJ118" s="66"/>
      <c r="AK118" s="66"/>
      <c r="AL118" s="66"/>
      <c r="AM118" s="66"/>
      <c r="AN118" s="66"/>
      <c r="AO118" s="66"/>
      <c r="AP118" s="66"/>
      <c r="AQ118" s="66"/>
      <c r="AR118" s="66"/>
      <c r="AS118" s="66"/>
      <c r="AT118" s="66"/>
      <c r="AU118" s="67"/>
      <c r="AV118" s="59"/>
      <c r="AW118" s="59"/>
      <c r="AX118" s="59"/>
      <c r="AY118" s="59"/>
      <c r="AZ118" s="59"/>
      <c r="BA118" s="59"/>
      <c r="BB118" s="116"/>
      <c r="BC118" s="66"/>
      <c r="BD118" s="67"/>
      <c r="BE118" s="116"/>
      <c r="BF118" s="276"/>
      <c r="BG118" s="276"/>
      <c r="BH118" s="276"/>
      <c r="BI118" s="480"/>
      <c r="BJ118" s="277"/>
      <c r="BK118" s="278"/>
      <c r="BL118" s="277"/>
      <c r="BM118" s="22"/>
      <c r="BN118" s="277"/>
      <c r="BO118" s="263"/>
      <c r="BP118" s="277"/>
      <c r="BQ118" s="481"/>
      <c r="BR118" s="463"/>
      <c r="BS118" s="398"/>
      <c r="BT118" s="398"/>
      <c r="BU118" s="398"/>
      <c r="BV118" s="278"/>
      <c r="BW118" s="278"/>
      <c r="BX118" s="278"/>
      <c r="BY118" s="278"/>
      <c r="BZ118" s="278"/>
      <c r="CA118" s="278"/>
      <c r="CB118" s="278"/>
      <c r="CC118" s="391"/>
    </row>
    <row r="119" spans="1:81" x14ac:dyDescent="0.25">
      <c r="A119" s="522" t="s">
        <v>39</v>
      </c>
      <c r="B119" s="65"/>
      <c r="C119" s="59"/>
      <c r="D119" s="59"/>
      <c r="E119" s="59"/>
      <c r="F119" s="59"/>
      <c r="G119" s="59"/>
      <c r="H119" s="59"/>
      <c r="I119" s="59"/>
      <c r="J119" s="59"/>
      <c r="K119" s="67"/>
      <c r="L119" s="59"/>
      <c r="M119" s="58"/>
      <c r="N119" s="59"/>
      <c r="O119" s="59"/>
      <c r="P119" s="59"/>
      <c r="Q119" s="59"/>
      <c r="R119" s="59"/>
      <c r="S119" s="59"/>
      <c r="T119" s="116"/>
      <c r="U119" s="96"/>
      <c r="V119" s="99"/>
      <c r="W119" s="99"/>
      <c r="X119" s="66"/>
      <c r="Y119" s="66"/>
      <c r="Z119" s="66"/>
      <c r="AA119" s="66"/>
      <c r="AB119" s="66"/>
      <c r="AC119" s="66"/>
      <c r="AD119" s="66"/>
      <c r="AE119" s="66"/>
      <c r="AF119" s="66"/>
      <c r="AG119" s="66"/>
      <c r="AH119" s="66"/>
      <c r="AI119" s="98"/>
      <c r="AJ119" s="66"/>
      <c r="AK119" s="66"/>
      <c r="AL119" s="66"/>
      <c r="AM119" s="66"/>
      <c r="AN119" s="66"/>
      <c r="AO119" s="66"/>
      <c r="AP119" s="66"/>
      <c r="AQ119" s="66"/>
      <c r="AR119" s="66"/>
      <c r="AS119" s="66"/>
      <c r="AT119" s="66"/>
      <c r="AU119" s="67"/>
      <c r="AV119" s="59"/>
      <c r="AW119" s="59"/>
      <c r="AX119" s="59"/>
      <c r="AY119" s="59"/>
      <c r="AZ119" s="59"/>
      <c r="BA119" s="59"/>
      <c r="BB119" s="116"/>
      <c r="BC119" s="66"/>
      <c r="BD119" s="67"/>
      <c r="BE119" s="116"/>
      <c r="BF119" s="276"/>
      <c r="BG119" s="276"/>
      <c r="BH119" s="276"/>
      <c r="BI119" s="480"/>
      <c r="BJ119" s="277"/>
      <c r="BK119" s="278"/>
      <c r="BL119" s="277"/>
      <c r="BM119" s="22"/>
      <c r="BN119" s="277"/>
      <c r="BO119" s="263"/>
      <c r="BP119" s="277"/>
      <c r="BQ119" s="481"/>
      <c r="BR119" s="463"/>
      <c r="BS119" s="398"/>
      <c r="BT119" s="398"/>
      <c r="BU119" s="398"/>
      <c r="BV119" s="278"/>
      <c r="BW119" s="278"/>
      <c r="BX119" s="278"/>
      <c r="BY119" s="278"/>
      <c r="BZ119" s="278"/>
      <c r="CA119" s="278"/>
      <c r="CB119" s="278"/>
      <c r="CC119" s="391"/>
    </row>
    <row r="120" spans="1:81" ht="15.75" thickBot="1" x14ac:dyDescent="0.3">
      <c r="A120" s="523" t="s">
        <v>40</v>
      </c>
      <c r="B120" s="68"/>
      <c r="C120" s="55"/>
      <c r="D120" s="55"/>
      <c r="E120" s="55"/>
      <c r="F120" s="55"/>
      <c r="G120" s="55"/>
      <c r="H120" s="55"/>
      <c r="I120" s="55"/>
      <c r="J120" s="55"/>
      <c r="K120" s="88"/>
      <c r="L120" s="55"/>
      <c r="M120" s="105"/>
      <c r="N120" s="55"/>
      <c r="O120" s="55"/>
      <c r="P120" s="55"/>
      <c r="Q120" s="55"/>
      <c r="R120" s="55"/>
      <c r="S120" s="55"/>
      <c r="T120" s="119"/>
      <c r="U120" s="88"/>
      <c r="V120" s="54"/>
      <c r="W120" s="54"/>
      <c r="X120" s="87"/>
      <c r="Y120" s="87"/>
      <c r="Z120" s="87"/>
      <c r="AA120" s="87"/>
      <c r="AB120" s="87"/>
      <c r="AC120" s="87"/>
      <c r="AD120" s="87"/>
      <c r="AE120" s="87"/>
      <c r="AF120" s="87"/>
      <c r="AG120" s="87"/>
      <c r="AH120" s="87"/>
      <c r="AI120" s="97"/>
      <c r="AJ120" s="87"/>
      <c r="AK120" s="87"/>
      <c r="AL120" s="87"/>
      <c r="AM120" s="87"/>
      <c r="AN120" s="87"/>
      <c r="AO120" s="87"/>
      <c r="AP120" s="87"/>
      <c r="AQ120" s="87"/>
      <c r="AR120" s="87"/>
      <c r="AS120" s="87"/>
      <c r="AT120" s="87"/>
      <c r="AU120" s="88"/>
      <c r="AV120" s="55"/>
      <c r="AW120" s="55"/>
      <c r="AX120" s="55"/>
      <c r="AY120" s="55"/>
      <c r="AZ120" s="55"/>
      <c r="BA120" s="55"/>
      <c r="BB120" s="119"/>
      <c r="BC120" s="87"/>
      <c r="BD120" s="88"/>
      <c r="BE120" s="119"/>
      <c r="BF120" s="482"/>
      <c r="BG120" s="482"/>
      <c r="BH120" s="482"/>
      <c r="BI120" s="525"/>
      <c r="BJ120" s="486"/>
      <c r="BK120" s="375"/>
      <c r="BL120" s="486"/>
      <c r="BM120" s="586"/>
      <c r="BN120" s="486"/>
      <c r="BO120" s="487"/>
      <c r="BP120" s="486"/>
      <c r="BQ120" s="488"/>
      <c r="BR120" s="463"/>
      <c r="BS120" s="398"/>
      <c r="BT120" s="398"/>
      <c r="BU120" s="398"/>
      <c r="BV120" s="375"/>
      <c r="BW120" s="375"/>
      <c r="BX120" s="375"/>
      <c r="BY120" s="375"/>
      <c r="BZ120" s="375"/>
      <c r="CA120" s="375"/>
      <c r="CB120" s="375"/>
      <c r="CC120" s="448"/>
    </row>
    <row r="121" spans="1:81" x14ac:dyDescent="0.25">
      <c r="A121" s="526" t="s">
        <v>20</v>
      </c>
      <c r="B121" s="537"/>
      <c r="C121" s="538"/>
      <c r="D121" s="538"/>
      <c r="E121" s="539"/>
      <c r="F121" s="538"/>
      <c r="G121" s="538"/>
      <c r="H121" s="538"/>
      <c r="I121" s="538"/>
      <c r="J121" s="538"/>
      <c r="K121" s="540"/>
      <c r="L121" s="539"/>
      <c r="M121" s="538"/>
      <c r="N121" s="539"/>
      <c r="O121" s="538"/>
      <c r="P121" s="538"/>
      <c r="Q121" s="538"/>
      <c r="R121" s="538"/>
      <c r="S121" s="538"/>
      <c r="T121" s="293"/>
      <c r="U121" s="541"/>
      <c r="V121" s="541"/>
      <c r="W121" s="541"/>
      <c r="X121" s="541"/>
      <c r="Y121" s="541"/>
      <c r="Z121" s="541"/>
      <c r="AA121" s="541"/>
      <c r="AB121" s="541"/>
      <c r="AC121" s="541"/>
      <c r="AD121" s="541"/>
      <c r="AE121" s="541"/>
      <c r="AF121" s="541"/>
      <c r="AG121" s="541"/>
      <c r="AH121" s="541"/>
      <c r="AI121" s="542"/>
      <c r="AJ121" s="541"/>
      <c r="AK121" s="541"/>
      <c r="AL121" s="541"/>
      <c r="AM121" s="541"/>
      <c r="AN121" s="541"/>
      <c r="AO121" s="541"/>
      <c r="AP121" s="541"/>
      <c r="AQ121" s="541"/>
      <c r="AR121" s="541"/>
      <c r="AS121" s="541"/>
      <c r="AT121" s="541"/>
      <c r="AU121" s="543"/>
      <c r="AV121" s="539"/>
      <c r="AW121" s="544"/>
      <c r="AX121" s="545"/>
      <c r="AY121" s="545"/>
      <c r="AZ121" s="545"/>
      <c r="BA121" s="545"/>
      <c r="BB121" s="546"/>
      <c r="BC121" s="506"/>
      <c r="BD121" s="506"/>
      <c r="BE121" s="506"/>
      <c r="BF121" s="473"/>
      <c r="BG121" s="473"/>
      <c r="BH121" s="473"/>
      <c r="BI121" s="474"/>
      <c r="BJ121" s="475"/>
      <c r="BK121" s="388"/>
      <c r="BL121" s="475"/>
      <c r="BM121" s="585"/>
      <c r="BN121" s="475"/>
      <c r="BO121" s="476"/>
      <c r="BP121" s="475"/>
      <c r="BQ121" s="477"/>
      <c r="BR121" s="468"/>
      <c r="BS121" s="413"/>
      <c r="BT121" s="388"/>
      <c r="BU121" s="388"/>
      <c r="BV121" s="388"/>
      <c r="BW121" s="388"/>
      <c r="BX121" s="388"/>
      <c r="BY121" s="388"/>
      <c r="BZ121" s="388"/>
      <c r="CA121" s="388"/>
      <c r="CB121" s="388"/>
      <c r="CC121" s="389"/>
    </row>
    <row r="122" spans="1:81" x14ac:dyDescent="0.25">
      <c r="A122" s="522" t="s">
        <v>35</v>
      </c>
      <c r="B122" s="37"/>
      <c r="C122" s="38"/>
      <c r="D122" s="38"/>
      <c r="E122" s="40"/>
      <c r="F122" s="38"/>
      <c r="G122" s="40"/>
      <c r="H122" s="38"/>
      <c r="I122" s="40"/>
      <c r="J122" s="38"/>
      <c r="K122" s="82"/>
      <c r="L122" s="40"/>
      <c r="M122" s="40"/>
      <c r="N122" s="40"/>
      <c r="O122" s="40"/>
      <c r="P122" s="38"/>
      <c r="Q122" s="40"/>
      <c r="R122" s="38"/>
      <c r="S122" s="40"/>
      <c r="T122" s="134"/>
      <c r="U122" s="40"/>
      <c r="V122" s="40"/>
      <c r="W122" s="40"/>
      <c r="X122" s="40"/>
      <c r="Y122" s="40"/>
      <c r="Z122" s="40"/>
      <c r="AA122" s="40"/>
      <c r="AB122" s="40"/>
      <c r="AC122" s="40"/>
      <c r="AD122" s="40"/>
      <c r="AE122" s="40"/>
      <c r="AF122" s="40"/>
      <c r="AG122" s="40"/>
      <c r="AH122" s="40"/>
      <c r="AI122" s="321"/>
      <c r="AJ122" s="40"/>
      <c r="AK122" s="40"/>
      <c r="AL122" s="40"/>
      <c r="AM122" s="40"/>
      <c r="AN122" s="40"/>
      <c r="AO122" s="40"/>
      <c r="AP122" s="40"/>
      <c r="AQ122" s="40"/>
      <c r="AR122" s="40"/>
      <c r="AS122" s="40"/>
      <c r="AT122" s="40"/>
      <c r="AU122" s="82"/>
      <c r="AV122" s="40"/>
      <c r="AW122" s="40"/>
      <c r="AX122" s="40"/>
      <c r="AY122" s="40"/>
      <c r="AZ122" s="40"/>
      <c r="BA122" s="40"/>
      <c r="BB122" s="107"/>
      <c r="BC122" s="109"/>
      <c r="BD122" s="89"/>
      <c r="BE122" s="107"/>
      <c r="BF122" s="276"/>
      <c r="BG122" s="276"/>
      <c r="BH122" s="276"/>
      <c r="BI122" s="480"/>
      <c r="BJ122" s="277"/>
      <c r="BK122" s="278"/>
      <c r="BL122" s="277"/>
      <c r="BM122" s="22"/>
      <c r="BN122" s="277"/>
      <c r="BO122" s="590">
        <v>47</v>
      </c>
      <c r="BP122" s="277"/>
      <c r="BQ122" s="481"/>
      <c r="BR122" s="460"/>
      <c r="BS122" s="394"/>
      <c r="BT122" s="394"/>
      <c r="BU122" s="394"/>
      <c r="BV122" s="278"/>
      <c r="BW122" s="278"/>
      <c r="BX122" s="278"/>
      <c r="BY122" s="278"/>
      <c r="BZ122" s="278"/>
      <c r="CA122" s="278"/>
      <c r="CB122" s="278"/>
      <c r="CC122" s="391"/>
    </row>
    <row r="123" spans="1:81" x14ac:dyDescent="0.25">
      <c r="A123" s="522" t="s">
        <v>36</v>
      </c>
      <c r="B123" s="37"/>
      <c r="C123" s="38"/>
      <c r="D123" s="38"/>
      <c r="E123" s="40"/>
      <c r="F123" s="38"/>
      <c r="G123" s="40"/>
      <c r="H123" s="38"/>
      <c r="I123" s="40"/>
      <c r="J123" s="38"/>
      <c r="K123" s="82"/>
      <c r="L123" s="40"/>
      <c r="M123" s="40"/>
      <c r="N123" s="40"/>
      <c r="O123" s="40"/>
      <c r="P123" s="38"/>
      <c r="Q123" s="40"/>
      <c r="R123" s="38"/>
      <c r="S123" s="40"/>
      <c r="T123" s="134"/>
      <c r="U123" s="40"/>
      <c r="V123" s="40"/>
      <c r="W123" s="40"/>
      <c r="X123" s="40"/>
      <c r="Y123" s="40"/>
      <c r="Z123" s="40"/>
      <c r="AA123" s="40"/>
      <c r="AB123" s="40"/>
      <c r="AC123" s="40"/>
      <c r="AD123" s="40"/>
      <c r="AE123" s="40"/>
      <c r="AF123" s="40"/>
      <c r="AG123" s="40"/>
      <c r="AH123" s="40"/>
      <c r="AI123" s="321"/>
      <c r="AJ123" s="40"/>
      <c r="AK123" s="40"/>
      <c r="AL123" s="40"/>
      <c r="AM123" s="40"/>
      <c r="AN123" s="40"/>
      <c r="AO123" s="40"/>
      <c r="AP123" s="40"/>
      <c r="AQ123" s="40"/>
      <c r="AR123" s="40"/>
      <c r="AS123" s="40"/>
      <c r="AT123" s="40"/>
      <c r="AU123" s="82"/>
      <c r="AV123" s="40"/>
      <c r="AW123" s="40"/>
      <c r="AX123" s="40"/>
      <c r="AY123" s="40"/>
      <c r="AZ123" s="40"/>
      <c r="BA123" s="40"/>
      <c r="BB123" s="107"/>
      <c r="BC123" s="109"/>
      <c r="BD123" s="89"/>
      <c r="BE123" s="107"/>
      <c r="BF123" s="276"/>
      <c r="BG123" s="276"/>
      <c r="BH123" s="276"/>
      <c r="BI123" s="480"/>
      <c r="BJ123" s="277"/>
      <c r="BK123" s="278"/>
      <c r="BL123" s="277"/>
      <c r="BM123" s="22"/>
      <c r="BN123" s="277"/>
      <c r="BO123" s="590">
        <v>4</v>
      </c>
      <c r="BP123" s="277"/>
      <c r="BQ123" s="481"/>
      <c r="BR123" s="460"/>
      <c r="BS123" s="394"/>
      <c r="BT123" s="394"/>
      <c r="BU123" s="394"/>
      <c r="BV123" s="278"/>
      <c r="BW123" s="278"/>
      <c r="BX123" s="278"/>
      <c r="BY123" s="278"/>
      <c r="BZ123" s="278"/>
      <c r="CA123" s="278"/>
      <c r="CB123" s="278"/>
      <c r="CC123" s="391"/>
    </row>
    <row r="124" spans="1:81" x14ac:dyDescent="0.25">
      <c r="A124" s="522" t="s">
        <v>37</v>
      </c>
      <c r="B124" s="37"/>
      <c r="C124" s="38"/>
      <c r="D124" s="38"/>
      <c r="E124" s="38"/>
      <c r="F124" s="38"/>
      <c r="G124" s="38"/>
      <c r="H124" s="38"/>
      <c r="I124" s="38"/>
      <c r="J124" s="38"/>
      <c r="K124" s="38"/>
      <c r="L124" s="40"/>
      <c r="M124" s="40"/>
      <c r="N124" s="40"/>
      <c r="O124" s="40"/>
      <c r="P124" s="38"/>
      <c r="Q124" s="40"/>
      <c r="R124" s="38"/>
      <c r="S124" s="40"/>
      <c r="T124" s="134"/>
      <c r="U124" s="40"/>
      <c r="V124" s="40"/>
      <c r="W124" s="40"/>
      <c r="X124" s="40"/>
      <c r="Y124" s="40"/>
      <c r="Z124" s="40"/>
      <c r="AA124" s="40"/>
      <c r="AB124" s="40"/>
      <c r="AC124" s="40"/>
      <c r="AD124" s="40"/>
      <c r="AE124" s="40"/>
      <c r="AF124" s="40"/>
      <c r="AG124" s="40"/>
      <c r="AH124" s="40"/>
      <c r="AI124" s="321"/>
      <c r="AJ124" s="40"/>
      <c r="AK124" s="40"/>
      <c r="AL124" s="40"/>
      <c r="AM124" s="40"/>
      <c r="AN124" s="40"/>
      <c r="AO124" s="40"/>
      <c r="AP124" s="40"/>
      <c r="AQ124" s="40"/>
      <c r="AR124" s="40"/>
      <c r="AS124" s="40"/>
      <c r="AT124" s="40"/>
      <c r="AU124" s="82"/>
      <c r="AV124" s="40"/>
      <c r="AW124" s="40"/>
      <c r="AX124" s="40"/>
      <c r="AY124" s="40"/>
      <c r="AZ124" s="40"/>
      <c r="BA124" s="40"/>
      <c r="BB124" s="120"/>
      <c r="BC124" s="109"/>
      <c r="BD124" s="89"/>
      <c r="BE124" s="107"/>
      <c r="BF124" s="276"/>
      <c r="BG124" s="276"/>
      <c r="BH124" s="276"/>
      <c r="BI124" s="480"/>
      <c r="BJ124" s="277"/>
      <c r="BK124" s="278"/>
      <c r="BL124" s="277"/>
      <c r="BM124" s="22"/>
      <c r="BN124" s="277"/>
      <c r="BO124" s="590"/>
      <c r="BP124" s="277"/>
      <c r="BQ124" s="481"/>
      <c r="BR124" s="460"/>
      <c r="BS124" s="394"/>
      <c r="BT124" s="394"/>
      <c r="BU124" s="394"/>
      <c r="BV124" s="278"/>
      <c r="BW124" s="278"/>
      <c r="BX124" s="278"/>
      <c r="BY124" s="278"/>
      <c r="BZ124" s="278"/>
      <c r="CA124" s="278"/>
      <c r="CB124" s="278"/>
      <c r="CC124" s="391"/>
    </row>
    <row r="125" spans="1:81" x14ac:dyDescent="0.25">
      <c r="A125" s="522" t="s">
        <v>38</v>
      </c>
      <c r="B125" s="37"/>
      <c r="C125" s="38"/>
      <c r="D125" s="38"/>
      <c r="E125" s="38"/>
      <c r="F125" s="38"/>
      <c r="G125" s="38"/>
      <c r="H125" s="38"/>
      <c r="I125" s="38"/>
      <c r="J125" s="38"/>
      <c r="K125" s="38"/>
      <c r="L125" s="40"/>
      <c r="M125" s="40"/>
      <c r="N125" s="40"/>
      <c r="O125" s="40"/>
      <c r="P125" s="38"/>
      <c r="Q125" s="40"/>
      <c r="R125" s="38"/>
      <c r="S125" s="40"/>
      <c r="T125" s="134"/>
      <c r="U125" s="40"/>
      <c r="V125" s="40"/>
      <c r="W125" s="40"/>
      <c r="X125" s="40"/>
      <c r="Y125" s="40"/>
      <c r="Z125" s="40"/>
      <c r="AA125" s="40"/>
      <c r="AB125" s="40"/>
      <c r="AC125" s="40"/>
      <c r="AD125" s="40"/>
      <c r="AE125" s="40"/>
      <c r="AF125" s="40"/>
      <c r="AG125" s="40"/>
      <c r="AH125" s="40"/>
      <c r="AI125" s="321"/>
      <c r="AJ125" s="40"/>
      <c r="AK125" s="40"/>
      <c r="AL125" s="40"/>
      <c r="AM125" s="40"/>
      <c r="AN125" s="40"/>
      <c r="AO125" s="40"/>
      <c r="AP125" s="40"/>
      <c r="AQ125" s="40"/>
      <c r="AR125" s="40"/>
      <c r="AS125" s="40"/>
      <c r="AT125" s="40"/>
      <c r="AU125" s="82"/>
      <c r="AV125" s="40"/>
      <c r="AW125" s="40"/>
      <c r="AX125" s="40"/>
      <c r="AY125" s="40"/>
      <c r="AZ125" s="40"/>
      <c r="BA125" s="40"/>
      <c r="BB125" s="120"/>
      <c r="BC125" s="109"/>
      <c r="BD125" s="89"/>
      <c r="BE125" s="107"/>
      <c r="BF125" s="276"/>
      <c r="BG125" s="276"/>
      <c r="BH125" s="276"/>
      <c r="BI125" s="480"/>
      <c r="BJ125" s="277"/>
      <c r="BK125" s="278"/>
      <c r="BL125" s="277"/>
      <c r="BM125" s="22"/>
      <c r="BN125" s="277"/>
      <c r="BO125" s="590"/>
      <c r="BP125" s="277"/>
      <c r="BQ125" s="481"/>
      <c r="BR125" s="460"/>
      <c r="BS125" s="394"/>
      <c r="BT125" s="394"/>
      <c r="BU125" s="394"/>
      <c r="BV125" s="278"/>
      <c r="BW125" s="278"/>
      <c r="BX125" s="278"/>
      <c r="BY125" s="278"/>
      <c r="BZ125" s="278"/>
      <c r="CA125" s="278"/>
      <c r="CB125" s="278"/>
      <c r="CC125" s="391"/>
    </row>
    <row r="126" spans="1:81" x14ac:dyDescent="0.25">
      <c r="A126" s="522" t="s">
        <v>39</v>
      </c>
      <c r="B126" s="37"/>
      <c r="C126" s="38"/>
      <c r="D126" s="38"/>
      <c r="E126" s="38"/>
      <c r="F126" s="38"/>
      <c r="G126" s="38"/>
      <c r="H126" s="38"/>
      <c r="I126" s="38"/>
      <c r="J126" s="38"/>
      <c r="K126" s="38"/>
      <c r="L126" s="40"/>
      <c r="M126" s="40"/>
      <c r="N126" s="40"/>
      <c r="O126" s="40"/>
      <c r="P126" s="38"/>
      <c r="Q126" s="40"/>
      <c r="R126" s="38"/>
      <c r="S126" s="40"/>
      <c r="T126" s="134"/>
      <c r="U126" s="40"/>
      <c r="V126" s="40"/>
      <c r="W126" s="40"/>
      <c r="X126" s="40"/>
      <c r="Y126" s="40"/>
      <c r="Z126" s="40"/>
      <c r="AA126" s="40"/>
      <c r="AB126" s="40"/>
      <c r="AC126" s="40"/>
      <c r="AD126" s="40"/>
      <c r="AE126" s="40"/>
      <c r="AF126" s="40"/>
      <c r="AG126" s="40"/>
      <c r="AH126" s="40"/>
      <c r="AI126" s="321"/>
      <c r="AJ126" s="40"/>
      <c r="AK126" s="40"/>
      <c r="AL126" s="40"/>
      <c r="AM126" s="40"/>
      <c r="AN126" s="40"/>
      <c r="AO126" s="40"/>
      <c r="AP126" s="40"/>
      <c r="AQ126" s="40"/>
      <c r="AR126" s="40"/>
      <c r="AS126" s="40"/>
      <c r="AT126" s="40"/>
      <c r="AU126" s="82"/>
      <c r="AV126" s="40"/>
      <c r="AW126" s="40"/>
      <c r="AX126" s="40"/>
      <c r="AY126" s="40"/>
      <c r="AZ126" s="40"/>
      <c r="BA126" s="40"/>
      <c r="BB126" s="120"/>
      <c r="BC126" s="109"/>
      <c r="BD126" s="89"/>
      <c r="BE126" s="107"/>
      <c r="BF126" s="276"/>
      <c r="BG126" s="276"/>
      <c r="BH126" s="276"/>
      <c r="BI126" s="480"/>
      <c r="BJ126" s="277"/>
      <c r="BK126" s="278"/>
      <c r="BL126" s="277"/>
      <c r="BM126" s="22"/>
      <c r="BN126" s="277"/>
      <c r="BO126" s="590"/>
      <c r="BP126" s="277"/>
      <c r="BQ126" s="481"/>
      <c r="BR126" s="460"/>
      <c r="BS126" s="394"/>
      <c r="BT126" s="394"/>
      <c r="BU126" s="394"/>
      <c r="BV126" s="278"/>
      <c r="BW126" s="278"/>
      <c r="BX126" s="278"/>
      <c r="BY126" s="278"/>
      <c r="BZ126" s="278"/>
      <c r="CA126" s="278"/>
      <c r="CB126" s="278"/>
      <c r="CC126" s="391"/>
    </row>
    <row r="127" spans="1:81" x14ac:dyDescent="0.25">
      <c r="A127" s="522" t="s">
        <v>40</v>
      </c>
      <c r="B127" s="83"/>
      <c r="C127" s="40"/>
      <c r="D127" s="40"/>
      <c r="E127" s="40"/>
      <c r="F127" s="40"/>
      <c r="G127" s="40"/>
      <c r="H127" s="40"/>
      <c r="I127" s="40"/>
      <c r="J127" s="40"/>
      <c r="K127" s="82"/>
      <c r="L127" s="40"/>
      <c r="M127" s="40"/>
      <c r="N127" s="40"/>
      <c r="O127" s="40"/>
      <c r="P127" s="40"/>
      <c r="Q127" s="40"/>
      <c r="R127" s="40"/>
      <c r="S127" s="40"/>
      <c r="T127" s="107"/>
      <c r="U127" s="109"/>
      <c r="V127" s="109"/>
      <c r="W127" s="109"/>
      <c r="X127" s="134"/>
      <c r="Y127" s="134"/>
      <c r="Z127" s="134"/>
      <c r="AA127" s="134"/>
      <c r="AB127" s="134"/>
      <c r="AC127" s="134"/>
      <c r="AD127" s="134"/>
      <c r="AE127" s="134"/>
      <c r="AF127" s="134"/>
      <c r="AG127" s="134"/>
      <c r="AH127" s="134"/>
      <c r="AI127" s="321"/>
      <c r="AJ127" s="134"/>
      <c r="AK127" s="134"/>
      <c r="AL127" s="134"/>
      <c r="AM127" s="134"/>
      <c r="AN127" s="134"/>
      <c r="AO127" s="134"/>
      <c r="AP127" s="134"/>
      <c r="AQ127" s="134"/>
      <c r="AR127" s="134"/>
      <c r="AS127" s="134"/>
      <c r="AT127" s="134"/>
      <c r="AU127" s="82"/>
      <c r="AV127" s="40"/>
      <c r="AW127" s="40"/>
      <c r="AX127" s="40"/>
      <c r="AY127" s="40"/>
      <c r="AZ127" s="40"/>
      <c r="BA127" s="40"/>
      <c r="BB127" s="120"/>
      <c r="BC127" s="134"/>
      <c r="BD127" s="82"/>
      <c r="BE127" s="120"/>
      <c r="BF127" s="276"/>
      <c r="BG127" s="276"/>
      <c r="BH127" s="276"/>
      <c r="BI127" s="480"/>
      <c r="BJ127" s="277"/>
      <c r="BK127" s="278"/>
      <c r="BL127" s="277"/>
      <c r="BM127" s="22"/>
      <c r="BN127" s="277"/>
      <c r="BO127" s="590">
        <v>51</v>
      </c>
      <c r="BP127" s="277"/>
      <c r="BQ127" s="481"/>
      <c r="BR127" s="460"/>
      <c r="BS127" s="394"/>
      <c r="BT127" s="394"/>
      <c r="BU127" s="394"/>
      <c r="BV127" s="278"/>
      <c r="BW127" s="278"/>
      <c r="BX127" s="278"/>
      <c r="BY127" s="278"/>
      <c r="BZ127" s="278"/>
      <c r="CA127" s="278"/>
      <c r="CB127" s="278"/>
      <c r="CC127" s="391"/>
    </row>
    <row r="128" spans="1:81" x14ac:dyDescent="0.25">
      <c r="A128" s="547" t="s">
        <v>25</v>
      </c>
      <c r="B128" s="209"/>
      <c r="C128" s="184"/>
      <c r="D128" s="184"/>
      <c r="E128" s="184"/>
      <c r="F128" s="184"/>
      <c r="G128" s="210"/>
      <c r="H128" s="184"/>
      <c r="I128" s="210"/>
      <c r="J128" s="184"/>
      <c r="K128" s="211"/>
      <c r="L128" s="210"/>
      <c r="M128" s="210"/>
      <c r="N128" s="210"/>
      <c r="O128" s="210"/>
      <c r="P128" s="184"/>
      <c r="Q128" s="210"/>
      <c r="R128" s="184"/>
      <c r="S128" s="210"/>
      <c r="T128" s="212"/>
      <c r="U128" s="212"/>
      <c r="V128" s="212"/>
      <c r="W128" s="212"/>
      <c r="X128" s="212"/>
      <c r="Y128" s="212"/>
      <c r="Z128" s="212"/>
      <c r="AA128" s="212"/>
      <c r="AB128" s="212"/>
      <c r="AC128" s="212"/>
      <c r="AD128" s="212"/>
      <c r="AE128" s="212"/>
      <c r="AF128" s="212"/>
      <c r="AG128" s="212"/>
      <c r="AH128" s="212"/>
      <c r="AI128" s="322"/>
      <c r="AJ128" s="212"/>
      <c r="AK128" s="212"/>
      <c r="AL128" s="212"/>
      <c r="AM128" s="212"/>
      <c r="AN128" s="212"/>
      <c r="AO128" s="212"/>
      <c r="AP128" s="212"/>
      <c r="AQ128" s="212"/>
      <c r="AR128" s="212"/>
      <c r="AS128" s="212"/>
      <c r="AT128" s="212"/>
      <c r="AU128" s="211"/>
      <c r="AV128" s="210"/>
      <c r="AW128" s="210"/>
      <c r="AX128" s="184"/>
      <c r="AY128" s="210"/>
      <c r="AZ128" s="184"/>
      <c r="BA128" s="210"/>
      <c r="BB128" s="212"/>
      <c r="BC128" s="273"/>
      <c r="BD128" s="273"/>
      <c r="BE128" s="273"/>
      <c r="BF128" s="276"/>
      <c r="BG128" s="276"/>
      <c r="BH128" s="276"/>
      <c r="BI128" s="480"/>
      <c r="BJ128" s="277"/>
      <c r="BK128" s="278"/>
      <c r="BL128" s="277"/>
      <c r="BM128" s="22"/>
      <c r="BN128" s="277"/>
      <c r="BO128" s="263"/>
      <c r="BP128" s="277"/>
      <c r="BQ128" s="481"/>
      <c r="BR128" s="465"/>
      <c r="BS128" s="278"/>
      <c r="BT128" s="280"/>
      <c r="BU128" s="280"/>
      <c r="BV128" s="278"/>
      <c r="BW128" s="278"/>
      <c r="BX128" s="278"/>
      <c r="BY128" s="278"/>
      <c r="BZ128" s="278"/>
      <c r="CA128" s="278"/>
      <c r="CB128" s="278"/>
      <c r="CC128" s="391"/>
    </row>
    <row r="129" spans="1:83" x14ac:dyDescent="0.25">
      <c r="A129" s="522" t="s">
        <v>35</v>
      </c>
      <c r="B129" s="213"/>
      <c r="C129" s="214"/>
      <c r="D129" s="214"/>
      <c r="E129" s="214"/>
      <c r="F129" s="214"/>
      <c r="G129" s="215"/>
      <c r="H129" s="214"/>
      <c r="I129" s="215"/>
      <c r="J129" s="214"/>
      <c r="K129" s="216"/>
      <c r="L129" s="215"/>
      <c r="M129" s="215"/>
      <c r="N129" s="215"/>
      <c r="O129" s="215"/>
      <c r="P129" s="214"/>
      <c r="Q129" s="215"/>
      <c r="R129" s="214"/>
      <c r="S129" s="215"/>
      <c r="T129" s="272"/>
      <c r="U129" s="272"/>
      <c r="V129" s="272"/>
      <c r="W129" s="272"/>
      <c r="X129" s="272"/>
      <c r="Y129" s="272"/>
      <c r="Z129" s="272"/>
      <c r="AA129" s="272"/>
      <c r="AB129" s="272"/>
      <c r="AC129" s="272"/>
      <c r="AD129" s="272"/>
      <c r="AE129" s="272"/>
      <c r="AF129" s="272"/>
      <c r="AG129" s="272"/>
      <c r="AH129" s="272"/>
      <c r="AI129" s="323"/>
      <c r="AJ129" s="272"/>
      <c r="AK129" s="272"/>
      <c r="AL129" s="272"/>
      <c r="AM129" s="272"/>
      <c r="AN129" s="272"/>
      <c r="AO129" s="272"/>
      <c r="AP129" s="272"/>
      <c r="AQ129" s="272"/>
      <c r="AR129" s="272"/>
      <c r="AS129" s="272"/>
      <c r="AT129" s="272"/>
      <c r="AU129" s="216"/>
      <c r="AV129" s="325"/>
      <c r="AW129" s="215"/>
      <c r="AX129" s="215"/>
      <c r="AY129" s="215"/>
      <c r="AZ129" s="215"/>
      <c r="BA129" s="215"/>
      <c r="BB129" s="272"/>
      <c r="BC129" s="272"/>
      <c r="BD129" s="215"/>
      <c r="BE129" s="272"/>
      <c r="BF129" s="276"/>
      <c r="BG129" s="276"/>
      <c r="BH129" s="276"/>
      <c r="BI129" s="480"/>
      <c r="BJ129" s="277"/>
      <c r="BK129" s="278"/>
      <c r="BL129" s="277"/>
      <c r="BM129" s="22"/>
      <c r="BN129" s="277"/>
      <c r="BO129" s="590">
        <v>0</v>
      </c>
      <c r="BP129" s="277"/>
      <c r="BQ129" s="481"/>
      <c r="BR129" s="460"/>
      <c r="BS129" s="394"/>
      <c r="BT129" s="394"/>
      <c r="BU129" s="394"/>
      <c r="BV129" s="278"/>
      <c r="BW129" s="278"/>
      <c r="BX129" s="278"/>
      <c r="BY129" s="278"/>
      <c r="BZ129" s="278"/>
      <c r="CA129" s="278"/>
      <c r="CB129" s="278"/>
      <c r="CC129" s="391"/>
    </row>
    <row r="130" spans="1:83" x14ac:dyDescent="0.25">
      <c r="A130" s="522" t="s">
        <v>36</v>
      </c>
      <c r="B130" s="213"/>
      <c r="C130" s="214"/>
      <c r="D130" s="214"/>
      <c r="E130" s="214"/>
      <c r="F130" s="214"/>
      <c r="G130" s="215"/>
      <c r="H130" s="214"/>
      <c r="I130" s="215"/>
      <c r="J130" s="214"/>
      <c r="K130" s="272"/>
      <c r="L130" s="215"/>
      <c r="M130" s="215"/>
      <c r="N130" s="215"/>
      <c r="O130" s="215"/>
      <c r="P130" s="214"/>
      <c r="Q130" s="215"/>
      <c r="R130" s="214"/>
      <c r="S130" s="215"/>
      <c r="T130" s="272"/>
      <c r="U130" s="272"/>
      <c r="V130" s="272"/>
      <c r="W130" s="272"/>
      <c r="X130" s="272"/>
      <c r="Y130" s="272"/>
      <c r="Z130" s="272"/>
      <c r="AA130" s="272"/>
      <c r="AB130" s="272"/>
      <c r="AC130" s="272"/>
      <c r="AD130" s="272"/>
      <c r="AE130" s="272"/>
      <c r="AF130" s="272"/>
      <c r="AG130" s="272"/>
      <c r="AH130" s="272"/>
      <c r="AI130" s="323"/>
      <c r="AJ130" s="272"/>
      <c r="AK130" s="272"/>
      <c r="AL130" s="272"/>
      <c r="AM130" s="272"/>
      <c r="AN130" s="272"/>
      <c r="AO130" s="272"/>
      <c r="AP130" s="272"/>
      <c r="AQ130" s="272"/>
      <c r="AR130" s="272"/>
      <c r="AS130" s="272"/>
      <c r="AT130" s="272"/>
      <c r="AU130" s="216"/>
      <c r="AV130" s="325"/>
      <c r="AW130" s="215"/>
      <c r="AX130" s="215"/>
      <c r="AY130" s="215"/>
      <c r="AZ130" s="215"/>
      <c r="BA130" s="215"/>
      <c r="BB130" s="272"/>
      <c r="BC130" s="272"/>
      <c r="BD130" s="215"/>
      <c r="BE130" s="272"/>
      <c r="BF130" s="276"/>
      <c r="BG130" s="276"/>
      <c r="BH130" s="276"/>
      <c r="BI130" s="480"/>
      <c r="BJ130" s="277"/>
      <c r="BK130" s="278"/>
      <c r="BL130" s="277"/>
      <c r="BM130" s="22"/>
      <c r="BN130" s="277"/>
      <c r="BO130" s="590">
        <v>0</v>
      </c>
      <c r="BP130" s="277"/>
      <c r="BQ130" s="481"/>
      <c r="BR130" s="460"/>
      <c r="BS130" s="394"/>
      <c r="BT130" s="394"/>
      <c r="BU130" s="394"/>
      <c r="BV130" s="278"/>
      <c r="BW130" s="278"/>
      <c r="BX130" s="278"/>
      <c r="BY130" s="278"/>
      <c r="BZ130" s="278"/>
      <c r="CA130" s="278"/>
      <c r="CB130" s="278"/>
      <c r="CC130" s="391"/>
    </row>
    <row r="131" spans="1:83" x14ac:dyDescent="0.25">
      <c r="A131" s="522" t="s">
        <v>37</v>
      </c>
      <c r="B131" s="213"/>
      <c r="C131" s="214"/>
      <c r="D131" s="214"/>
      <c r="E131" s="214"/>
      <c r="F131" s="214"/>
      <c r="G131" s="215"/>
      <c r="H131" s="214"/>
      <c r="I131" s="215"/>
      <c r="J131" s="214"/>
      <c r="K131" s="272"/>
      <c r="L131" s="187"/>
      <c r="M131" s="187"/>
      <c r="N131" s="187"/>
      <c r="O131" s="187"/>
      <c r="P131" s="187"/>
      <c r="Q131" s="187"/>
      <c r="R131" s="187"/>
      <c r="S131" s="187"/>
      <c r="T131" s="243"/>
      <c r="U131" s="272"/>
      <c r="V131" s="272"/>
      <c r="W131" s="272"/>
      <c r="X131" s="272"/>
      <c r="Y131" s="272"/>
      <c r="Z131" s="272"/>
      <c r="AA131" s="272"/>
      <c r="AB131" s="272"/>
      <c r="AC131" s="272"/>
      <c r="AD131" s="272"/>
      <c r="AE131" s="272"/>
      <c r="AF131" s="272"/>
      <c r="AG131" s="272"/>
      <c r="AH131" s="272"/>
      <c r="AI131" s="323"/>
      <c r="AJ131" s="272"/>
      <c r="AK131" s="272"/>
      <c r="AL131" s="272"/>
      <c r="AM131" s="272"/>
      <c r="AN131" s="272"/>
      <c r="AO131" s="272"/>
      <c r="AP131" s="272"/>
      <c r="AQ131" s="272"/>
      <c r="AR131" s="272"/>
      <c r="AS131" s="272"/>
      <c r="AT131" s="272"/>
      <c r="AU131" s="216"/>
      <c r="AV131" s="272"/>
      <c r="AW131" s="215"/>
      <c r="AX131" s="215"/>
      <c r="AY131" s="215"/>
      <c r="AZ131" s="215"/>
      <c r="BA131" s="215"/>
      <c r="BB131" s="248"/>
      <c r="BC131" s="272"/>
      <c r="BD131" s="215"/>
      <c r="BE131" s="272"/>
      <c r="BF131" s="276"/>
      <c r="BG131" s="276"/>
      <c r="BH131" s="276"/>
      <c r="BI131" s="480"/>
      <c r="BJ131" s="277"/>
      <c r="BK131" s="278"/>
      <c r="BL131" s="277"/>
      <c r="BM131" s="22"/>
      <c r="BN131" s="277"/>
      <c r="BO131" s="590">
        <v>0</v>
      </c>
      <c r="BP131" s="277"/>
      <c r="BQ131" s="481"/>
      <c r="BR131" s="460"/>
      <c r="BS131" s="394"/>
      <c r="BT131" s="394"/>
      <c r="BU131" s="394"/>
      <c r="BV131" s="278"/>
      <c r="BW131" s="278"/>
      <c r="BX131" s="278"/>
      <c r="BY131" s="278"/>
      <c r="BZ131" s="278"/>
      <c r="CA131" s="278"/>
      <c r="CB131" s="278"/>
      <c r="CC131" s="391"/>
    </row>
    <row r="132" spans="1:83" x14ac:dyDescent="0.25">
      <c r="A132" s="522" t="s">
        <v>38</v>
      </c>
      <c r="B132" s="213"/>
      <c r="C132" s="214"/>
      <c r="D132" s="214"/>
      <c r="E132" s="214"/>
      <c r="F132" s="214"/>
      <c r="G132" s="215"/>
      <c r="H132" s="214"/>
      <c r="I132" s="215"/>
      <c r="J132" s="214"/>
      <c r="K132" s="272"/>
      <c r="L132" s="187"/>
      <c r="M132" s="187"/>
      <c r="N132" s="187"/>
      <c r="O132" s="187"/>
      <c r="P132" s="187"/>
      <c r="Q132" s="187"/>
      <c r="R132" s="187"/>
      <c r="S132" s="187"/>
      <c r="T132" s="243"/>
      <c r="U132" s="272"/>
      <c r="V132" s="272"/>
      <c r="W132" s="272"/>
      <c r="X132" s="272"/>
      <c r="Y132" s="272"/>
      <c r="Z132" s="272"/>
      <c r="AA132" s="272"/>
      <c r="AB132" s="272"/>
      <c r="AC132" s="272"/>
      <c r="AD132" s="272"/>
      <c r="AE132" s="272"/>
      <c r="AF132" s="272"/>
      <c r="AG132" s="272"/>
      <c r="AH132" s="272"/>
      <c r="AI132" s="323"/>
      <c r="AJ132" s="272"/>
      <c r="AK132" s="272"/>
      <c r="AL132" s="272"/>
      <c r="AM132" s="272"/>
      <c r="AN132" s="272"/>
      <c r="AO132" s="272"/>
      <c r="AP132" s="272"/>
      <c r="AQ132" s="272"/>
      <c r="AR132" s="272"/>
      <c r="AS132" s="272"/>
      <c r="AT132" s="272"/>
      <c r="AU132" s="216"/>
      <c r="AV132" s="272"/>
      <c r="AW132" s="215"/>
      <c r="AX132" s="215"/>
      <c r="AY132" s="215"/>
      <c r="AZ132" s="215"/>
      <c r="BA132" s="215"/>
      <c r="BB132" s="248"/>
      <c r="BC132" s="272"/>
      <c r="BD132" s="215"/>
      <c r="BE132" s="272"/>
      <c r="BF132" s="276"/>
      <c r="BG132" s="276"/>
      <c r="BH132" s="276"/>
      <c r="BI132" s="480"/>
      <c r="BJ132" s="277"/>
      <c r="BK132" s="278"/>
      <c r="BL132" s="277"/>
      <c r="BM132" s="22"/>
      <c r="BN132" s="277"/>
      <c r="BO132" s="590">
        <v>0</v>
      </c>
      <c r="BP132" s="277"/>
      <c r="BQ132" s="481"/>
      <c r="BR132" s="460"/>
      <c r="BS132" s="394"/>
      <c r="BT132" s="394"/>
      <c r="BU132" s="394"/>
      <c r="BV132" s="278"/>
      <c r="BW132" s="278"/>
      <c r="BX132" s="278"/>
      <c r="BY132" s="278"/>
      <c r="BZ132" s="278"/>
      <c r="CA132" s="278"/>
      <c r="CB132" s="278"/>
      <c r="CC132" s="391"/>
    </row>
    <row r="133" spans="1:83" x14ac:dyDescent="0.25">
      <c r="A133" s="522" t="s">
        <v>39</v>
      </c>
      <c r="B133" s="213"/>
      <c r="C133" s="214"/>
      <c r="D133" s="214"/>
      <c r="E133" s="214"/>
      <c r="F133" s="214"/>
      <c r="G133" s="215"/>
      <c r="H133" s="214"/>
      <c r="I133" s="215"/>
      <c r="J133" s="214"/>
      <c r="K133" s="272"/>
      <c r="L133" s="187"/>
      <c r="M133" s="187"/>
      <c r="N133" s="187"/>
      <c r="O133" s="187"/>
      <c r="P133" s="187"/>
      <c r="Q133" s="187"/>
      <c r="R133" s="187"/>
      <c r="S133" s="187"/>
      <c r="T133" s="243"/>
      <c r="U133" s="272"/>
      <c r="V133" s="272"/>
      <c r="W133" s="272"/>
      <c r="X133" s="272"/>
      <c r="Y133" s="272"/>
      <c r="Z133" s="272"/>
      <c r="AA133" s="272"/>
      <c r="AB133" s="272"/>
      <c r="AC133" s="272"/>
      <c r="AD133" s="272"/>
      <c r="AE133" s="272"/>
      <c r="AF133" s="272"/>
      <c r="AG133" s="272"/>
      <c r="AH133" s="272"/>
      <c r="AI133" s="323"/>
      <c r="AJ133" s="272"/>
      <c r="AK133" s="272"/>
      <c r="AL133" s="272"/>
      <c r="AM133" s="272"/>
      <c r="AN133" s="272"/>
      <c r="AO133" s="272"/>
      <c r="AP133" s="272"/>
      <c r="AQ133" s="272"/>
      <c r="AR133" s="272"/>
      <c r="AS133" s="272"/>
      <c r="AT133" s="272"/>
      <c r="AU133" s="216"/>
      <c r="AV133" s="272"/>
      <c r="AW133" s="215"/>
      <c r="AX133" s="215"/>
      <c r="AY133" s="215"/>
      <c r="AZ133" s="215"/>
      <c r="BA133" s="215"/>
      <c r="BB133" s="248"/>
      <c r="BC133" s="272"/>
      <c r="BD133" s="215"/>
      <c r="BE133" s="215"/>
      <c r="BF133" s="273"/>
      <c r="BG133" s="273"/>
      <c r="BH133" s="273"/>
      <c r="BI133" s="480"/>
      <c r="BJ133" s="480"/>
      <c r="BK133" s="548"/>
      <c r="BL133" s="480"/>
      <c r="BM133" s="588"/>
      <c r="BN133" s="480"/>
      <c r="BO133" s="591">
        <v>0</v>
      </c>
      <c r="BP133" s="480"/>
      <c r="BQ133" s="310"/>
      <c r="BR133" s="460"/>
      <c r="BS133" s="394"/>
      <c r="BT133" s="394"/>
      <c r="BU133" s="394"/>
      <c r="BV133" s="278"/>
      <c r="BW133" s="278"/>
      <c r="BX133" s="278"/>
      <c r="BY133" s="278"/>
      <c r="BZ133" s="278"/>
      <c r="CA133" s="278"/>
      <c r="CB133" s="278"/>
      <c r="CC133" s="391"/>
    </row>
    <row r="134" spans="1:83" x14ac:dyDescent="0.25">
      <c r="A134" s="522" t="s">
        <v>40</v>
      </c>
      <c r="B134" s="217"/>
      <c r="C134" s="215"/>
      <c r="D134" s="215"/>
      <c r="E134" s="215"/>
      <c r="F134" s="215"/>
      <c r="G134" s="215"/>
      <c r="H134" s="215"/>
      <c r="I134" s="215"/>
      <c r="J134" s="215"/>
      <c r="K134" s="272"/>
      <c r="L134" s="187"/>
      <c r="M134" s="187"/>
      <c r="N134" s="187"/>
      <c r="O134" s="187"/>
      <c r="P134" s="187"/>
      <c r="Q134" s="187"/>
      <c r="R134" s="187"/>
      <c r="S134" s="187"/>
      <c r="T134" s="243"/>
      <c r="U134" s="298"/>
      <c r="V134" s="298"/>
      <c r="W134" s="298"/>
      <c r="X134" s="272"/>
      <c r="Y134" s="272"/>
      <c r="Z134" s="272"/>
      <c r="AA134" s="272"/>
      <c r="AB134" s="272"/>
      <c r="AC134" s="272"/>
      <c r="AD134" s="272"/>
      <c r="AE134" s="272"/>
      <c r="AF134" s="272"/>
      <c r="AG134" s="272"/>
      <c r="AH134" s="272"/>
      <c r="AI134" s="323"/>
      <c r="AJ134" s="272"/>
      <c r="AK134" s="272"/>
      <c r="AL134" s="272"/>
      <c r="AM134" s="272"/>
      <c r="AN134" s="272"/>
      <c r="AO134" s="272"/>
      <c r="AP134" s="272"/>
      <c r="AQ134" s="272"/>
      <c r="AR134" s="272"/>
      <c r="AS134" s="272"/>
      <c r="AT134" s="272"/>
      <c r="AU134" s="216"/>
      <c r="AV134" s="272"/>
      <c r="AW134" s="215"/>
      <c r="AX134" s="215"/>
      <c r="AY134" s="215"/>
      <c r="AZ134" s="215"/>
      <c r="BA134" s="215"/>
      <c r="BB134" s="248"/>
      <c r="BC134" s="272"/>
      <c r="BD134" s="216"/>
      <c r="BE134" s="218"/>
      <c r="BF134" s="273"/>
      <c r="BG134" s="273"/>
      <c r="BH134" s="273"/>
      <c r="BI134" s="480"/>
      <c r="BJ134" s="480"/>
      <c r="BK134" s="548"/>
      <c r="BL134" s="480"/>
      <c r="BM134" s="588"/>
      <c r="BN134" s="480"/>
      <c r="BO134" s="591">
        <v>0</v>
      </c>
      <c r="BP134" s="480"/>
      <c r="BQ134" s="310"/>
      <c r="BR134" s="460"/>
      <c r="BS134" s="394"/>
      <c r="BT134" s="394"/>
      <c r="BU134" s="394"/>
      <c r="BV134" s="278"/>
      <c r="BW134" s="278"/>
      <c r="BX134" s="278"/>
      <c r="BY134" s="278"/>
      <c r="BZ134" s="278"/>
      <c r="CA134" s="278"/>
      <c r="CB134" s="278"/>
      <c r="CC134" s="391"/>
    </row>
    <row r="135" spans="1:83" x14ac:dyDescent="0.25">
      <c r="A135" s="549" t="s">
        <v>24</v>
      </c>
      <c r="B135" s="219"/>
      <c r="C135" s="208"/>
      <c r="D135" s="208"/>
      <c r="E135" s="208"/>
      <c r="F135" s="208"/>
      <c r="G135" s="219"/>
      <c r="H135" s="208"/>
      <c r="I135" s="219"/>
      <c r="J135" s="208"/>
      <c r="K135" s="273"/>
      <c r="L135" s="220"/>
      <c r="M135" s="220"/>
      <c r="N135" s="220"/>
      <c r="O135" s="220"/>
      <c r="P135" s="220"/>
      <c r="Q135" s="220"/>
      <c r="R135" s="220"/>
      <c r="S135" s="220"/>
      <c r="T135" s="296"/>
      <c r="U135" s="273"/>
      <c r="V135" s="273"/>
      <c r="W135" s="273"/>
      <c r="X135" s="273"/>
      <c r="Y135" s="273"/>
      <c r="Z135" s="273"/>
      <c r="AA135" s="273"/>
      <c r="AB135" s="273"/>
      <c r="AC135" s="273"/>
      <c r="AD135" s="273"/>
      <c r="AE135" s="273"/>
      <c r="AF135" s="273"/>
      <c r="AG135" s="273"/>
      <c r="AH135" s="273"/>
      <c r="AI135" s="311"/>
      <c r="AJ135" s="273"/>
      <c r="AK135" s="273"/>
      <c r="AL135" s="273"/>
      <c r="AM135" s="273"/>
      <c r="AN135" s="273"/>
      <c r="AO135" s="273"/>
      <c r="AP135" s="273"/>
      <c r="AQ135" s="273"/>
      <c r="AR135" s="273"/>
      <c r="AS135" s="273"/>
      <c r="AT135" s="273"/>
      <c r="AU135" s="251"/>
      <c r="AV135" s="219"/>
      <c r="AW135" s="219"/>
      <c r="AX135" s="208"/>
      <c r="AY135" s="219"/>
      <c r="AZ135" s="208"/>
      <c r="BA135" s="219"/>
      <c r="BB135" s="247"/>
      <c r="BC135" s="273"/>
      <c r="BD135" s="273"/>
      <c r="BE135" s="273"/>
      <c r="BF135" s="273"/>
      <c r="BG135" s="273"/>
      <c r="BH135" s="273"/>
      <c r="BI135" s="480"/>
      <c r="BJ135" s="480"/>
      <c r="BK135" s="548"/>
      <c r="BL135" s="480"/>
      <c r="BM135" s="588"/>
      <c r="BN135" s="480"/>
      <c r="BO135" s="591"/>
      <c r="BP135" s="480"/>
      <c r="BQ135" s="310"/>
      <c r="BR135" s="437"/>
      <c r="BS135" s="239"/>
      <c r="BT135" s="280"/>
      <c r="BU135" s="280"/>
      <c r="BV135" s="278"/>
      <c r="BW135" s="278"/>
      <c r="BX135" s="278"/>
      <c r="BY135" s="278"/>
      <c r="BZ135" s="278"/>
      <c r="CA135" s="278"/>
      <c r="CB135" s="278"/>
      <c r="CC135" s="391"/>
    </row>
    <row r="136" spans="1:83" x14ac:dyDescent="0.25">
      <c r="A136" s="522" t="s">
        <v>35</v>
      </c>
      <c r="B136" s="222"/>
      <c r="C136" s="223"/>
      <c r="D136" s="223"/>
      <c r="E136" s="223"/>
      <c r="F136" s="223"/>
      <c r="G136" s="224"/>
      <c r="H136" s="223"/>
      <c r="I136" s="224"/>
      <c r="J136" s="223"/>
      <c r="K136" s="297"/>
      <c r="L136" s="225"/>
      <c r="M136" s="225"/>
      <c r="N136" s="225"/>
      <c r="O136" s="225"/>
      <c r="P136" s="225"/>
      <c r="Q136" s="225"/>
      <c r="R136" s="225"/>
      <c r="S136" s="225"/>
      <c r="T136" s="297"/>
      <c r="U136" s="297"/>
      <c r="V136" s="299"/>
      <c r="W136" s="299"/>
      <c r="X136" s="273"/>
      <c r="Y136" s="273"/>
      <c r="Z136" s="273"/>
      <c r="AA136" s="273"/>
      <c r="AB136" s="273"/>
      <c r="AC136" s="273"/>
      <c r="AD136" s="273"/>
      <c r="AE136" s="273"/>
      <c r="AF136" s="273"/>
      <c r="AG136" s="273"/>
      <c r="AH136" s="273"/>
      <c r="AI136" s="311"/>
      <c r="AJ136" s="273"/>
      <c r="AK136" s="273"/>
      <c r="AL136" s="273"/>
      <c r="AM136" s="273"/>
      <c r="AN136" s="273"/>
      <c r="AO136" s="273"/>
      <c r="AP136" s="273"/>
      <c r="AQ136" s="273"/>
      <c r="AR136" s="273"/>
      <c r="AS136" s="273"/>
      <c r="AT136" s="273"/>
      <c r="AU136" s="251"/>
      <c r="AV136" s="297"/>
      <c r="AW136" s="224"/>
      <c r="AX136" s="224"/>
      <c r="AY136" s="224"/>
      <c r="AZ136" s="224"/>
      <c r="BA136" s="224"/>
      <c r="BB136" s="249"/>
      <c r="BC136" s="297"/>
      <c r="BD136" s="300"/>
      <c r="BE136" s="226"/>
      <c r="BF136" s="273"/>
      <c r="BG136" s="273"/>
      <c r="BH136" s="273"/>
      <c r="BI136" s="480"/>
      <c r="BJ136" s="480"/>
      <c r="BK136" s="548"/>
      <c r="BL136" s="480"/>
      <c r="BM136" s="588"/>
      <c r="BN136" s="480"/>
      <c r="BO136" s="591">
        <v>1</v>
      </c>
      <c r="BP136" s="480"/>
      <c r="BQ136" s="310"/>
      <c r="BR136" s="460"/>
      <c r="BS136" s="394"/>
      <c r="BT136" s="394"/>
      <c r="BU136" s="394"/>
      <c r="BV136" s="278"/>
      <c r="BW136" s="278"/>
      <c r="BX136" s="278"/>
      <c r="BY136" s="278"/>
      <c r="BZ136" s="278"/>
      <c r="CA136" s="278"/>
      <c r="CB136" s="278"/>
      <c r="CC136" s="391"/>
    </row>
    <row r="137" spans="1:83" x14ac:dyDescent="0.25">
      <c r="A137" s="522" t="s">
        <v>36</v>
      </c>
      <c r="B137" s="222"/>
      <c r="C137" s="223"/>
      <c r="D137" s="223"/>
      <c r="E137" s="223"/>
      <c r="F137" s="223"/>
      <c r="G137" s="224"/>
      <c r="H137" s="223"/>
      <c r="I137" s="224"/>
      <c r="J137" s="223"/>
      <c r="K137" s="297"/>
      <c r="L137" s="225"/>
      <c r="M137" s="225"/>
      <c r="N137" s="225"/>
      <c r="O137" s="225"/>
      <c r="P137" s="225"/>
      <c r="Q137" s="225"/>
      <c r="R137" s="225"/>
      <c r="S137" s="225"/>
      <c r="T137" s="297"/>
      <c r="U137" s="297"/>
      <c r="V137" s="299"/>
      <c r="W137" s="299"/>
      <c r="X137" s="273"/>
      <c r="Y137" s="273"/>
      <c r="Z137" s="273"/>
      <c r="AA137" s="273"/>
      <c r="AB137" s="273"/>
      <c r="AC137" s="273"/>
      <c r="AD137" s="273"/>
      <c r="AE137" s="273"/>
      <c r="AF137" s="273"/>
      <c r="AG137" s="273"/>
      <c r="AH137" s="273"/>
      <c r="AI137" s="311"/>
      <c r="AJ137" s="273"/>
      <c r="AK137" s="273"/>
      <c r="AL137" s="273"/>
      <c r="AM137" s="273"/>
      <c r="AN137" s="273"/>
      <c r="AO137" s="273"/>
      <c r="AP137" s="273"/>
      <c r="AQ137" s="273"/>
      <c r="AR137" s="273"/>
      <c r="AS137" s="273"/>
      <c r="AT137" s="273"/>
      <c r="AU137" s="251"/>
      <c r="AV137" s="297"/>
      <c r="AW137" s="224"/>
      <c r="AX137" s="224"/>
      <c r="AY137" s="224"/>
      <c r="AZ137" s="224"/>
      <c r="BA137" s="224"/>
      <c r="BB137" s="249"/>
      <c r="BC137" s="297"/>
      <c r="BD137" s="300"/>
      <c r="BE137" s="226"/>
      <c r="BF137" s="273"/>
      <c r="BG137" s="273"/>
      <c r="BH137" s="273"/>
      <c r="BI137" s="480"/>
      <c r="BJ137" s="480"/>
      <c r="BK137" s="480"/>
      <c r="BL137" s="480"/>
      <c r="BM137" s="588"/>
      <c r="BN137" s="480"/>
      <c r="BO137" s="591">
        <v>0</v>
      </c>
      <c r="BP137" s="480"/>
      <c r="BQ137" s="310"/>
      <c r="BR137" s="460"/>
      <c r="BS137" s="394"/>
      <c r="BT137" s="394"/>
      <c r="BU137" s="394"/>
      <c r="BV137" s="278"/>
      <c r="BW137" s="278"/>
      <c r="BX137" s="278"/>
      <c r="BY137" s="278"/>
      <c r="BZ137" s="278"/>
      <c r="CA137" s="278"/>
      <c r="CB137" s="278"/>
      <c r="CC137" s="391"/>
    </row>
    <row r="138" spans="1:83" x14ac:dyDescent="0.25">
      <c r="A138" s="522" t="s">
        <v>37</v>
      </c>
      <c r="B138" s="222"/>
      <c r="C138" s="223"/>
      <c r="D138" s="223"/>
      <c r="E138" s="223"/>
      <c r="F138" s="223"/>
      <c r="G138" s="224"/>
      <c r="H138" s="223"/>
      <c r="I138" s="224"/>
      <c r="J138" s="223"/>
      <c r="K138" s="297"/>
      <c r="L138" s="225"/>
      <c r="M138" s="225"/>
      <c r="N138" s="225"/>
      <c r="O138" s="225"/>
      <c r="P138" s="225"/>
      <c r="Q138" s="225"/>
      <c r="R138" s="225"/>
      <c r="S138" s="225"/>
      <c r="T138" s="297"/>
      <c r="U138" s="297"/>
      <c r="V138" s="299"/>
      <c r="W138" s="299"/>
      <c r="X138" s="273"/>
      <c r="Y138" s="273"/>
      <c r="Z138" s="273"/>
      <c r="AA138" s="273"/>
      <c r="AB138" s="273"/>
      <c r="AC138" s="273"/>
      <c r="AD138" s="273"/>
      <c r="AE138" s="273"/>
      <c r="AF138" s="273"/>
      <c r="AG138" s="273"/>
      <c r="AH138" s="273"/>
      <c r="AI138" s="311"/>
      <c r="AJ138" s="273"/>
      <c r="AK138" s="273"/>
      <c r="AL138" s="273"/>
      <c r="AM138" s="273"/>
      <c r="AN138" s="273"/>
      <c r="AO138" s="273"/>
      <c r="AP138" s="273"/>
      <c r="AQ138" s="273"/>
      <c r="AR138" s="273"/>
      <c r="AS138" s="273"/>
      <c r="AT138" s="273"/>
      <c r="AU138" s="251"/>
      <c r="AV138" s="297"/>
      <c r="AW138" s="224"/>
      <c r="AX138" s="224"/>
      <c r="AY138" s="224"/>
      <c r="AZ138" s="224"/>
      <c r="BA138" s="224"/>
      <c r="BB138" s="249"/>
      <c r="BC138" s="297"/>
      <c r="BD138" s="300"/>
      <c r="BE138" s="226"/>
      <c r="BF138" s="273"/>
      <c r="BG138" s="273"/>
      <c r="BH138" s="273"/>
      <c r="BI138" s="480"/>
      <c r="BJ138" s="480"/>
      <c r="BK138" s="480"/>
      <c r="BL138" s="480"/>
      <c r="BM138" s="588"/>
      <c r="BN138" s="480"/>
      <c r="BO138" s="591">
        <v>0</v>
      </c>
      <c r="BP138" s="480"/>
      <c r="BQ138" s="310"/>
      <c r="BR138" s="460"/>
      <c r="BS138" s="394"/>
      <c r="BT138" s="394"/>
      <c r="BU138" s="394"/>
      <c r="BV138" s="278"/>
      <c r="BW138" s="278"/>
      <c r="BX138" s="278"/>
      <c r="BY138" s="278"/>
      <c r="BZ138" s="278"/>
      <c r="CA138" s="278"/>
      <c r="CB138" s="278"/>
      <c r="CC138" s="391"/>
    </row>
    <row r="139" spans="1:83" x14ac:dyDescent="0.25">
      <c r="A139" s="522" t="s">
        <v>38</v>
      </c>
      <c r="B139" s="222"/>
      <c r="C139" s="223"/>
      <c r="D139" s="223"/>
      <c r="E139" s="223"/>
      <c r="F139" s="223"/>
      <c r="G139" s="224"/>
      <c r="H139" s="223"/>
      <c r="I139" s="224"/>
      <c r="J139" s="223"/>
      <c r="K139" s="297"/>
      <c r="L139" s="227"/>
      <c r="M139" s="227"/>
      <c r="N139" s="227"/>
      <c r="O139" s="227"/>
      <c r="P139" s="225"/>
      <c r="Q139" s="225"/>
      <c r="R139" s="225"/>
      <c r="S139" s="225"/>
      <c r="T139" s="297"/>
      <c r="U139" s="297"/>
      <c r="V139" s="299"/>
      <c r="W139" s="299"/>
      <c r="X139" s="273"/>
      <c r="Y139" s="273"/>
      <c r="Z139" s="273"/>
      <c r="AA139" s="273"/>
      <c r="AB139" s="273"/>
      <c r="AC139" s="273"/>
      <c r="AD139" s="273"/>
      <c r="AE139" s="273"/>
      <c r="AF139" s="273"/>
      <c r="AG139" s="273"/>
      <c r="AH139" s="273"/>
      <c r="AI139" s="311"/>
      <c r="AJ139" s="273"/>
      <c r="AK139" s="273"/>
      <c r="AL139" s="273"/>
      <c r="AM139" s="273"/>
      <c r="AN139" s="273"/>
      <c r="AO139" s="273"/>
      <c r="AP139" s="273"/>
      <c r="AQ139" s="273"/>
      <c r="AR139" s="273"/>
      <c r="AS139" s="273"/>
      <c r="AT139" s="273"/>
      <c r="AU139" s="251"/>
      <c r="AV139" s="297"/>
      <c r="AW139" s="224"/>
      <c r="AX139" s="224"/>
      <c r="AY139" s="224"/>
      <c r="AZ139" s="224"/>
      <c r="BA139" s="224"/>
      <c r="BB139" s="249"/>
      <c r="BC139" s="297"/>
      <c r="BD139" s="300"/>
      <c r="BE139" s="226"/>
      <c r="BF139" s="273"/>
      <c r="BG139" s="273"/>
      <c r="BH139" s="273"/>
      <c r="BI139" s="480"/>
      <c r="BJ139" s="480"/>
      <c r="BK139" s="480"/>
      <c r="BL139" s="480"/>
      <c r="BM139" s="588"/>
      <c r="BN139" s="480"/>
      <c r="BO139" s="591">
        <v>0</v>
      </c>
      <c r="BP139" s="480"/>
      <c r="BQ139" s="310"/>
      <c r="BR139" s="460"/>
      <c r="BS139" s="394"/>
      <c r="BT139" s="394"/>
      <c r="BU139" s="394"/>
      <c r="BV139" s="278"/>
      <c r="BW139" s="278"/>
      <c r="BX139" s="278"/>
      <c r="BY139" s="278"/>
      <c r="BZ139" s="278"/>
      <c r="CA139" s="278"/>
      <c r="CB139" s="278"/>
      <c r="CC139" s="391"/>
    </row>
    <row r="140" spans="1:83" x14ac:dyDescent="0.25">
      <c r="A140" s="522" t="s">
        <v>39</v>
      </c>
      <c r="B140" s="222"/>
      <c r="C140" s="223"/>
      <c r="D140" s="223"/>
      <c r="E140" s="223"/>
      <c r="F140" s="223"/>
      <c r="G140" s="224"/>
      <c r="H140" s="223"/>
      <c r="I140" s="224"/>
      <c r="J140" s="223"/>
      <c r="K140" s="297"/>
      <c r="L140" s="228"/>
      <c r="M140" s="229"/>
      <c r="N140" s="229"/>
      <c r="O140" s="229"/>
      <c r="P140" s="227"/>
      <c r="Q140" s="227"/>
      <c r="R140" s="227"/>
      <c r="S140" s="227"/>
      <c r="T140" s="297"/>
      <c r="U140" s="297"/>
      <c r="V140" s="297"/>
      <c r="W140" s="297"/>
      <c r="X140" s="297"/>
      <c r="Y140" s="297"/>
      <c r="Z140" s="297"/>
      <c r="AA140" s="297"/>
      <c r="AB140" s="297"/>
      <c r="AC140" s="297"/>
      <c r="AD140" s="297"/>
      <c r="AE140" s="297"/>
      <c r="AF140" s="297"/>
      <c r="AG140" s="297"/>
      <c r="AH140" s="297"/>
      <c r="AI140" s="324"/>
      <c r="AJ140" s="297"/>
      <c r="AK140" s="297"/>
      <c r="AL140" s="297"/>
      <c r="AM140" s="297"/>
      <c r="AN140" s="297"/>
      <c r="AO140" s="297"/>
      <c r="AP140" s="297"/>
      <c r="AQ140" s="297"/>
      <c r="AR140" s="297"/>
      <c r="AS140" s="297"/>
      <c r="AT140" s="297"/>
      <c r="AU140" s="300"/>
      <c r="AV140" s="297"/>
      <c r="AW140" s="224"/>
      <c r="AX140" s="224"/>
      <c r="AY140" s="224"/>
      <c r="AZ140" s="224"/>
      <c r="BA140" s="224"/>
      <c r="BB140" s="249"/>
      <c r="BC140" s="297"/>
      <c r="BD140" s="300"/>
      <c r="BE140" s="226"/>
      <c r="BF140" s="273"/>
      <c r="BG140" s="273"/>
      <c r="BH140" s="273"/>
      <c r="BI140" s="480"/>
      <c r="BJ140" s="480"/>
      <c r="BK140" s="480"/>
      <c r="BL140" s="480"/>
      <c r="BM140" s="588"/>
      <c r="BN140" s="480"/>
      <c r="BO140" s="591">
        <v>0</v>
      </c>
      <c r="BP140" s="480"/>
      <c r="BQ140" s="310"/>
      <c r="BR140" s="460"/>
      <c r="BS140" s="394"/>
      <c r="BT140" s="394"/>
      <c r="BU140" s="394"/>
      <c r="BV140" s="278"/>
      <c r="BW140" s="278"/>
      <c r="BX140" s="278"/>
      <c r="BY140" s="278"/>
      <c r="BZ140" s="278"/>
      <c r="CA140" s="278"/>
      <c r="CB140" s="278"/>
      <c r="CC140" s="391"/>
    </row>
    <row r="141" spans="1:83" ht="15.75" thickBot="1" x14ac:dyDescent="0.3">
      <c r="A141" s="550" t="s">
        <v>40</v>
      </c>
      <c r="B141" s="551"/>
      <c r="C141" s="552"/>
      <c r="D141" s="552"/>
      <c r="E141" s="552"/>
      <c r="F141" s="552"/>
      <c r="G141" s="552"/>
      <c r="H141" s="552"/>
      <c r="I141" s="552"/>
      <c r="J141" s="552"/>
      <c r="K141" s="553"/>
      <c r="L141" s="552"/>
      <c r="M141" s="554"/>
      <c r="N141" s="552"/>
      <c r="O141" s="552"/>
      <c r="P141" s="552"/>
      <c r="Q141" s="552"/>
      <c r="R141" s="552"/>
      <c r="S141" s="552"/>
      <c r="T141" s="250"/>
      <c r="U141" s="555"/>
      <c r="V141" s="555"/>
      <c r="W141" s="555"/>
      <c r="X141" s="555"/>
      <c r="Y141" s="555"/>
      <c r="Z141" s="555"/>
      <c r="AA141" s="555"/>
      <c r="AB141" s="555"/>
      <c r="AC141" s="555"/>
      <c r="AD141" s="555"/>
      <c r="AE141" s="555"/>
      <c r="AF141" s="555"/>
      <c r="AG141" s="555"/>
      <c r="AH141" s="555"/>
      <c r="AI141" s="556"/>
      <c r="AJ141" s="555"/>
      <c r="AK141" s="555"/>
      <c r="AL141" s="555"/>
      <c r="AM141" s="555"/>
      <c r="AN141" s="555"/>
      <c r="AO141" s="555"/>
      <c r="AP141" s="555"/>
      <c r="AQ141" s="555"/>
      <c r="AR141" s="555"/>
      <c r="AS141" s="555"/>
      <c r="AT141" s="555"/>
      <c r="AU141" s="553"/>
      <c r="AV141" s="552"/>
      <c r="AW141" s="552"/>
      <c r="AX141" s="552"/>
      <c r="AY141" s="552"/>
      <c r="AZ141" s="552"/>
      <c r="BA141" s="552"/>
      <c r="BB141" s="250"/>
      <c r="BC141" s="555"/>
      <c r="BD141" s="553"/>
      <c r="BE141" s="557"/>
      <c r="BF141" s="483"/>
      <c r="BG141" s="483"/>
      <c r="BH141" s="483"/>
      <c r="BI141" s="525"/>
      <c r="BJ141" s="525"/>
      <c r="BK141" s="525"/>
      <c r="BL141" s="525"/>
      <c r="BM141" s="589"/>
      <c r="BN141" s="525"/>
      <c r="BO141" s="592">
        <v>0</v>
      </c>
      <c r="BP141" s="525"/>
      <c r="BQ141" s="558"/>
      <c r="BR141" s="461"/>
      <c r="BS141" s="396"/>
      <c r="BT141" s="396"/>
      <c r="BU141" s="396"/>
      <c r="BV141" s="375"/>
      <c r="BW141" s="375"/>
      <c r="BX141" s="375"/>
      <c r="BY141" s="375"/>
      <c r="BZ141" s="375"/>
      <c r="CA141" s="375"/>
      <c r="CB141" s="375"/>
      <c r="CC141" s="448"/>
    </row>
    <row r="143" spans="1:83" x14ac:dyDescent="0.25">
      <c r="A143" s="1" t="s">
        <v>27</v>
      </c>
    </row>
    <row r="144" spans="1:83" x14ac:dyDescent="0.25">
      <c r="A144" s="230"/>
      <c r="B144" s="169"/>
      <c r="C144" s="169"/>
      <c r="D144" s="169"/>
      <c r="E144" s="169"/>
      <c r="F144" s="169"/>
      <c r="G144" s="169"/>
      <c r="H144" s="169"/>
      <c r="I144" s="169"/>
      <c r="J144" s="169"/>
      <c r="K144" s="169"/>
      <c r="M144" s="231"/>
      <c r="N144" s="231"/>
      <c r="O144" s="231"/>
      <c r="P144" s="231"/>
      <c r="Q144" s="231"/>
      <c r="R144" s="232"/>
      <c r="S144" s="233"/>
      <c r="T144" s="233"/>
      <c r="U144" s="233"/>
      <c r="V144" s="233"/>
      <c r="W144" s="233"/>
      <c r="X144" s="262"/>
      <c r="Y144" s="262"/>
      <c r="Z144" s="262"/>
      <c r="AA144" s="262"/>
      <c r="AB144" s="262"/>
      <c r="AC144" s="262"/>
      <c r="AD144" s="262"/>
      <c r="AE144" s="262"/>
      <c r="AF144" s="262"/>
      <c r="AG144" s="262"/>
      <c r="AH144" s="262"/>
      <c r="AI144" s="262"/>
      <c r="AJ144" s="289"/>
      <c r="AK144" s="289"/>
      <c r="AL144" s="289"/>
      <c r="AM144" s="289"/>
      <c r="AN144" s="289"/>
      <c r="AO144" s="289"/>
      <c r="AP144" s="289"/>
      <c r="AQ144" s="289"/>
      <c r="AR144" s="289"/>
      <c r="AS144" s="289"/>
      <c r="AT144" s="289"/>
      <c r="AU144" s="289"/>
      <c r="AV144" s="233"/>
      <c r="AW144" s="233"/>
      <c r="AX144" s="233"/>
      <c r="AY144" s="233"/>
      <c r="BA144" s="611"/>
      <c r="BB144" s="611"/>
      <c r="BC144" s="611"/>
      <c r="BD144" s="611"/>
      <c r="BE144" s="611"/>
      <c r="BF144" s="611"/>
      <c r="BG144" s="611"/>
      <c r="BI144" s="611"/>
      <c r="BJ144" s="611"/>
      <c r="BK144" s="611"/>
      <c r="BL144" s="611"/>
      <c r="BM144" s="611"/>
      <c r="BN144" s="611"/>
      <c r="BP144" s="611"/>
      <c r="BQ144" s="611"/>
      <c r="BR144" s="611"/>
      <c r="BS144" s="611"/>
      <c r="BT144" s="611"/>
      <c r="BU144"/>
      <c r="BV144" s="575"/>
      <c r="CA144" s="612"/>
      <c r="CB144" s="612"/>
      <c r="CC144" s="612"/>
      <c r="CD144" s="612"/>
      <c r="CE144" s="612"/>
    </row>
    <row r="147" spans="1:58" x14ac:dyDescent="0.25">
      <c r="A147" s="234" t="s">
        <v>26</v>
      </c>
      <c r="BF147" s="178" t="s">
        <v>65</v>
      </c>
    </row>
    <row r="148" spans="1:58" x14ac:dyDescent="0.25">
      <c r="A148" s="235"/>
      <c r="B148" s="235"/>
      <c r="C148" s="235"/>
      <c r="D148" s="235"/>
      <c r="E148" s="235"/>
      <c r="F148" s="235"/>
      <c r="G148" s="235"/>
      <c r="H148" s="235"/>
      <c r="I148" s="235"/>
      <c r="J148" s="235"/>
      <c r="K148" s="235"/>
      <c r="BF148" s="178" t="s">
        <v>66</v>
      </c>
    </row>
    <row r="149" spans="1:58" x14ac:dyDescent="0.25">
      <c r="A149" s="235"/>
      <c r="B149" s="235"/>
      <c r="C149" s="235"/>
      <c r="D149" s="235"/>
      <c r="E149" s="235"/>
      <c r="F149" s="235"/>
      <c r="G149" s="235"/>
      <c r="H149" s="235"/>
      <c r="I149" s="235"/>
      <c r="J149" s="235"/>
      <c r="K149" s="235"/>
    </row>
    <row r="150" spans="1:58" x14ac:dyDescent="0.25">
      <c r="A150" s="235"/>
      <c r="B150" s="235"/>
      <c r="C150" s="235"/>
      <c r="D150" s="235"/>
      <c r="E150" s="235"/>
      <c r="F150" s="235"/>
      <c r="G150" s="235"/>
      <c r="H150" s="235"/>
      <c r="I150" s="235"/>
      <c r="J150" s="235"/>
      <c r="K150" s="235"/>
    </row>
    <row r="151" spans="1:58" x14ac:dyDescent="0.25">
      <c r="A151" s="235"/>
      <c r="B151" s="235"/>
      <c r="C151" s="235"/>
      <c r="D151" s="235"/>
      <c r="E151" s="235"/>
      <c r="F151" s="235"/>
      <c r="G151" s="235"/>
      <c r="H151" s="235"/>
      <c r="I151" s="235"/>
      <c r="J151" s="235"/>
      <c r="K151" s="235"/>
    </row>
  </sheetData>
  <mergeCells count="10">
    <mergeCell ref="B7:K7"/>
    <mergeCell ref="L7:W7"/>
    <mergeCell ref="X7:AI7"/>
    <mergeCell ref="AV7:BE7"/>
    <mergeCell ref="AJ7:AU7"/>
    <mergeCell ref="BA144:BG144"/>
    <mergeCell ref="BI144:BN144"/>
    <mergeCell ref="BP144:BT144"/>
    <mergeCell ref="CA144:CE144"/>
    <mergeCell ref="BF7:BQ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2023-11-20T17:04:16Z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